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  <pivotCache cacheId="6" r:id="rId31"/>
    <pivotCache cacheId="7" r:id="rId32"/>
    <pivotCache cacheId="8" r:id="rId33"/>
    <pivotCache cacheId="9" r:id="rId34"/>
    <pivotCache cacheId="10" r:id="rId35"/>
  </pivotCaches>
  <extLst>
    <ext xmlns:x14="http://schemas.microsoft.com/office/spreadsheetml/2009/9/main" uri="{876F7934-8845-4945-9796-88D515C7AA90}">
      <x14:pivotCaches>
        <pivotCache cacheId="11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2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V253" i="13"/>
  <c r="J3688" i="11"/>
  <c r="K3688" i="11"/>
  <c r="J3686" i="11"/>
  <c r="J3674" i="11"/>
  <c r="J3671" i="11"/>
  <c r="J3668" i="11"/>
  <c r="K3668" i="1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8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G12" i="10"/>
  <c r="G3" i="10"/>
  <c r="G4" i="10"/>
  <c r="G5" i="10"/>
  <c r="G6" i="10"/>
  <c r="G7" i="10"/>
  <c r="G8" i="10"/>
  <c r="G9" i="10"/>
  <c r="G10" i="10"/>
  <c r="G11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M252" i="13" l="1"/>
  <c r="AV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G3652" i="1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M3651" i="11"/>
  <c r="M3652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V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V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V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V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V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V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V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V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V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V242" i="13"/>
  <c r="G3546" i="11" l="1"/>
  <c r="M3546" i="11" s="1"/>
  <c r="L3546" i="11"/>
  <c r="N3546" i="11"/>
  <c r="O3546" i="11"/>
  <c r="Q3546" i="11"/>
  <c r="R3546" i="11"/>
  <c r="S3546" i="11"/>
  <c r="J3537" i="11" l="1"/>
  <c r="K3537" i="1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V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V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J3505" i="11"/>
  <c r="K3505" i="11"/>
  <c r="G3496" i="11"/>
  <c r="M3496" i="11" s="1"/>
  <c r="L3496" i="11"/>
  <c r="N3496" i="11"/>
  <c r="O3496" i="11"/>
  <c r="Q3496" i="11"/>
  <c r="R3496" i="11"/>
  <c r="S3496" i="11"/>
  <c r="K3474" i="11"/>
  <c r="J3474" i="1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J3516" i="11"/>
  <c r="K3516" i="11"/>
  <c r="J3479" i="11"/>
  <c r="K3479" i="11"/>
  <c r="M239" i="13"/>
  <c r="AV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2" i="11"/>
  <c r="N3513" i="11"/>
  <c r="N3514" i="11"/>
  <c r="N3515" i="11"/>
  <c r="N3516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49" i="11" l="1"/>
  <c r="K3449" i="11"/>
  <c r="K3426" i="11"/>
  <c r="J3426" i="11"/>
  <c r="M238" i="13"/>
  <c r="AV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M237" i="13" l="1"/>
  <c r="AV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V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J3338" i="11" l="1"/>
  <c r="K3338" i="11"/>
  <c r="M235" i="13"/>
  <c r="AV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J3332" i="11" l="1"/>
  <c r="K3332" i="1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V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V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J3308" i="11"/>
  <c r="K3308" i="11"/>
  <c r="J3306" i="11"/>
  <c r="K3306" i="1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V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S16" i="43" l="1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V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M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V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V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/>
  <c r="AV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V226" i="13"/>
  <c r="K3181" i="11"/>
  <c r="J3181" i="11" s="1"/>
  <c r="N3181" i="1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AV227" i="13" l="1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V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V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V225" i="13"/>
  <c r="N234" i="36"/>
  <c r="O234" i="36" s="1"/>
  <c r="M221" i="13"/>
  <c r="AV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V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V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V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G2074" i="11"/>
  <c r="M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N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53" i="13" l="1"/>
  <c r="AA253" i="13"/>
  <c r="AQ253" i="13"/>
  <c r="BC253" i="13"/>
  <c r="AT253" i="13"/>
  <c r="D253" i="13"/>
  <c r="P253" i="13"/>
  <c r="AB253" i="13"/>
  <c r="AR253" i="13"/>
  <c r="BD253" i="13"/>
  <c r="AD253" i="13"/>
  <c r="BJ253" i="13"/>
  <c r="E253" i="13"/>
  <c r="Q253" i="13"/>
  <c r="AC253" i="13"/>
  <c r="AS253" i="13"/>
  <c r="R253" i="13"/>
  <c r="F253" i="13"/>
  <c r="G253" i="13"/>
  <c r="S253" i="13"/>
  <c r="AE253" i="13"/>
  <c r="AU253" i="13"/>
  <c r="BK253" i="13"/>
  <c r="H253" i="13"/>
  <c r="T253" i="13"/>
  <c r="AF253" i="13"/>
  <c r="BL253" i="13"/>
  <c r="I253" i="13"/>
  <c r="U253" i="13"/>
  <c r="AG253" i="13"/>
  <c r="AW253" i="13"/>
  <c r="BM253" i="13"/>
  <c r="J253" i="13"/>
  <c r="V253" i="13"/>
  <c r="AH253" i="13"/>
  <c r="AX253" i="13"/>
  <c r="BN253" i="13"/>
  <c r="AK253" i="13"/>
  <c r="Z253" i="13"/>
  <c r="K253" i="13"/>
  <c r="W253" i="13"/>
  <c r="AI253" i="13"/>
  <c r="AY253" i="13"/>
  <c r="BO253" i="13"/>
  <c r="Y253" i="13"/>
  <c r="BB253" i="13"/>
  <c r="L253" i="13"/>
  <c r="X253" i="13"/>
  <c r="AJ253" i="13"/>
  <c r="AZ253" i="13"/>
  <c r="BA253" i="13"/>
  <c r="N253" i="13"/>
  <c r="D252" i="13"/>
  <c r="P252" i="13"/>
  <c r="AB252" i="13"/>
  <c r="AR252" i="13"/>
  <c r="BD252" i="13"/>
  <c r="Q252" i="13"/>
  <c r="AS252" i="13"/>
  <c r="E252" i="13"/>
  <c r="AC252" i="13"/>
  <c r="F252" i="13"/>
  <c r="R252" i="13"/>
  <c r="AD252" i="13"/>
  <c r="AT252" i="13"/>
  <c r="BJ252" i="13"/>
  <c r="AF252" i="13"/>
  <c r="G252" i="13"/>
  <c r="S252" i="13"/>
  <c r="AE252" i="13"/>
  <c r="AU252" i="13"/>
  <c r="BK252" i="13"/>
  <c r="T252" i="13"/>
  <c r="H252" i="13"/>
  <c r="BL252" i="13"/>
  <c r="I252" i="13"/>
  <c r="U252" i="13"/>
  <c r="AG252" i="13"/>
  <c r="AW252" i="13"/>
  <c r="BM252" i="13"/>
  <c r="AJ252" i="13"/>
  <c r="J252" i="13"/>
  <c r="V252" i="13"/>
  <c r="AH252" i="13"/>
  <c r="AX252" i="13"/>
  <c r="BN252" i="13"/>
  <c r="AZ252" i="13"/>
  <c r="K252" i="13"/>
  <c r="W252" i="13"/>
  <c r="AI252" i="13"/>
  <c r="AY252" i="13"/>
  <c r="BO252" i="13"/>
  <c r="L252" i="13"/>
  <c r="X252" i="13"/>
  <c r="Y252" i="13"/>
  <c r="AK252" i="13"/>
  <c r="BA252" i="13"/>
  <c r="AA252" i="13"/>
  <c r="BC252" i="13"/>
  <c r="N252" i="13"/>
  <c r="Z252" i="13"/>
  <c r="BB252" i="13"/>
  <c r="AQ252" i="13"/>
  <c r="O252" i="13"/>
  <c r="O251" i="13"/>
  <c r="AA251" i="13"/>
  <c r="AQ251" i="13"/>
  <c r="BC251" i="13"/>
  <c r="P251" i="13"/>
  <c r="AR251" i="13"/>
  <c r="R251" i="13"/>
  <c r="AT251" i="13"/>
  <c r="D251" i="13"/>
  <c r="AB251" i="13"/>
  <c r="BD251" i="13"/>
  <c r="AD251" i="13"/>
  <c r="BJ251" i="13"/>
  <c r="E251" i="13"/>
  <c r="Q251" i="13"/>
  <c r="AC251" i="13"/>
  <c r="AS251" i="13"/>
  <c r="F251" i="13"/>
  <c r="G251" i="13"/>
  <c r="S251" i="13"/>
  <c r="AE251" i="13"/>
  <c r="AU251" i="13"/>
  <c r="BK251" i="13"/>
  <c r="H251" i="13"/>
  <c r="AF251" i="13"/>
  <c r="BL251" i="13"/>
  <c r="BA251" i="13"/>
  <c r="T251" i="13"/>
  <c r="BB251" i="13"/>
  <c r="I251" i="13"/>
  <c r="U251" i="13"/>
  <c r="AG251" i="13"/>
  <c r="AW251" i="13"/>
  <c r="BM251" i="13"/>
  <c r="V251" i="13"/>
  <c r="AH251" i="13"/>
  <c r="AX251" i="13"/>
  <c r="BN251" i="13"/>
  <c r="Z251" i="13"/>
  <c r="J251" i="13"/>
  <c r="K251" i="13"/>
  <c r="W251" i="13"/>
  <c r="AI251" i="13"/>
  <c r="AY251" i="13"/>
  <c r="BO251" i="13"/>
  <c r="L251" i="13"/>
  <c r="AJ251" i="13"/>
  <c r="AZ251" i="13"/>
  <c r="AK251" i="13"/>
  <c r="X251" i="13"/>
  <c r="Y251" i="13"/>
  <c r="N251" i="13"/>
  <c r="O250" i="13"/>
  <c r="D250" i="13"/>
  <c r="E250" i="13"/>
  <c r="F250" i="13"/>
  <c r="R250" i="13"/>
  <c r="AD250" i="13"/>
  <c r="AT250" i="13"/>
  <c r="BJ250" i="13"/>
  <c r="S250" i="13"/>
  <c r="AE250" i="13"/>
  <c r="AU250" i="13"/>
  <c r="BK250" i="13"/>
  <c r="T250" i="13"/>
  <c r="AF250" i="13"/>
  <c r="BL250" i="13"/>
  <c r="U250" i="13"/>
  <c r="AG250" i="13"/>
  <c r="AW250" i="13"/>
  <c r="BM250" i="13"/>
  <c r="V250" i="13"/>
  <c r="AH250" i="13"/>
  <c r="AX250" i="13"/>
  <c r="BN250" i="13"/>
  <c r="W250" i="13"/>
  <c r="AI250" i="13"/>
  <c r="AY250" i="13"/>
  <c r="BO250" i="13"/>
  <c r="G250" i="13"/>
  <c r="H250" i="13"/>
  <c r="I250" i="13"/>
  <c r="J250" i="13"/>
  <c r="K250" i="13"/>
  <c r="L250" i="13"/>
  <c r="Y250" i="13"/>
  <c r="AK250" i="13"/>
  <c r="BA250" i="13"/>
  <c r="N250" i="13"/>
  <c r="Z250" i="13"/>
  <c r="BB250" i="13"/>
  <c r="AA250" i="13"/>
  <c r="AQ250" i="13"/>
  <c r="BC250" i="13"/>
  <c r="P250" i="13"/>
  <c r="AB250" i="13"/>
  <c r="AR250" i="13"/>
  <c r="BD250" i="13"/>
  <c r="Q250" i="13"/>
  <c r="AC250" i="13"/>
  <c r="AS250" i="13"/>
  <c r="X250" i="13"/>
  <c r="AJ250" i="13"/>
  <c r="AZ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W249" i="13"/>
  <c r="AI249" i="13"/>
  <c r="AU249" i="13"/>
  <c r="K163" i="13"/>
  <c r="K115" i="13"/>
  <c r="K79" i="13"/>
  <c r="K31" i="13"/>
  <c r="Q249" i="13"/>
  <c r="BB249" i="13"/>
  <c r="K30" i="13"/>
  <c r="N249" i="13"/>
  <c r="K218" i="13"/>
  <c r="K182" i="13"/>
  <c r="K146" i="13"/>
  <c r="K122" i="13"/>
  <c r="K74" i="13"/>
  <c r="K14" i="13"/>
  <c r="AX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X249" i="13"/>
  <c r="AJ249" i="13"/>
  <c r="BA249" i="13"/>
  <c r="K175" i="13"/>
  <c r="K103" i="13"/>
  <c r="K67" i="13"/>
  <c r="K43" i="13"/>
  <c r="K19" i="13"/>
  <c r="Y249" i="13"/>
  <c r="K54" i="13"/>
  <c r="K6" i="13"/>
  <c r="BC249" i="13"/>
  <c r="K206" i="13"/>
  <c r="K98" i="13"/>
  <c r="K50" i="13"/>
  <c r="E249" i="13"/>
  <c r="K145" i="13"/>
  <c r="K61" i="13"/>
  <c r="AE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K249" i="13"/>
  <c r="Z249" i="13"/>
  <c r="K230" i="13"/>
  <c r="K170" i="13"/>
  <c r="K134" i="13"/>
  <c r="K86" i="13"/>
  <c r="K26" i="13"/>
  <c r="BK249" i="13"/>
  <c r="K169" i="13"/>
  <c r="K97" i="13"/>
  <c r="K37" i="13"/>
  <c r="BL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S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L249" i="13"/>
  <c r="AA249" i="13"/>
  <c r="AQ249" i="13"/>
  <c r="BD249" i="13"/>
  <c r="K160" i="13"/>
  <c r="K136" i="13"/>
  <c r="K112" i="13"/>
  <c r="K88" i="13"/>
  <c r="K64" i="13"/>
  <c r="K40" i="13"/>
  <c r="K16" i="13"/>
  <c r="O249" i="13"/>
  <c r="BM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B249" i="13"/>
  <c r="AR249" i="13"/>
  <c r="K158" i="13"/>
  <c r="K62" i="13"/>
  <c r="AD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C249" i="13"/>
  <c r="AW249" i="13"/>
  <c r="BJ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G249" i="13"/>
  <c r="T249" i="13"/>
  <c r="AF249" i="13"/>
  <c r="AY249" i="13"/>
  <c r="BN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H249" i="13"/>
  <c r="U249" i="13"/>
  <c r="AG249" i="13"/>
  <c r="AZ249" i="13"/>
  <c r="BO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I249" i="13"/>
  <c r="V249" i="13"/>
  <c r="AH249" i="13"/>
  <c r="AT249" i="13"/>
  <c r="K121" i="13"/>
  <c r="F249" i="13"/>
  <c r="O248" i="13"/>
  <c r="AB248" i="13"/>
  <c r="D248" i="13"/>
  <c r="AC248" i="13"/>
  <c r="AR248" i="13"/>
  <c r="P248" i="13"/>
  <c r="AD248" i="13"/>
  <c r="AW248" i="13"/>
  <c r="BM248" i="13"/>
  <c r="AF248" i="13"/>
  <c r="BK248" i="13"/>
  <c r="BA248" i="13"/>
  <c r="E248" i="13"/>
  <c r="F248" i="13"/>
  <c r="S248" i="13"/>
  <c r="AE248" i="13"/>
  <c r="AX248" i="13"/>
  <c r="BJ248" i="13"/>
  <c r="AS248" i="13"/>
  <c r="G248" i="13"/>
  <c r="H248" i="13"/>
  <c r="U248" i="13"/>
  <c r="AG248" i="13"/>
  <c r="AY248" i="13"/>
  <c r="BL248" i="13"/>
  <c r="V248" i="13"/>
  <c r="AH248" i="13"/>
  <c r="AZ248" i="13"/>
  <c r="BN248" i="13"/>
  <c r="AI248" i="13"/>
  <c r="AT248" i="13"/>
  <c r="X248" i="13"/>
  <c r="AU248" i="13"/>
  <c r="I248" i="13"/>
  <c r="J248" i="13"/>
  <c r="W248" i="13"/>
  <c r="BO248" i="13"/>
  <c r="AJ248" i="13"/>
  <c r="Y248" i="13"/>
  <c r="R248" i="13"/>
  <c r="Q248" i="13"/>
  <c r="N248" i="13"/>
  <c r="Z248" i="13"/>
  <c r="BB248" i="13"/>
  <c r="L248" i="13"/>
  <c r="AA248" i="13"/>
  <c r="BC248" i="13"/>
  <c r="AQ248" i="13"/>
  <c r="BD248" i="13"/>
  <c r="T248" i="13"/>
  <c r="AK248" i="13"/>
  <c r="BO247" i="13"/>
  <c r="AT247" i="13"/>
  <c r="AD247" i="13"/>
  <c r="S247" i="13"/>
  <c r="G247" i="13"/>
  <c r="T247" i="13"/>
  <c r="AF247" i="13"/>
  <c r="AS247" i="13"/>
  <c r="BK247" i="13"/>
  <c r="H247" i="13"/>
  <c r="U247" i="13"/>
  <c r="AG247" i="13"/>
  <c r="AY247" i="13"/>
  <c r="BL247" i="13"/>
  <c r="I247" i="13"/>
  <c r="V247" i="13"/>
  <c r="AH247" i="13"/>
  <c r="AZ247" i="13"/>
  <c r="BN247" i="13"/>
  <c r="W247" i="13"/>
  <c r="AI247" i="13"/>
  <c r="J247" i="13"/>
  <c r="R247" i="13"/>
  <c r="X247" i="13"/>
  <c r="AJ247" i="13"/>
  <c r="AU247" i="13"/>
  <c r="Q247" i="13"/>
  <c r="Y247" i="13"/>
  <c r="AK247" i="13"/>
  <c r="BA247" i="13"/>
  <c r="AB247" i="13"/>
  <c r="BD247" i="13"/>
  <c r="AC247" i="13"/>
  <c r="AR247" i="13"/>
  <c r="P247" i="13"/>
  <c r="BM247" i="13"/>
  <c r="AX247" i="13"/>
  <c r="AE247" i="13"/>
  <c r="N247" i="13"/>
  <c r="Z247" i="13"/>
  <c r="BB247" i="13"/>
  <c r="L247" i="13"/>
  <c r="AA247" i="13"/>
  <c r="BC247" i="13"/>
  <c r="O247" i="13"/>
  <c r="AQ247" i="13"/>
  <c r="D247" i="13"/>
  <c r="E247" i="13"/>
  <c r="AW247" i="13"/>
  <c r="F247" i="13"/>
  <c r="BJ247" i="13"/>
  <c r="D246" i="13"/>
  <c r="AC246" i="13"/>
  <c r="AW246" i="13"/>
  <c r="BJ246" i="13"/>
  <c r="P246" i="13"/>
  <c r="AD246" i="13"/>
  <c r="AX246" i="13"/>
  <c r="BK246" i="13"/>
  <c r="S246" i="13"/>
  <c r="AS246" i="13"/>
  <c r="E246" i="13"/>
  <c r="F246" i="13"/>
  <c r="G246" i="13"/>
  <c r="T246" i="13"/>
  <c r="AF246" i="13"/>
  <c r="AY246" i="13"/>
  <c r="BN246" i="13"/>
  <c r="H246" i="13"/>
  <c r="U246" i="13"/>
  <c r="AG246" i="13"/>
  <c r="AZ246" i="13"/>
  <c r="BO246" i="13"/>
  <c r="AI246" i="13"/>
  <c r="Z246" i="13"/>
  <c r="AQ246" i="13"/>
  <c r="AB246" i="13"/>
  <c r="AE246" i="13"/>
  <c r="I246" i="13"/>
  <c r="V246" i="13"/>
  <c r="AH246" i="13"/>
  <c r="AT246" i="13"/>
  <c r="W246" i="13"/>
  <c r="AU246" i="13"/>
  <c r="BC246" i="13"/>
  <c r="AR246" i="13"/>
  <c r="BL246" i="13"/>
  <c r="J246" i="13"/>
  <c r="R246" i="13"/>
  <c r="X246" i="13"/>
  <c r="AJ246" i="13"/>
  <c r="BA246" i="13"/>
  <c r="Y246" i="13"/>
  <c r="AK246" i="13"/>
  <c r="BB246" i="13"/>
  <c r="AA246" i="13"/>
  <c r="BD246" i="13"/>
  <c r="BM246" i="13"/>
  <c r="Q246" i="13"/>
  <c r="N246" i="13"/>
  <c r="L246" i="13"/>
  <c r="O246" i="13"/>
  <c r="O245" i="13"/>
  <c r="D245" i="13"/>
  <c r="E245" i="13"/>
  <c r="P245" i="13"/>
  <c r="AD245" i="13"/>
  <c r="AW245" i="13"/>
  <c r="BM245" i="13"/>
  <c r="F245" i="13"/>
  <c r="S245" i="13"/>
  <c r="AE245" i="13"/>
  <c r="AX245" i="13"/>
  <c r="BJ245" i="13"/>
  <c r="G245" i="13"/>
  <c r="T245" i="13"/>
  <c r="AF245" i="13"/>
  <c r="AS245" i="13"/>
  <c r="BK245" i="13"/>
  <c r="V245" i="13"/>
  <c r="AH245" i="13"/>
  <c r="AZ245" i="13"/>
  <c r="BN245" i="13"/>
  <c r="W245" i="13"/>
  <c r="AI245" i="13"/>
  <c r="AT245" i="13"/>
  <c r="Y245" i="13"/>
  <c r="H245" i="13"/>
  <c r="U245" i="13"/>
  <c r="AG245" i="13"/>
  <c r="AY245" i="13"/>
  <c r="BL245" i="13"/>
  <c r="I245" i="13"/>
  <c r="J245" i="13"/>
  <c r="BO245" i="13"/>
  <c r="BA245" i="13"/>
  <c r="R245" i="13"/>
  <c r="X245" i="13"/>
  <c r="AJ245" i="13"/>
  <c r="AU245" i="13"/>
  <c r="AK245" i="13"/>
  <c r="Q245" i="13"/>
  <c r="N245" i="13"/>
  <c r="Z245" i="13"/>
  <c r="BB245" i="13"/>
  <c r="AA245" i="13"/>
  <c r="BC245" i="13"/>
  <c r="AB245" i="13"/>
  <c r="AQ245" i="13"/>
  <c r="BD245" i="13"/>
  <c r="AC245" i="13"/>
  <c r="AR245" i="13"/>
  <c r="L245" i="13"/>
  <c r="L244" i="13"/>
  <c r="AA244" i="13"/>
  <c r="BC244" i="13"/>
  <c r="O244" i="13"/>
  <c r="AB244" i="13"/>
  <c r="AQ244" i="13"/>
  <c r="BD244" i="13"/>
  <c r="D244" i="13"/>
  <c r="E244" i="13"/>
  <c r="P244" i="13"/>
  <c r="AD244" i="13"/>
  <c r="AW244" i="13"/>
  <c r="BM244" i="13"/>
  <c r="F244" i="13"/>
  <c r="S244" i="13"/>
  <c r="AE244" i="13"/>
  <c r="AX244" i="13"/>
  <c r="BJ244" i="13"/>
  <c r="G244" i="13"/>
  <c r="T244" i="13"/>
  <c r="AF244" i="13"/>
  <c r="AS244" i="13"/>
  <c r="BK244" i="13"/>
  <c r="H244" i="13"/>
  <c r="U244" i="13"/>
  <c r="AG244" i="13"/>
  <c r="AY244" i="13"/>
  <c r="BL244" i="13"/>
  <c r="I244" i="13"/>
  <c r="V244" i="13"/>
  <c r="AH244" i="13"/>
  <c r="AZ244" i="13"/>
  <c r="BN244" i="13"/>
  <c r="J244" i="13"/>
  <c r="W244" i="13"/>
  <c r="AI244" i="13"/>
  <c r="AT244" i="13"/>
  <c r="BO244" i="13"/>
  <c r="R244" i="13"/>
  <c r="X244" i="13"/>
  <c r="AJ244" i="13"/>
  <c r="AU244" i="13"/>
  <c r="AK244" i="13"/>
  <c r="AR244" i="13"/>
  <c r="Q244" i="13"/>
  <c r="Y244" i="13"/>
  <c r="BA244" i="13"/>
  <c r="N244" i="13"/>
  <c r="Z244" i="13"/>
  <c r="BB244" i="13"/>
  <c r="AC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D243" i="13"/>
  <c r="AX243" i="13"/>
  <c r="BK243" i="13"/>
  <c r="T218" i="13"/>
  <c r="T206" i="13"/>
  <c r="T170" i="13"/>
  <c r="T158" i="13"/>
  <c r="T134" i="13"/>
  <c r="T110" i="13"/>
  <c r="T86" i="13"/>
  <c r="T62" i="13"/>
  <c r="T38" i="13"/>
  <c r="T14" i="13"/>
  <c r="P243" i="13"/>
  <c r="AS243" i="13"/>
  <c r="T205" i="13"/>
  <c r="T181" i="13"/>
  <c r="T157" i="13"/>
  <c r="T133" i="13"/>
  <c r="T109" i="13"/>
  <c r="T85" i="13"/>
  <c r="T61" i="13"/>
  <c r="T37" i="13"/>
  <c r="T13" i="13"/>
  <c r="F243" i="13"/>
  <c r="S243" i="13"/>
  <c r="AF243" i="13"/>
  <c r="AY243" i="13"/>
  <c r="BN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G243" i="13"/>
  <c r="U243" i="13"/>
  <c r="AG243" i="13"/>
  <c r="AZ243" i="13"/>
  <c r="BO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C243" i="13"/>
  <c r="AW243" i="13"/>
  <c r="BJ243" i="13"/>
  <c r="T230" i="13"/>
  <c r="T194" i="13"/>
  <c r="T182" i="13"/>
  <c r="T146" i="13"/>
  <c r="T122" i="13"/>
  <c r="T98" i="13"/>
  <c r="T74" i="13"/>
  <c r="T50" i="13"/>
  <c r="T26" i="13"/>
  <c r="E243" i="13"/>
  <c r="AE243" i="13"/>
  <c r="BL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X243" i="13"/>
  <c r="AT243" i="13"/>
  <c r="T225" i="13"/>
  <c r="T201" i="13"/>
  <c r="T177" i="13"/>
  <c r="T153" i="13"/>
  <c r="T129" i="13"/>
  <c r="T105" i="13"/>
  <c r="T83" i="13"/>
  <c r="T66" i="13"/>
  <c r="T44" i="13"/>
  <c r="T22" i="13"/>
  <c r="T5" i="13"/>
  <c r="Y243" i="13"/>
  <c r="AU243" i="13"/>
  <c r="T224" i="13"/>
  <c r="T200" i="13"/>
  <c r="T176" i="13"/>
  <c r="T152" i="13"/>
  <c r="T128" i="13"/>
  <c r="T104" i="13"/>
  <c r="T82" i="13"/>
  <c r="T65" i="13"/>
  <c r="T43" i="13"/>
  <c r="T21" i="13"/>
  <c r="H243" i="13"/>
  <c r="Z243" i="13"/>
  <c r="BA243" i="13"/>
  <c r="T223" i="13"/>
  <c r="T199" i="13"/>
  <c r="T175" i="13"/>
  <c r="T151" i="13"/>
  <c r="T127" i="13"/>
  <c r="T103" i="13"/>
  <c r="T81" i="13"/>
  <c r="T59" i="13"/>
  <c r="T42" i="13"/>
  <c r="T20" i="13"/>
  <c r="I243" i="13"/>
  <c r="AA243" i="13"/>
  <c r="BB243" i="13"/>
  <c r="T222" i="13"/>
  <c r="T198" i="13"/>
  <c r="T174" i="13"/>
  <c r="T150" i="13"/>
  <c r="T126" i="13"/>
  <c r="T102" i="13"/>
  <c r="T80" i="13"/>
  <c r="T58" i="13"/>
  <c r="T41" i="13"/>
  <c r="T19" i="13"/>
  <c r="J243" i="13"/>
  <c r="AB243" i="13"/>
  <c r="BC243" i="13"/>
  <c r="T221" i="13"/>
  <c r="T197" i="13"/>
  <c r="T173" i="13"/>
  <c r="T149" i="13"/>
  <c r="T125" i="13"/>
  <c r="T101" i="13"/>
  <c r="T79" i="13"/>
  <c r="T57" i="13"/>
  <c r="T35" i="13"/>
  <c r="T18" i="13"/>
  <c r="R243" i="13"/>
  <c r="AH243" i="13"/>
  <c r="BD243" i="13"/>
  <c r="T214" i="13"/>
  <c r="T190" i="13"/>
  <c r="T166" i="13"/>
  <c r="T142" i="13"/>
  <c r="T118" i="13"/>
  <c r="T95" i="13"/>
  <c r="T78" i="13"/>
  <c r="T56" i="13"/>
  <c r="T34" i="13"/>
  <c r="T17" i="13"/>
  <c r="Q243" i="13"/>
  <c r="AI243" i="13"/>
  <c r="BM243" i="13"/>
  <c r="T213" i="13"/>
  <c r="T189" i="13"/>
  <c r="T165" i="13"/>
  <c r="T141" i="13"/>
  <c r="T117" i="13"/>
  <c r="T94" i="13"/>
  <c r="T77" i="13"/>
  <c r="T212" i="13"/>
  <c r="T140" i="13"/>
  <c r="T71" i="13"/>
  <c r="T30" i="13"/>
  <c r="AJ243" i="13"/>
  <c r="AK243" i="13"/>
  <c r="T138" i="13"/>
  <c r="T11" i="13"/>
  <c r="T209" i="13"/>
  <c r="T10" i="13"/>
  <c r="T188" i="13"/>
  <c r="T55" i="13"/>
  <c r="AR243" i="13"/>
  <c r="T115" i="13"/>
  <c r="T8" i="13"/>
  <c r="T211" i="13"/>
  <c r="T139" i="13"/>
  <c r="T70" i="13"/>
  <c r="T29" i="13"/>
  <c r="T210" i="13"/>
  <c r="T69" i="13"/>
  <c r="T137" i="13"/>
  <c r="T68" i="13"/>
  <c r="AQ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L243" i="13"/>
  <c r="T163" i="13"/>
  <c r="T92" i="13"/>
  <c r="T33" i="13"/>
  <c r="T162" i="13"/>
  <c r="T91" i="13"/>
  <c r="T32" i="13"/>
  <c r="V243" i="13"/>
  <c r="T161" i="13"/>
  <c r="T90" i="13"/>
  <c r="T31" i="13"/>
  <c r="W243" i="13"/>
  <c r="AJ242" i="13"/>
  <c r="G242" i="13"/>
  <c r="U242" i="13"/>
  <c r="AG242" i="13"/>
  <c r="AY242" i="13"/>
  <c r="BL242" i="13"/>
  <c r="H242" i="13"/>
  <c r="V242" i="13"/>
  <c r="AH242" i="13"/>
  <c r="AZ242" i="13"/>
  <c r="BN242" i="13"/>
  <c r="I242" i="13"/>
  <c r="W242" i="13"/>
  <c r="BO242" i="13"/>
  <c r="AU242" i="13"/>
  <c r="R242" i="13"/>
  <c r="Y242" i="13"/>
  <c r="AK242" i="13"/>
  <c r="BA242" i="13"/>
  <c r="BD242" i="13"/>
  <c r="AR242" i="13"/>
  <c r="AW242" i="13"/>
  <c r="P242" i="13"/>
  <c r="AX242" i="13"/>
  <c r="S242" i="13"/>
  <c r="AT242" i="13"/>
  <c r="Q242" i="13"/>
  <c r="Z242" i="13"/>
  <c r="BB242" i="13"/>
  <c r="L242" i="13"/>
  <c r="O242" i="13"/>
  <c r="D242" i="13"/>
  <c r="BM242" i="13"/>
  <c r="BJ242" i="13"/>
  <c r="AF242" i="13"/>
  <c r="BK242" i="13"/>
  <c r="J242" i="13"/>
  <c r="N242" i="13"/>
  <c r="AA242" i="13"/>
  <c r="BC242" i="13"/>
  <c r="AB242" i="13"/>
  <c r="AQ242" i="13"/>
  <c r="AC242" i="13"/>
  <c r="AD242" i="13"/>
  <c r="E242" i="13"/>
  <c r="AE242" i="13"/>
  <c r="F242" i="13"/>
  <c r="AS242" i="13"/>
  <c r="AI242" i="13"/>
  <c r="X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A241" i="13"/>
  <c r="BA229" i="13"/>
  <c r="BA217" i="13"/>
  <c r="BA205" i="13"/>
  <c r="BA240" i="13"/>
  <c r="BA228" i="13"/>
  <c r="BA216" i="13"/>
  <c r="BA204" i="13"/>
  <c r="BA214" i="13"/>
  <c r="BA237" i="13"/>
  <c r="BA213" i="13"/>
  <c r="BA236" i="13"/>
  <c r="BA200" i="13"/>
  <c r="BA231" i="13"/>
  <c r="BA206" i="13"/>
  <c r="BA225" i="13"/>
  <c r="BA239" i="13"/>
  <c r="BA227" i="13"/>
  <c r="BA215" i="13"/>
  <c r="BA203" i="13"/>
  <c r="BA238" i="13"/>
  <c r="BA226" i="13"/>
  <c r="BA202" i="13"/>
  <c r="BA212" i="13"/>
  <c r="BA207" i="13"/>
  <c r="BA230" i="13"/>
  <c r="BA224" i="13"/>
  <c r="BA201" i="13"/>
  <c r="BA218" i="13"/>
  <c r="BA235" i="13"/>
  <c r="BA223" i="13"/>
  <c r="BA211" i="13"/>
  <c r="BA199" i="13"/>
  <c r="BA234" i="13"/>
  <c r="BA222" i="13"/>
  <c r="BA210" i="13"/>
  <c r="BA221" i="13"/>
  <c r="BA209" i="13"/>
  <c r="BA219" i="13"/>
  <c r="BA233" i="13"/>
  <c r="BA232" i="13"/>
  <c r="BA220" i="13"/>
  <c r="BA208" i="13"/>
  <c r="U241" i="13"/>
  <c r="U229" i="13"/>
  <c r="U205" i="13"/>
  <c r="U157" i="13"/>
  <c r="U109" i="13"/>
  <c r="U61" i="13"/>
  <c r="F241" i="13"/>
  <c r="U119" i="13"/>
  <c r="U47" i="13"/>
  <c r="AJ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G241" i="13"/>
  <c r="W241" i="13"/>
  <c r="AI241" i="13"/>
  <c r="AU241" i="13"/>
  <c r="U107" i="13"/>
  <c r="H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X241" i="13"/>
  <c r="BK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I241" i="13"/>
  <c r="Y241" i="13"/>
  <c r="AK241" i="13"/>
  <c r="BC241" i="13"/>
  <c r="AR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Z241" i="13"/>
  <c r="BD241" i="13"/>
  <c r="U115" i="13"/>
  <c r="U67" i="13"/>
  <c r="U43" i="13"/>
  <c r="U19" i="13"/>
  <c r="AB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A241" i="13"/>
  <c r="AQ241" i="13"/>
  <c r="BM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J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L241" i="13"/>
  <c r="AD241" i="13"/>
  <c r="AX241" i="13"/>
  <c r="BL241" i="13"/>
  <c r="U112" i="13"/>
  <c r="U88" i="13"/>
  <c r="U64" i="13"/>
  <c r="U40" i="13"/>
  <c r="U16" i="13"/>
  <c r="U4" i="13"/>
  <c r="AE241" i="13"/>
  <c r="AS241" i="13"/>
  <c r="U26" i="13"/>
  <c r="E241" i="13"/>
  <c r="AZ241" i="13"/>
  <c r="U181" i="13"/>
  <c r="U121" i="13"/>
  <c r="U73" i="13"/>
  <c r="U25" i="13"/>
  <c r="V241" i="13"/>
  <c r="U83" i="13"/>
  <c r="U35" i="13"/>
  <c r="BB241" i="13"/>
  <c r="AC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N241" i="13"/>
  <c r="P241" i="13"/>
  <c r="U193" i="13"/>
  <c r="U145" i="13"/>
  <c r="U97" i="13"/>
  <c r="U49" i="13"/>
  <c r="U13" i="13"/>
  <c r="AT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F241" i="13"/>
  <c r="AY241" i="13"/>
  <c r="BO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G241" i="13"/>
  <c r="U217" i="13"/>
  <c r="U169" i="13"/>
  <c r="U133" i="13"/>
  <c r="U85" i="13"/>
  <c r="U37" i="13"/>
  <c r="AH241" i="13"/>
  <c r="U23" i="13"/>
  <c r="AW241" i="13"/>
  <c r="O240" i="13"/>
  <c r="AE240" i="13"/>
  <c r="AX240" i="13"/>
  <c r="BK240" i="13"/>
  <c r="BO240" i="13"/>
  <c r="D240" i="13"/>
  <c r="AF240" i="13"/>
  <c r="AS240" i="13"/>
  <c r="BL240" i="13"/>
  <c r="P240" i="13"/>
  <c r="AG240" i="13"/>
  <c r="AY240" i="13"/>
  <c r="BN240" i="13"/>
  <c r="E240" i="13"/>
  <c r="F240" i="13"/>
  <c r="V240" i="13"/>
  <c r="AH240" i="13"/>
  <c r="AZ240" i="13"/>
  <c r="G240" i="13"/>
  <c r="W240" i="13"/>
  <c r="AI240" i="13"/>
  <c r="AT240" i="13"/>
  <c r="H240" i="13"/>
  <c r="X240" i="13"/>
  <c r="AJ240" i="13"/>
  <c r="AU240" i="13"/>
  <c r="I240" i="13"/>
  <c r="Y240" i="13"/>
  <c r="AK240" i="13"/>
  <c r="BB240" i="13"/>
  <c r="J240" i="13"/>
  <c r="Z240" i="13"/>
  <c r="BC240" i="13"/>
  <c r="R240" i="13"/>
  <c r="AA240" i="13"/>
  <c r="BD240" i="13"/>
  <c r="AW240" i="13"/>
  <c r="Q240" i="13"/>
  <c r="AB240" i="13"/>
  <c r="AQ240" i="13"/>
  <c r="AD240" i="13"/>
  <c r="BJ240" i="13"/>
  <c r="N240" i="13"/>
  <c r="AC240" i="13"/>
  <c r="AR240" i="13"/>
  <c r="BM240" i="13"/>
  <c r="L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O239" i="13"/>
  <c r="AE239" i="13"/>
  <c r="AX239" i="13"/>
  <c r="BK239" i="13"/>
  <c r="D239" i="13"/>
  <c r="AF239" i="13"/>
  <c r="BL239" i="13"/>
  <c r="P239" i="13"/>
  <c r="AG239" i="13"/>
  <c r="BN239" i="13"/>
  <c r="BM239" i="13"/>
  <c r="AD239" i="13"/>
  <c r="AS239" i="13"/>
  <c r="E239" i="13"/>
  <c r="AY239" i="13"/>
  <c r="N239" i="13"/>
  <c r="F239" i="13"/>
  <c r="V239" i="13"/>
  <c r="AH239" i="13"/>
  <c r="AZ239" i="13"/>
  <c r="BO239" i="13"/>
  <c r="AK239" i="13"/>
  <c r="BB239" i="13"/>
  <c r="J239" i="13"/>
  <c r="AB239" i="13"/>
  <c r="AR239" i="13"/>
  <c r="L239" i="13"/>
  <c r="G239" i="13"/>
  <c r="W239" i="13"/>
  <c r="AI239" i="13"/>
  <c r="AT239" i="13"/>
  <c r="Y239" i="13"/>
  <c r="BC239" i="13"/>
  <c r="AA239" i="13"/>
  <c r="BD239" i="13"/>
  <c r="Q239" i="13"/>
  <c r="AW239" i="13"/>
  <c r="X239" i="13"/>
  <c r="AJ239" i="13"/>
  <c r="AU239" i="13"/>
  <c r="I239" i="13"/>
  <c r="Z239" i="13"/>
  <c r="R239" i="13"/>
  <c r="AQ239" i="13"/>
  <c r="AC239" i="13"/>
  <c r="BJ239" i="13"/>
  <c r="O238" i="13"/>
  <c r="AE238" i="13"/>
  <c r="AX238" i="13"/>
  <c r="BK238" i="13"/>
  <c r="D238" i="13"/>
  <c r="AF238" i="13"/>
  <c r="AS238" i="13"/>
  <c r="BL238" i="13"/>
  <c r="E238" i="13"/>
  <c r="P238" i="13"/>
  <c r="AG238" i="13"/>
  <c r="AY238" i="13"/>
  <c r="BN238" i="13"/>
  <c r="F238" i="13"/>
  <c r="V238" i="13"/>
  <c r="AH238" i="13"/>
  <c r="AZ238" i="13"/>
  <c r="BO238" i="13"/>
  <c r="G238" i="13"/>
  <c r="W238" i="13"/>
  <c r="AI238" i="13"/>
  <c r="AT238" i="13"/>
  <c r="X238" i="13"/>
  <c r="AJ238" i="13"/>
  <c r="AU238" i="13"/>
  <c r="I238" i="13"/>
  <c r="Y238" i="13"/>
  <c r="AK238" i="13"/>
  <c r="BB238" i="13"/>
  <c r="J238" i="13"/>
  <c r="Z238" i="13"/>
  <c r="BC238" i="13"/>
  <c r="R238" i="13"/>
  <c r="AA238" i="13"/>
  <c r="BD238" i="13"/>
  <c r="Q238" i="13"/>
  <c r="AB238" i="13"/>
  <c r="AQ238" i="13"/>
  <c r="N238" i="13"/>
  <c r="AC238" i="13"/>
  <c r="AR238" i="13"/>
  <c r="BM238" i="13"/>
  <c r="L238" i="13"/>
  <c r="AD238" i="13"/>
  <c r="AW238" i="13"/>
  <c r="BJ238" i="13"/>
  <c r="O237" i="13"/>
  <c r="AE237" i="13"/>
  <c r="AX237" i="13"/>
  <c r="BK237" i="13"/>
  <c r="BC237" i="13"/>
  <c r="D237" i="13"/>
  <c r="AF237" i="13"/>
  <c r="AS237" i="13"/>
  <c r="BL237" i="13"/>
  <c r="R237" i="13"/>
  <c r="Q237" i="13"/>
  <c r="N237" i="13"/>
  <c r="AD237" i="13"/>
  <c r="E237" i="13"/>
  <c r="P237" i="13"/>
  <c r="AG237" i="13"/>
  <c r="AY237" i="13"/>
  <c r="BN237" i="13"/>
  <c r="BD237" i="13"/>
  <c r="AC237" i="13"/>
  <c r="BJ237" i="13"/>
  <c r="F237" i="13"/>
  <c r="V237" i="13"/>
  <c r="AH237" i="13"/>
  <c r="AZ237" i="13"/>
  <c r="BO237" i="13"/>
  <c r="I237" i="13"/>
  <c r="BB237" i="13"/>
  <c r="J237" i="13"/>
  <c r="AA237" i="13"/>
  <c r="AQ237" i="13"/>
  <c r="BM237" i="13"/>
  <c r="L237" i="13"/>
  <c r="G237" i="13"/>
  <c r="W237" i="13"/>
  <c r="AI237" i="13"/>
  <c r="AT237" i="13"/>
  <c r="Y237" i="13"/>
  <c r="X237" i="13"/>
  <c r="AJ237" i="13"/>
  <c r="AU237" i="13"/>
  <c r="AK237" i="13"/>
  <c r="Z237" i="13"/>
  <c r="AB237" i="13"/>
  <c r="AW237" i="13"/>
  <c r="AR237" i="13"/>
  <c r="BO225" i="13"/>
  <c r="BO213" i="13"/>
  <c r="X236" i="13"/>
  <c r="AJ236" i="13"/>
  <c r="BB236" i="13"/>
  <c r="BO236" i="13"/>
  <c r="BO224" i="13"/>
  <c r="BO212" i="13"/>
  <c r="I236" i="13"/>
  <c r="Y236" i="13"/>
  <c r="AK236" i="13"/>
  <c r="BC236" i="13"/>
  <c r="BO235" i="13"/>
  <c r="BO223" i="13"/>
  <c r="BO211" i="13"/>
  <c r="J236" i="13"/>
  <c r="Z236" i="13"/>
  <c r="BD236" i="13"/>
  <c r="BO234" i="13"/>
  <c r="BO222" i="13"/>
  <c r="BO210" i="13"/>
  <c r="R236" i="13"/>
  <c r="AA236" i="13"/>
  <c r="AQ236" i="13"/>
  <c r="BM236" i="13"/>
  <c r="BO233" i="13"/>
  <c r="BO221" i="13"/>
  <c r="BO209" i="13"/>
  <c r="Q236" i="13"/>
  <c r="AB236" i="13"/>
  <c r="AR236" i="13"/>
  <c r="BJ236" i="13"/>
  <c r="BO232" i="13"/>
  <c r="BO220" i="13"/>
  <c r="BO208" i="13"/>
  <c r="N236" i="13"/>
  <c r="AC236" i="13"/>
  <c r="AW236" i="13"/>
  <c r="BK236" i="13"/>
  <c r="BO231" i="13"/>
  <c r="BO219" i="13"/>
  <c r="BO207" i="13"/>
  <c r="L236" i="13"/>
  <c r="AD236" i="13"/>
  <c r="AX236" i="13"/>
  <c r="BL236" i="13"/>
  <c r="BO230" i="13"/>
  <c r="BO218" i="13"/>
  <c r="BO206" i="13"/>
  <c r="O236" i="13"/>
  <c r="AE236" i="13"/>
  <c r="AS236" i="13"/>
  <c r="BN236" i="13"/>
  <c r="BO229" i="13"/>
  <c r="BO217" i="13"/>
  <c r="D236" i="13"/>
  <c r="AF236" i="13"/>
  <c r="AY236" i="13"/>
  <c r="BO228" i="13"/>
  <c r="BO216" i="13"/>
  <c r="E236" i="13"/>
  <c r="P236" i="13"/>
  <c r="AG236" i="13"/>
  <c r="AZ236" i="13"/>
  <c r="BO227" i="13"/>
  <c r="BO215" i="13"/>
  <c r="F236" i="13"/>
  <c r="V236" i="13"/>
  <c r="AH236" i="13"/>
  <c r="AT236" i="13"/>
  <c r="BO226" i="13"/>
  <c r="BO214" i="13"/>
  <c r="G236" i="13"/>
  <c r="W236" i="13"/>
  <c r="AI236" i="13"/>
  <c r="AU236" i="13"/>
  <c r="O235" i="13"/>
  <c r="AE235" i="13"/>
  <c r="AX235" i="13"/>
  <c r="BK235" i="13"/>
  <c r="D235" i="13"/>
  <c r="AF235" i="13"/>
  <c r="AS235" i="13"/>
  <c r="BL235" i="13"/>
  <c r="E235" i="13"/>
  <c r="P235" i="13"/>
  <c r="AG235" i="13"/>
  <c r="AY235" i="13"/>
  <c r="BN235" i="13"/>
  <c r="F235" i="13"/>
  <c r="V235" i="13"/>
  <c r="AH235" i="13"/>
  <c r="AZ235" i="13"/>
  <c r="G235" i="13"/>
  <c r="W235" i="13"/>
  <c r="AI235" i="13"/>
  <c r="AT235" i="13"/>
  <c r="X235" i="13"/>
  <c r="AJ235" i="13"/>
  <c r="AU235" i="13"/>
  <c r="I235" i="13"/>
  <c r="Y235" i="13"/>
  <c r="AK235" i="13"/>
  <c r="BB235" i="13"/>
  <c r="J235" i="13"/>
  <c r="Z235" i="13"/>
  <c r="BC235" i="13"/>
  <c r="R235" i="13"/>
  <c r="AA235" i="13"/>
  <c r="BD235" i="13"/>
  <c r="Q235" i="13"/>
  <c r="AB235" i="13"/>
  <c r="AQ235" i="13"/>
  <c r="N235" i="13"/>
  <c r="AC235" i="13"/>
  <c r="AR235" i="13"/>
  <c r="BM235" i="13"/>
  <c r="L235" i="13"/>
  <c r="AD235" i="13"/>
  <c r="AW235" i="13"/>
  <c r="BJ235" i="13"/>
  <c r="I234" i="13"/>
  <c r="Y234" i="13"/>
  <c r="AK234" i="13"/>
  <c r="BC234" i="13"/>
  <c r="J234" i="13"/>
  <c r="Z234" i="13"/>
  <c r="BD234" i="13"/>
  <c r="R234" i="13"/>
  <c r="AA234" i="13"/>
  <c r="AQ234" i="13"/>
  <c r="AR234" i="13"/>
  <c r="L234" i="13"/>
  <c r="AD234" i="13"/>
  <c r="AX234" i="13"/>
  <c r="BL234" i="13"/>
  <c r="AY234" i="13"/>
  <c r="AU234" i="13"/>
  <c r="AJ234" i="13"/>
  <c r="BJ234" i="13"/>
  <c r="AW234" i="13"/>
  <c r="O234" i="13"/>
  <c r="AE234" i="13"/>
  <c r="AS234" i="13"/>
  <c r="BN234" i="13"/>
  <c r="AF234" i="13"/>
  <c r="AT234" i="13"/>
  <c r="G234" i="13"/>
  <c r="AI234" i="13"/>
  <c r="N234" i="13"/>
  <c r="D234" i="13"/>
  <c r="BB234" i="13"/>
  <c r="Q234" i="13"/>
  <c r="AC234" i="13"/>
  <c r="E234" i="13"/>
  <c r="P234" i="13"/>
  <c r="AG234" i="13"/>
  <c r="AZ234" i="13"/>
  <c r="F234" i="13"/>
  <c r="V234" i="13"/>
  <c r="AH234" i="13"/>
  <c r="W234" i="13"/>
  <c r="X234" i="13"/>
  <c r="BM234" i="13"/>
  <c r="AB234" i="13"/>
  <c r="BK234" i="13"/>
  <c r="O233" i="13"/>
  <c r="AE233" i="13"/>
  <c r="AX233" i="13"/>
  <c r="BK233" i="13"/>
  <c r="Z233" i="13"/>
  <c r="BD233" i="13"/>
  <c r="AQ233" i="13"/>
  <c r="BM233" i="13"/>
  <c r="BJ233" i="13"/>
  <c r="D233" i="13"/>
  <c r="AF233" i="13"/>
  <c r="AS233" i="13"/>
  <c r="BL233" i="13"/>
  <c r="BN233" i="13"/>
  <c r="G233" i="13"/>
  <c r="AI233" i="13"/>
  <c r="I233" i="13"/>
  <c r="BB233" i="13"/>
  <c r="AA233" i="13"/>
  <c r="Q233" i="13"/>
  <c r="AR233" i="13"/>
  <c r="AW233" i="13"/>
  <c r="E233" i="13"/>
  <c r="P233" i="13"/>
  <c r="AG233" i="13"/>
  <c r="AY233" i="13"/>
  <c r="W233" i="13"/>
  <c r="AT233" i="13"/>
  <c r="AJ233" i="13"/>
  <c r="Y233" i="13"/>
  <c r="BC233" i="13"/>
  <c r="AB233" i="13"/>
  <c r="AC233" i="13"/>
  <c r="L233" i="13"/>
  <c r="F233" i="13"/>
  <c r="V233" i="13"/>
  <c r="AH233" i="13"/>
  <c r="AZ233" i="13"/>
  <c r="X233" i="13"/>
  <c r="AU233" i="13"/>
  <c r="AK233" i="13"/>
  <c r="J233" i="13"/>
  <c r="R233" i="13"/>
  <c r="N233" i="13"/>
  <c r="AD233" i="13"/>
  <c r="O232" i="13"/>
  <c r="AE232" i="13"/>
  <c r="AX232" i="13"/>
  <c r="BK232" i="13"/>
  <c r="P232" i="13"/>
  <c r="AG232" i="13"/>
  <c r="BN232" i="13"/>
  <c r="AU232" i="13"/>
  <c r="BB232" i="13"/>
  <c r="AA232" i="13"/>
  <c r="AQ232" i="13"/>
  <c r="N232" i="13"/>
  <c r="BM232" i="13"/>
  <c r="L232" i="13"/>
  <c r="BJ232" i="13"/>
  <c r="D232" i="13"/>
  <c r="AF232" i="13"/>
  <c r="AS232" i="13"/>
  <c r="BL232" i="13"/>
  <c r="E232" i="13"/>
  <c r="AY232" i="13"/>
  <c r="X232" i="13"/>
  <c r="Y232" i="13"/>
  <c r="J232" i="13"/>
  <c r="BC232" i="13"/>
  <c r="R232" i="13"/>
  <c r="AB232" i="13"/>
  <c r="AC232" i="13"/>
  <c r="AW232" i="13"/>
  <c r="F232" i="13"/>
  <c r="V232" i="13"/>
  <c r="AH232" i="13"/>
  <c r="AZ232" i="13"/>
  <c r="G232" i="13"/>
  <c r="W232" i="13"/>
  <c r="AI232" i="13"/>
  <c r="AT232" i="13"/>
  <c r="AJ232" i="13"/>
  <c r="I232" i="13"/>
  <c r="AK232" i="13"/>
  <c r="Z232" i="13"/>
  <c r="BD232" i="13"/>
  <c r="Q232" i="13"/>
  <c r="AR232" i="13"/>
  <c r="AD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F231" i="13"/>
  <c r="AS231" i="13"/>
  <c r="BL231" i="13"/>
  <c r="BJ220" i="13"/>
  <c r="BJ208" i="13"/>
  <c r="D231" i="13"/>
  <c r="P231" i="13"/>
  <c r="AG231" i="13"/>
  <c r="AY231" i="13"/>
  <c r="BN231" i="13"/>
  <c r="BJ219" i="13"/>
  <c r="BJ207" i="13"/>
  <c r="E231" i="13"/>
  <c r="V231" i="13"/>
  <c r="AH231" i="13"/>
  <c r="AZ231" i="13"/>
  <c r="BJ230" i="13"/>
  <c r="BJ218" i="13"/>
  <c r="BJ206" i="13"/>
  <c r="F231" i="13"/>
  <c r="W231" i="13"/>
  <c r="AI231" i="13"/>
  <c r="AT231" i="13"/>
  <c r="BJ229" i="13"/>
  <c r="BJ217" i="13"/>
  <c r="G231" i="13"/>
  <c r="X231" i="13"/>
  <c r="AJ231" i="13"/>
  <c r="AU231" i="13"/>
  <c r="BJ228" i="13"/>
  <c r="BJ216" i="13"/>
  <c r="Y231" i="13"/>
  <c r="AK231" i="13"/>
  <c r="BB231" i="13"/>
  <c r="BJ227" i="13"/>
  <c r="BJ215" i="13"/>
  <c r="I231" i="13"/>
  <c r="Z231" i="13"/>
  <c r="BC231" i="13"/>
  <c r="BJ226" i="13"/>
  <c r="BJ214" i="13"/>
  <c r="J231" i="13"/>
  <c r="AA231" i="13"/>
  <c r="BD231" i="13"/>
  <c r="BJ225" i="13"/>
  <c r="BJ213" i="13"/>
  <c r="R231" i="13"/>
  <c r="AB231" i="13"/>
  <c r="AQ231" i="13"/>
  <c r="BJ224" i="13"/>
  <c r="BJ212" i="13"/>
  <c r="Q231" i="13"/>
  <c r="AC231" i="13"/>
  <c r="AR231" i="13"/>
  <c r="BM231" i="13"/>
  <c r="BJ223" i="13"/>
  <c r="BJ211" i="13"/>
  <c r="L231" i="13"/>
  <c r="AD231" i="13"/>
  <c r="AW231" i="13"/>
  <c r="BJ231" i="13"/>
  <c r="BJ222" i="13"/>
  <c r="BJ210" i="13"/>
  <c r="O231" i="13"/>
  <c r="AE231" i="13"/>
  <c r="AX231" i="13"/>
  <c r="BK231" i="13"/>
  <c r="BJ221" i="13"/>
  <c r="BJ209" i="13"/>
  <c r="N2986" i="11"/>
  <c r="N2914" i="11"/>
  <c r="N2735" i="11"/>
  <c r="L227" i="13"/>
  <c r="L215" i="13"/>
  <c r="L203" i="13"/>
  <c r="L191" i="13"/>
  <c r="L179" i="13"/>
  <c r="L167" i="13"/>
  <c r="L155" i="13"/>
  <c r="L143" i="13"/>
  <c r="L131" i="13"/>
  <c r="L119" i="13"/>
  <c r="L107" i="13"/>
  <c r="L95" i="13"/>
  <c r="L83" i="13"/>
  <c r="L71" i="13"/>
  <c r="L59" i="13"/>
  <c r="L47" i="13"/>
  <c r="L35" i="13"/>
  <c r="L23" i="13"/>
  <c r="L11" i="13"/>
  <c r="L226" i="13"/>
  <c r="L214" i="13"/>
  <c r="L202" i="13"/>
  <c r="L190" i="13"/>
  <c r="L178" i="13"/>
  <c r="L166" i="13"/>
  <c r="L154" i="13"/>
  <c r="L142" i="13"/>
  <c r="L130" i="13"/>
  <c r="L118" i="13"/>
  <c r="L106" i="13"/>
  <c r="L94" i="13"/>
  <c r="L82" i="13"/>
  <c r="L70" i="13"/>
  <c r="L58" i="13"/>
  <c r="L46" i="13"/>
  <c r="L34" i="13"/>
  <c r="L22" i="13"/>
  <c r="L10" i="13"/>
  <c r="L225" i="13"/>
  <c r="L213" i="13"/>
  <c r="L201" i="13"/>
  <c r="L189" i="13"/>
  <c r="L177" i="13"/>
  <c r="L165" i="13"/>
  <c r="L153" i="13"/>
  <c r="L141" i="13"/>
  <c r="L129" i="13"/>
  <c r="L117" i="13"/>
  <c r="L105" i="13"/>
  <c r="L93" i="13"/>
  <c r="L81" i="13"/>
  <c r="L69" i="13"/>
  <c r="L57" i="13"/>
  <c r="L45" i="13"/>
  <c r="L33" i="13"/>
  <c r="L21" i="13"/>
  <c r="L9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19" i="13"/>
  <c r="L207" i="13"/>
  <c r="L195" i="13"/>
  <c r="L183" i="13"/>
  <c r="L171" i="13"/>
  <c r="L159" i="13"/>
  <c r="L147" i="13"/>
  <c r="L135" i="13"/>
  <c r="L123" i="13"/>
  <c r="L111" i="13"/>
  <c r="L99" i="13"/>
  <c r="L87" i="13"/>
  <c r="L75" i="13"/>
  <c r="L63" i="13"/>
  <c r="L51" i="13"/>
  <c r="L39" i="13"/>
  <c r="L27" i="13"/>
  <c r="L15" i="13"/>
  <c r="L230" i="13"/>
  <c r="L218" i="13"/>
  <c r="L206" i="13"/>
  <c r="L194" i="13"/>
  <c r="L182" i="13"/>
  <c r="L170" i="13"/>
  <c r="L158" i="13"/>
  <c r="L146" i="13"/>
  <c r="L134" i="13"/>
  <c r="L217" i="13"/>
  <c r="L169" i="13"/>
  <c r="L122" i="13"/>
  <c r="L86" i="13"/>
  <c r="L50" i="13"/>
  <c r="L14" i="13"/>
  <c r="L84" i="13"/>
  <c r="L12" i="13"/>
  <c r="L157" i="13"/>
  <c r="L43" i="13"/>
  <c r="L204" i="13"/>
  <c r="L110" i="13"/>
  <c r="L199" i="13"/>
  <c r="L73" i="13"/>
  <c r="L145" i="13"/>
  <c r="L144" i="13"/>
  <c r="L98" i="13"/>
  <c r="L229" i="13"/>
  <c r="L25" i="13"/>
  <c r="L132" i="13"/>
  <c r="L24" i="13"/>
  <c r="L223" i="13"/>
  <c r="L91" i="13"/>
  <c r="L216" i="13"/>
  <c r="L168" i="13"/>
  <c r="L121" i="13"/>
  <c r="L85" i="13"/>
  <c r="L49" i="13"/>
  <c r="L13" i="13"/>
  <c r="L211" i="13"/>
  <c r="L163" i="13"/>
  <c r="L120" i="13"/>
  <c r="L48" i="13"/>
  <c r="L205" i="13"/>
  <c r="L115" i="13"/>
  <c r="L79" i="13"/>
  <c r="L7" i="13"/>
  <c r="L156" i="13"/>
  <c r="L74" i="13"/>
  <c r="L38" i="13"/>
  <c r="L151" i="13"/>
  <c r="L37" i="13"/>
  <c r="L193" i="13"/>
  <c r="L72" i="13"/>
  <c r="L36" i="13"/>
  <c r="L192" i="13"/>
  <c r="L67" i="13"/>
  <c r="L31" i="13"/>
  <c r="L187" i="13"/>
  <c r="L62" i="13"/>
  <c r="L181" i="13"/>
  <c r="L97" i="13"/>
  <c r="L228" i="13"/>
  <c r="L60" i="13"/>
  <c r="L175" i="13"/>
  <c r="L19" i="13"/>
  <c r="L109" i="13"/>
  <c r="L108" i="13"/>
  <c r="L103" i="13"/>
  <c r="L139" i="13"/>
  <c r="L26" i="13"/>
  <c r="L133" i="13"/>
  <c r="L61" i="13"/>
  <c r="L180" i="13"/>
  <c r="L96" i="13"/>
  <c r="L127" i="13"/>
  <c r="L55" i="13"/>
  <c r="Q230" i="13"/>
  <c r="AY219" i="13"/>
  <c r="AY207" i="13"/>
  <c r="AS227" i="13"/>
  <c r="AS215" i="13"/>
  <c r="AS203" i="13"/>
  <c r="AC230" i="13"/>
  <c r="AW230" i="13"/>
  <c r="AY230" i="13"/>
  <c r="AY218" i="13"/>
  <c r="AY206" i="13"/>
  <c r="AS226" i="13"/>
  <c r="AS214" i="13"/>
  <c r="AS202" i="13"/>
  <c r="R230" i="13"/>
  <c r="AD230" i="13"/>
  <c r="AX230" i="13"/>
  <c r="AY229" i="13"/>
  <c r="AY217" i="13"/>
  <c r="AY205" i="13"/>
  <c r="AS225" i="13"/>
  <c r="AS213" i="13"/>
  <c r="AS201" i="13"/>
  <c r="O230" i="13"/>
  <c r="AE230" i="13"/>
  <c r="AZ230" i="13"/>
  <c r="AY228" i="13"/>
  <c r="AY216" i="13"/>
  <c r="AY204" i="13"/>
  <c r="AS224" i="13"/>
  <c r="AS212" i="13"/>
  <c r="AS200" i="13"/>
  <c r="AF230" i="13"/>
  <c r="AT230" i="13"/>
  <c r="AY227" i="13"/>
  <c r="AY215" i="13"/>
  <c r="AY203" i="13"/>
  <c r="AS223" i="13"/>
  <c r="AS211" i="13"/>
  <c r="AS199" i="13"/>
  <c r="P230" i="13"/>
  <c r="AG230" i="13"/>
  <c r="AU230" i="13"/>
  <c r="AY226" i="13"/>
  <c r="AY214" i="13"/>
  <c r="AY202" i="13"/>
  <c r="AS222" i="13"/>
  <c r="AS210" i="13"/>
  <c r="D230" i="13"/>
  <c r="V230" i="13"/>
  <c r="AH230" i="13"/>
  <c r="BB230" i="13"/>
  <c r="AY225" i="13"/>
  <c r="AY213" i="13"/>
  <c r="AY201" i="13"/>
  <c r="AS221" i="13"/>
  <c r="AS209" i="13"/>
  <c r="E230" i="13"/>
  <c r="W230" i="13"/>
  <c r="AI230" i="13"/>
  <c r="BC230" i="13"/>
  <c r="AY224" i="13"/>
  <c r="AY212" i="13"/>
  <c r="AY200" i="13"/>
  <c r="AS220" i="13"/>
  <c r="AS208" i="13"/>
  <c r="F230" i="13"/>
  <c r="X230" i="13"/>
  <c r="AJ230" i="13"/>
  <c r="BD230" i="13"/>
  <c r="AY223" i="13"/>
  <c r="AY211" i="13"/>
  <c r="AY199" i="13"/>
  <c r="AS219" i="13"/>
  <c r="AS207" i="13"/>
  <c r="G230" i="13"/>
  <c r="Y230" i="13"/>
  <c r="AK230" i="13"/>
  <c r="BM230" i="13"/>
  <c r="AY222" i="13"/>
  <c r="AY210" i="13"/>
  <c r="AS230" i="13"/>
  <c r="AS218" i="13"/>
  <c r="AS206" i="13"/>
  <c r="AY221" i="13"/>
  <c r="J230" i="13"/>
  <c r="AY220" i="13"/>
  <c r="AY209" i="13"/>
  <c r="Z230" i="13"/>
  <c r="AY208" i="13"/>
  <c r="AA230" i="13"/>
  <c r="AS229" i="13"/>
  <c r="AB230" i="13"/>
  <c r="AS228" i="13"/>
  <c r="AS217" i="13"/>
  <c r="AQ230" i="13"/>
  <c r="AR230" i="13"/>
  <c r="AS205" i="13"/>
  <c r="BK230" i="13"/>
  <c r="AS204" i="13"/>
  <c r="BN230" i="13"/>
  <c r="I230" i="13"/>
  <c r="AS216" i="13"/>
  <c r="BL230" i="13"/>
  <c r="O229" i="13"/>
  <c r="AE229" i="13"/>
  <c r="AX229" i="13"/>
  <c r="AG229" i="13"/>
  <c r="E229" i="13"/>
  <c r="AH229" i="13"/>
  <c r="AU229" i="13"/>
  <c r="F229" i="13"/>
  <c r="AF229" i="13"/>
  <c r="AZ229" i="13"/>
  <c r="P229" i="13"/>
  <c r="AT229" i="13"/>
  <c r="V229" i="13"/>
  <c r="D229" i="13"/>
  <c r="G229" i="13"/>
  <c r="X229" i="13"/>
  <c r="AJ229" i="13"/>
  <c r="BC229" i="13"/>
  <c r="Z229" i="13"/>
  <c r="Q229" i="13"/>
  <c r="BN229" i="13"/>
  <c r="Y229" i="13"/>
  <c r="AK229" i="13"/>
  <c r="BD229" i="13"/>
  <c r="BM229" i="13"/>
  <c r="AW229" i="13"/>
  <c r="AI229" i="13"/>
  <c r="I229" i="13"/>
  <c r="BB229" i="13"/>
  <c r="J229" i="13"/>
  <c r="AA229" i="13"/>
  <c r="AB229" i="13"/>
  <c r="AQ229" i="13"/>
  <c r="BK229" i="13"/>
  <c r="R229" i="13"/>
  <c r="AC229" i="13"/>
  <c r="AR229" i="13"/>
  <c r="BL229" i="13"/>
  <c r="AD229" i="13"/>
  <c r="W229" i="13"/>
  <c r="AX228" i="13"/>
  <c r="AX226" i="13"/>
  <c r="AX214" i="13"/>
  <c r="AX202" i="13"/>
  <c r="AX212" i="13"/>
  <c r="AX223" i="13"/>
  <c r="AX199" i="13"/>
  <c r="AX222" i="13"/>
  <c r="AX221" i="13"/>
  <c r="AX220" i="13"/>
  <c r="AX219" i="13"/>
  <c r="AX218" i="13"/>
  <c r="AX217" i="13"/>
  <c r="AX216" i="13"/>
  <c r="AX227" i="13"/>
  <c r="AX203" i="13"/>
  <c r="AX225" i="13"/>
  <c r="AX213" i="13"/>
  <c r="AX201" i="13"/>
  <c r="AX224" i="13"/>
  <c r="AX200" i="13"/>
  <c r="AX211" i="13"/>
  <c r="AX210" i="13"/>
  <c r="AX209" i="13"/>
  <c r="AX208" i="13"/>
  <c r="AX207" i="13"/>
  <c r="AX206" i="13"/>
  <c r="AX205" i="13"/>
  <c r="AX204" i="13"/>
  <c r="AX215" i="13"/>
  <c r="BN228" i="13"/>
  <c r="AQ228" i="13"/>
  <c r="AA228" i="13"/>
  <c r="J228" i="13"/>
  <c r="BL228" i="13"/>
  <c r="Z228" i="13"/>
  <c r="I228" i="13"/>
  <c r="BK228" i="13"/>
  <c r="AK228" i="13"/>
  <c r="Y228" i="13"/>
  <c r="BM228" i="13"/>
  <c r="AJ228" i="13"/>
  <c r="X228" i="13"/>
  <c r="G228" i="13"/>
  <c r="BD228" i="13"/>
  <c r="AI228" i="13"/>
  <c r="W228" i="13"/>
  <c r="F228" i="13"/>
  <c r="BC228" i="13"/>
  <c r="AH228" i="13"/>
  <c r="V228" i="13"/>
  <c r="E228" i="13"/>
  <c r="BB228" i="13"/>
  <c r="AG228" i="13"/>
  <c r="P228" i="13"/>
  <c r="D228" i="13"/>
  <c r="AU228" i="13"/>
  <c r="AF228" i="13"/>
  <c r="AT228" i="13"/>
  <c r="AE228" i="13"/>
  <c r="O228" i="13"/>
  <c r="AZ228" i="13"/>
  <c r="AD228" i="13"/>
  <c r="Q228" i="13"/>
  <c r="AW228" i="13"/>
  <c r="AC228" i="13"/>
  <c r="R228" i="13"/>
  <c r="AR228" i="13"/>
  <c r="AB228" i="13"/>
  <c r="BL227" i="13"/>
  <c r="BL215" i="13"/>
  <c r="D227" i="13"/>
  <c r="V227" i="13"/>
  <c r="AH227" i="13"/>
  <c r="BD227" i="13"/>
  <c r="BL226" i="13"/>
  <c r="BL214" i="13"/>
  <c r="W227" i="13"/>
  <c r="BM227" i="13"/>
  <c r="BL213" i="13"/>
  <c r="BK227" i="13"/>
  <c r="AR227" i="13"/>
  <c r="AB227" i="13"/>
  <c r="R227" i="13"/>
  <c r="AJ227" i="13"/>
  <c r="AC227" i="13"/>
  <c r="BL224" i="13"/>
  <c r="BL212" i="13"/>
  <c r="G227" i="13"/>
  <c r="Y227" i="13"/>
  <c r="AK227" i="13"/>
  <c r="BN227" i="13"/>
  <c r="BL223" i="13"/>
  <c r="BL211" i="13"/>
  <c r="Z227" i="13"/>
  <c r="AQ227" i="13"/>
  <c r="BL222" i="13"/>
  <c r="AZ227" i="13"/>
  <c r="AA227" i="13"/>
  <c r="BL221" i="13"/>
  <c r="BL220" i="13"/>
  <c r="BL219" i="13"/>
  <c r="BL207" i="13"/>
  <c r="Q227" i="13"/>
  <c r="AD227" i="13"/>
  <c r="AT227" i="13"/>
  <c r="P227" i="13"/>
  <c r="AI227" i="13"/>
  <c r="X227" i="13"/>
  <c r="J227" i="13"/>
  <c r="BL208" i="13"/>
  <c r="BL218" i="13"/>
  <c r="BL206" i="13"/>
  <c r="O227" i="13"/>
  <c r="AE227" i="13"/>
  <c r="AU227" i="13"/>
  <c r="AG227" i="13"/>
  <c r="F227" i="13"/>
  <c r="BL210" i="13"/>
  <c r="AW227" i="13"/>
  <c r="BL217" i="13"/>
  <c r="AF227" i="13"/>
  <c r="BB227" i="13"/>
  <c r="BL216" i="13"/>
  <c r="BC227" i="13"/>
  <c r="E227" i="13"/>
  <c r="BL225" i="13"/>
  <c r="I227" i="13"/>
  <c r="BL209" i="13"/>
  <c r="AW216" i="13"/>
  <c r="AW204" i="13"/>
  <c r="J226" i="13"/>
  <c r="AB226" i="13"/>
  <c r="AR226" i="13"/>
  <c r="AW203" i="13"/>
  <c r="R226" i="13"/>
  <c r="Q226" i="13"/>
  <c r="AT226" i="13"/>
  <c r="O226" i="13"/>
  <c r="AW215" i="13"/>
  <c r="AW226" i="13"/>
  <c r="AW225" i="13"/>
  <c r="AW224" i="13"/>
  <c r="AW212" i="13"/>
  <c r="AW200" i="13"/>
  <c r="AF226" i="13"/>
  <c r="BB226" i="13"/>
  <c r="AW223" i="13"/>
  <c r="AW211" i="13"/>
  <c r="AW199" i="13"/>
  <c r="P226" i="13"/>
  <c r="AG226" i="13"/>
  <c r="BC226" i="13"/>
  <c r="AW210" i="13"/>
  <c r="D226" i="13"/>
  <c r="V226" i="13"/>
  <c r="AH226" i="13"/>
  <c r="BD226" i="13"/>
  <c r="AW222" i="13"/>
  <c r="AW221" i="13"/>
  <c r="AW209" i="13"/>
  <c r="E226" i="13"/>
  <c r="W226" i="13"/>
  <c r="AI226" i="13"/>
  <c r="BM226" i="13"/>
  <c r="Z226" i="13"/>
  <c r="I226" i="13"/>
  <c r="AQ226" i="13"/>
  <c r="AD226" i="13"/>
  <c r="AW201" i="13"/>
  <c r="AW220" i="13"/>
  <c r="AW208" i="13"/>
  <c r="F226" i="13"/>
  <c r="X226" i="13"/>
  <c r="AJ226" i="13"/>
  <c r="BK226" i="13"/>
  <c r="AW206" i="13"/>
  <c r="AW205" i="13"/>
  <c r="AA226" i="13"/>
  <c r="AC226" i="13"/>
  <c r="AW214" i="13"/>
  <c r="AE226" i="13"/>
  <c r="AW219" i="13"/>
  <c r="AW207" i="13"/>
  <c r="G226" i="13"/>
  <c r="Y226" i="13"/>
  <c r="AK226" i="13"/>
  <c r="BN226" i="13"/>
  <c r="AZ226" i="13"/>
  <c r="AW202" i="13"/>
  <c r="AW213" i="13"/>
  <c r="AU226" i="13"/>
  <c r="AW218" i="13"/>
  <c r="AW217" i="13"/>
  <c r="D225" i="13"/>
  <c r="V225" i="13"/>
  <c r="AH225" i="13"/>
  <c r="BD225" i="13"/>
  <c r="E225" i="13"/>
  <c r="W225" i="13"/>
  <c r="AI225" i="13"/>
  <c r="BM225" i="13"/>
  <c r="F225" i="13"/>
  <c r="X225" i="13"/>
  <c r="AJ225" i="13"/>
  <c r="BK225" i="13"/>
  <c r="G225" i="13"/>
  <c r="Y225" i="13"/>
  <c r="AK225" i="13"/>
  <c r="BN225" i="13"/>
  <c r="Z225" i="13"/>
  <c r="I225" i="13"/>
  <c r="AA225" i="13"/>
  <c r="AQ225" i="13"/>
  <c r="J225" i="13"/>
  <c r="AB225" i="13"/>
  <c r="AR225" i="13"/>
  <c r="R225" i="13"/>
  <c r="AC225" i="13"/>
  <c r="AZ225" i="13"/>
  <c r="Q225" i="13"/>
  <c r="AD225" i="13"/>
  <c r="AT225" i="13"/>
  <c r="O225" i="13"/>
  <c r="AE225" i="13"/>
  <c r="AU225" i="13"/>
  <c r="AF225" i="13"/>
  <c r="BB225" i="13"/>
  <c r="P225" i="13"/>
  <c r="AG225" i="13"/>
  <c r="BC225" i="13"/>
  <c r="N1229" i="11"/>
  <c r="N2462" i="11"/>
  <c r="N1702" i="11"/>
  <c r="BN224" i="13"/>
  <c r="BN218" i="13"/>
  <c r="BN212" i="13"/>
  <c r="BN206" i="13"/>
  <c r="BK223" i="13"/>
  <c r="BK211" i="13"/>
  <c r="BN222" i="13"/>
  <c r="BK222" i="13"/>
  <c r="BN215" i="13"/>
  <c r="BK215" i="13"/>
  <c r="BN220" i="13"/>
  <c r="BK214" i="13"/>
  <c r="BN213" i="13"/>
  <c r="BK207" i="13"/>
  <c r="BK224" i="13"/>
  <c r="BK218" i="13"/>
  <c r="BK212" i="13"/>
  <c r="BK206" i="13"/>
  <c r="BN210" i="13"/>
  <c r="BK210" i="13"/>
  <c r="BK209" i="13"/>
  <c r="BN208" i="13"/>
  <c r="BK208" i="13"/>
  <c r="BN207" i="13"/>
  <c r="BK213" i="13"/>
  <c r="BN223" i="13"/>
  <c r="BN217" i="13"/>
  <c r="BN211" i="13"/>
  <c r="BK217" i="13"/>
  <c r="BN216" i="13"/>
  <c r="BK216" i="13"/>
  <c r="BN221" i="13"/>
  <c r="BN209" i="13"/>
  <c r="BK221" i="13"/>
  <c r="BN214" i="13"/>
  <c r="BK220" i="13"/>
  <c r="BN219" i="13"/>
  <c r="BK219" i="13"/>
  <c r="I224" i="13"/>
  <c r="AB224" i="13"/>
  <c r="AZ224" i="13"/>
  <c r="AD224" i="13"/>
  <c r="AE224" i="13"/>
  <c r="AF224" i="13"/>
  <c r="P224" i="13"/>
  <c r="BD224" i="13"/>
  <c r="V224" i="13"/>
  <c r="D224" i="13"/>
  <c r="AI224" i="13"/>
  <c r="X224" i="13"/>
  <c r="Y224" i="13"/>
  <c r="G224" i="13"/>
  <c r="AR224" i="13"/>
  <c r="J224" i="13"/>
  <c r="AC224" i="13"/>
  <c r="AT224" i="13"/>
  <c r="R224" i="13"/>
  <c r="AU224" i="13"/>
  <c r="Q224" i="13"/>
  <c r="BB224" i="13"/>
  <c r="O224" i="13"/>
  <c r="BC224" i="13"/>
  <c r="AG224" i="13"/>
  <c r="AH224" i="13"/>
  <c r="W224" i="13"/>
  <c r="BM224" i="13"/>
  <c r="E224" i="13"/>
  <c r="AJ224" i="13"/>
  <c r="F224" i="13"/>
  <c r="AK224" i="13"/>
  <c r="Z224" i="13"/>
  <c r="AQ224" i="13"/>
  <c r="AA224" i="13"/>
  <c r="N2935" i="11"/>
  <c r="N2525" i="11"/>
  <c r="N2475" i="11"/>
  <c r="N2977" i="11"/>
  <c r="N3046" i="11"/>
  <c r="AF223" i="13"/>
  <c r="AU223" i="13"/>
  <c r="V223" i="13"/>
  <c r="E223" i="13"/>
  <c r="AI223" i="13"/>
  <c r="F223" i="13"/>
  <c r="X223" i="13"/>
  <c r="Y223" i="13"/>
  <c r="Z223" i="13"/>
  <c r="I223" i="13"/>
  <c r="J223" i="13"/>
  <c r="AC223" i="13"/>
  <c r="AR223" i="13"/>
  <c r="P223" i="13"/>
  <c r="AG223" i="13"/>
  <c r="BB223" i="13"/>
  <c r="D223" i="13"/>
  <c r="AH223" i="13"/>
  <c r="BC223" i="13"/>
  <c r="W223" i="13"/>
  <c r="BD223" i="13"/>
  <c r="AJ223" i="13"/>
  <c r="G223" i="13"/>
  <c r="AK223" i="13"/>
  <c r="BM223" i="13"/>
  <c r="AA223" i="13"/>
  <c r="AB223" i="13"/>
  <c r="AQ223" i="13"/>
  <c r="R223" i="13"/>
  <c r="Q223" i="13"/>
  <c r="AD223" i="13"/>
  <c r="AZ223" i="13"/>
  <c r="O223" i="13"/>
  <c r="AE223" i="13"/>
  <c r="AT223" i="13"/>
  <c r="G221" i="11"/>
  <c r="M221" i="11" s="1"/>
  <c r="J2873" i="11"/>
  <c r="J2724" i="11"/>
  <c r="J943" i="11"/>
  <c r="N3039" i="11"/>
  <c r="I222" i="13"/>
  <c r="I210" i="13"/>
  <c r="I209" i="13"/>
  <c r="I208" i="13"/>
  <c r="I207" i="13"/>
  <c r="I218" i="13"/>
  <c r="I206" i="13"/>
  <c r="I217" i="13"/>
  <c r="I205" i="13"/>
  <c r="I221" i="13"/>
  <c r="I204" i="13"/>
  <c r="I211" i="13"/>
  <c r="I220" i="13"/>
  <c r="I219" i="13"/>
  <c r="I216" i="13"/>
  <c r="I215" i="13"/>
  <c r="I203" i="13"/>
  <c r="I214" i="13"/>
  <c r="I213" i="13"/>
  <c r="I212" i="13"/>
  <c r="D221" i="13"/>
  <c r="O221" i="13"/>
  <c r="AH221" i="13"/>
  <c r="BD221" i="13"/>
  <c r="V222" i="13"/>
  <c r="AF222" i="13"/>
  <c r="BB222" i="13"/>
  <c r="X221" i="13"/>
  <c r="D222" i="13"/>
  <c r="AH222" i="13"/>
  <c r="BD222" i="13"/>
  <c r="Y221" i="13"/>
  <c r="W222" i="13"/>
  <c r="AI222" i="13"/>
  <c r="H221" i="13"/>
  <c r="F222" i="13"/>
  <c r="AJ222" i="13"/>
  <c r="AA221" i="13"/>
  <c r="G222" i="13"/>
  <c r="AK222" i="13"/>
  <c r="AR221" i="13"/>
  <c r="R221" i="13"/>
  <c r="AC221" i="13"/>
  <c r="AQ222" i="13"/>
  <c r="AD221" i="13"/>
  <c r="AT221" i="13"/>
  <c r="J222" i="13"/>
  <c r="AB222" i="13"/>
  <c r="AR222" i="13"/>
  <c r="P221" i="13"/>
  <c r="AE221" i="13"/>
  <c r="AU221" i="13"/>
  <c r="R222" i="13"/>
  <c r="AC222" i="13"/>
  <c r="AZ222" i="13"/>
  <c r="V221" i="13"/>
  <c r="AF221" i="13"/>
  <c r="BB221" i="13"/>
  <c r="AD222" i="13"/>
  <c r="AT222" i="13"/>
  <c r="Q221" i="13"/>
  <c r="AG221" i="13"/>
  <c r="BC221" i="13"/>
  <c r="P222" i="13"/>
  <c r="AE222" i="13"/>
  <c r="AU222" i="13"/>
  <c r="E221" i="13"/>
  <c r="W221" i="13"/>
  <c r="AI221" i="13"/>
  <c r="BM221" i="13"/>
  <c r="Q222" i="13"/>
  <c r="AG222" i="13"/>
  <c r="BC222" i="13"/>
  <c r="F221" i="13"/>
  <c r="AJ221" i="13"/>
  <c r="O222" i="13"/>
  <c r="G221" i="13"/>
  <c r="AK221" i="13"/>
  <c r="E222" i="13"/>
  <c r="BM222" i="13"/>
  <c r="Z221" i="13"/>
  <c r="X222" i="13"/>
  <c r="AQ221" i="13"/>
  <c r="Y222" i="13"/>
  <c r="J221" i="13"/>
  <c r="AB221" i="13"/>
  <c r="H222" i="13"/>
  <c r="Z222" i="13"/>
  <c r="AZ221" i="13"/>
  <c r="AA222" i="13"/>
  <c r="J2741" i="11"/>
  <c r="N585" i="11"/>
  <c r="J585" i="11"/>
  <c r="J3009" i="11"/>
  <c r="J2964" i="11"/>
  <c r="N286" i="11"/>
  <c r="J286" i="11"/>
  <c r="N2632" i="11"/>
  <c r="N1392" i="11"/>
  <c r="J1392" i="11"/>
  <c r="G219" i="13"/>
  <c r="AK219" i="13"/>
  <c r="E219" i="13"/>
  <c r="Q220" i="13"/>
  <c r="AG220" i="13"/>
  <c r="BB220" i="13"/>
  <c r="O220" i="13"/>
  <c r="W220" i="13"/>
  <c r="BD220" i="13"/>
  <c r="Y220" i="13"/>
  <c r="D220" i="13"/>
  <c r="E220" i="13"/>
  <c r="F220" i="13"/>
  <c r="G220" i="13"/>
  <c r="H220" i="13"/>
  <c r="J220" i="13"/>
  <c r="AB220" i="13"/>
  <c r="AQ220" i="13"/>
  <c r="AZ220" i="13"/>
  <c r="AA220" i="13"/>
  <c r="R220" i="13"/>
  <c r="AC220" i="13"/>
  <c r="AR220" i="13"/>
  <c r="BM220" i="13"/>
  <c r="AD220" i="13"/>
  <c r="P220" i="13"/>
  <c r="AE220" i="13"/>
  <c r="AT220" i="13"/>
  <c r="AH220" i="13"/>
  <c r="AI220" i="13"/>
  <c r="AJ220" i="13"/>
  <c r="AK220" i="13"/>
  <c r="Z220" i="13"/>
  <c r="V220" i="13"/>
  <c r="AF220" i="13"/>
  <c r="AU220" i="13"/>
  <c r="BC220" i="13"/>
  <c r="X220" i="13"/>
  <c r="D219" i="13"/>
  <c r="BC219" i="13"/>
  <c r="AG219" i="13"/>
  <c r="Q219" i="13"/>
  <c r="BB219" i="13"/>
  <c r="AF219" i="13"/>
  <c r="V219" i="13"/>
  <c r="AU219" i="13"/>
  <c r="AE219" i="13"/>
  <c r="P219" i="13"/>
  <c r="AT219" i="13"/>
  <c r="AD219" i="13"/>
  <c r="AZ219" i="13"/>
  <c r="AC219" i="13"/>
  <c r="R219" i="13"/>
  <c r="AR219" i="13"/>
  <c r="AB219" i="13"/>
  <c r="J219" i="13"/>
  <c r="AQ219" i="13"/>
  <c r="AA219" i="13"/>
  <c r="Z219" i="13"/>
  <c r="H219" i="13"/>
  <c r="Y219" i="13"/>
  <c r="AJ219" i="13"/>
  <c r="X219" i="13"/>
  <c r="F219" i="13"/>
  <c r="BM219" i="13"/>
  <c r="AI219" i="13"/>
  <c r="W219" i="13"/>
  <c r="BD219" i="13"/>
  <c r="AH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V217" i="13"/>
  <c r="M218" i="13"/>
  <c r="AV218" i="13"/>
  <c r="O26" i="39"/>
  <c r="O25" i="39"/>
  <c r="O24" i="39"/>
  <c r="O23" i="39" l="1"/>
  <c r="M215" i="13" l="1"/>
  <c r="AV215" i="13"/>
  <c r="M216" i="13"/>
  <c r="AV216" i="13"/>
  <c r="O22" i="39"/>
  <c r="O21" i="39"/>
  <c r="O20" i="39"/>
  <c r="O3" i="42" l="1"/>
  <c r="O19" i="39"/>
  <c r="O11" i="41"/>
  <c r="M214" i="13" l="1"/>
  <c r="AV214" i="13"/>
  <c r="O18" i="39"/>
  <c r="L23" i="38" l="1"/>
  <c r="M213" i="13"/>
  <c r="AV213" i="13"/>
  <c r="M212" i="13"/>
  <c r="AV212" i="13"/>
  <c r="O17" i="39"/>
  <c r="C29" i="41" l="1"/>
  <c r="F29" i="41"/>
  <c r="M210" i="13" l="1"/>
  <c r="AV210" i="13"/>
  <c r="M211" i="13"/>
  <c r="AV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V209" i="13" s="1"/>
  <c r="M208" i="13"/>
  <c r="AV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V207" i="13"/>
  <c r="L22" i="38"/>
  <c r="V2925" i="11"/>
  <c r="O4" i="39"/>
  <c r="L21" i="38"/>
  <c r="V2915" i="11"/>
  <c r="O13" i="41"/>
  <c r="O8" i="41"/>
  <c r="O15" i="41" s="1"/>
  <c r="O16" i="41" l="1"/>
  <c r="M206" i="13" l="1"/>
  <c r="AV206" i="13"/>
  <c r="V2910" i="11"/>
  <c r="V2909" i="11"/>
  <c r="F13" i="41" l="1"/>
  <c r="F8" i="41"/>
  <c r="F15" i="41" s="1"/>
  <c r="F16" i="41" l="1"/>
  <c r="L20" i="38"/>
  <c r="M205" i="13"/>
  <c r="AV205" i="13"/>
  <c r="M203" i="13"/>
  <c r="AV203" i="13"/>
  <c r="M204" i="13"/>
  <c r="AV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V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V201" i="13"/>
  <c r="M200" i="13"/>
  <c r="AV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V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V198" i="13"/>
  <c r="M196" i="13"/>
  <c r="AV196" i="13"/>
  <c r="J226" i="36"/>
  <c r="J227" i="36"/>
  <c r="M197" i="13" s="1"/>
  <c r="K226" i="36"/>
  <c r="L226" i="36" s="1"/>
  <c r="M226" i="36" s="1"/>
  <c r="AV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V195" i="13"/>
  <c r="M194" i="13"/>
  <c r="AV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V193" i="13" l="1"/>
  <c r="M224" i="36"/>
  <c r="N221" i="36"/>
  <c r="O221" i="36" s="1"/>
  <c r="M221" i="36"/>
  <c r="AV192" i="13" s="1"/>
  <c r="O3" i="39"/>
  <c r="L4" i="38"/>
  <c r="L5" i="38"/>
  <c r="L3" i="38"/>
  <c r="M191" i="13" l="1"/>
  <c r="AV191" i="13"/>
  <c r="J216" i="36" l="1"/>
  <c r="K216" i="36"/>
  <c r="L216" i="36" s="1"/>
  <c r="P216" i="36"/>
  <c r="M187" i="13"/>
  <c r="AV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V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V185" i="13"/>
  <c r="N217" i="36" l="1"/>
  <c r="O217" i="36" s="1"/>
  <c r="M215" i="36"/>
  <c r="AV189" i="13" s="1"/>
  <c r="M218" i="36"/>
  <c r="AV190" i="13"/>
  <c r="AV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V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V173" i="13"/>
  <c r="M173" i="13"/>
  <c r="AV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G217" i="13"/>
  <c r="BB217" i="13"/>
  <c r="R218" i="13"/>
  <c r="AC218" i="13"/>
  <c r="AZ218" i="13"/>
  <c r="P218" i="13"/>
  <c r="O218" i="13"/>
  <c r="D217" i="13"/>
  <c r="O217" i="13"/>
  <c r="AH217" i="13"/>
  <c r="BC217" i="13"/>
  <c r="AD218" i="13"/>
  <c r="AT218" i="13"/>
  <c r="AU218" i="13"/>
  <c r="H217" i="13"/>
  <c r="E217" i="13"/>
  <c r="W217" i="13"/>
  <c r="AI217" i="13"/>
  <c r="BD217" i="13"/>
  <c r="AE218" i="13"/>
  <c r="BD218" i="13"/>
  <c r="F217" i="13"/>
  <c r="X217" i="13"/>
  <c r="AJ217" i="13"/>
  <c r="V218" i="13"/>
  <c r="AF218" i="13"/>
  <c r="BB218" i="13"/>
  <c r="Z217" i="13"/>
  <c r="G217" i="13"/>
  <c r="Y217" i="13"/>
  <c r="AK217" i="13"/>
  <c r="BM217" i="13"/>
  <c r="Q218" i="13"/>
  <c r="AG218" i="13"/>
  <c r="BC218" i="13"/>
  <c r="AH218" i="13"/>
  <c r="D218" i="13"/>
  <c r="AA217" i="13"/>
  <c r="E218" i="13"/>
  <c r="W218" i="13"/>
  <c r="AI218" i="13"/>
  <c r="BM218" i="13"/>
  <c r="V217" i="13"/>
  <c r="AB218" i="13"/>
  <c r="AR218" i="13"/>
  <c r="J217" i="13"/>
  <c r="AB217" i="13"/>
  <c r="AQ217" i="13"/>
  <c r="F218" i="13"/>
  <c r="X218" i="13"/>
  <c r="AJ218" i="13"/>
  <c r="AT217" i="13"/>
  <c r="J218" i="13"/>
  <c r="R217" i="13"/>
  <c r="AC217" i="13"/>
  <c r="AR217" i="13"/>
  <c r="G218" i="13"/>
  <c r="Y218" i="13"/>
  <c r="AK218" i="13"/>
  <c r="AQ218" i="13"/>
  <c r="AU217" i="13"/>
  <c r="AD217" i="13"/>
  <c r="AZ217" i="13"/>
  <c r="H218" i="13"/>
  <c r="Z218" i="13"/>
  <c r="P217" i="13"/>
  <c r="AE217" i="13"/>
  <c r="AA218" i="13"/>
  <c r="AF217" i="13"/>
  <c r="Q215" i="13"/>
  <c r="AG215" i="13"/>
  <c r="BB215" i="13"/>
  <c r="V216" i="13"/>
  <c r="BC216" i="13"/>
  <c r="D215" i="13"/>
  <c r="O215" i="13"/>
  <c r="AH215" i="13"/>
  <c r="BC215" i="13"/>
  <c r="R216" i="13"/>
  <c r="AC216" i="13"/>
  <c r="AZ216" i="13"/>
  <c r="AH216" i="13"/>
  <c r="E215" i="13"/>
  <c r="AF216" i="13"/>
  <c r="F215" i="13"/>
  <c r="X215" i="13"/>
  <c r="AJ215" i="13"/>
  <c r="P216" i="13"/>
  <c r="AE216" i="13"/>
  <c r="AU216" i="13"/>
  <c r="Y215" i="13"/>
  <c r="Q216" i="13"/>
  <c r="BD216" i="13"/>
  <c r="G215" i="13"/>
  <c r="H215" i="13"/>
  <c r="J215" i="13"/>
  <c r="AB215" i="13"/>
  <c r="AQ215" i="13"/>
  <c r="E216" i="13"/>
  <c r="W216" i="13"/>
  <c r="AI216" i="13"/>
  <c r="BM216" i="13"/>
  <c r="AC215" i="13"/>
  <c r="AR215" i="13"/>
  <c r="F216" i="13"/>
  <c r="X216" i="13"/>
  <c r="AJ216" i="13"/>
  <c r="BD215" i="13"/>
  <c r="BB216" i="13"/>
  <c r="R215" i="13"/>
  <c r="AD215" i="13"/>
  <c r="AZ215" i="13"/>
  <c r="G216" i="13"/>
  <c r="Y216" i="13"/>
  <c r="AK216" i="13"/>
  <c r="AF215" i="13"/>
  <c r="AQ216" i="13"/>
  <c r="J216" i="13"/>
  <c r="AB216" i="13"/>
  <c r="AI215" i="13"/>
  <c r="AT216" i="13"/>
  <c r="AG216" i="13"/>
  <c r="D216" i="13"/>
  <c r="P215" i="13"/>
  <c r="AE215" i="13"/>
  <c r="AT215" i="13"/>
  <c r="H216" i="13"/>
  <c r="Z216" i="13"/>
  <c r="AU215" i="13"/>
  <c r="AA216" i="13"/>
  <c r="AR216" i="13"/>
  <c r="W215" i="13"/>
  <c r="AD216" i="13"/>
  <c r="BM215" i="13"/>
  <c r="Z215" i="13"/>
  <c r="AA215" i="13"/>
  <c r="V215" i="13"/>
  <c r="AK215" i="13"/>
  <c r="O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11" i="13"/>
  <c r="G202" i="13"/>
  <c r="G178" i="13"/>
  <c r="G166" i="13"/>
  <c r="G142" i="13"/>
  <c r="G118" i="13"/>
  <c r="G94" i="13"/>
  <c r="G70" i="13"/>
  <c r="G46" i="13"/>
  <c r="G22" i="13"/>
  <c r="G79" i="13"/>
  <c r="G7" i="13"/>
  <c r="G50" i="13"/>
  <c r="G169" i="13"/>
  <c r="G49" i="13"/>
  <c r="G203" i="13"/>
  <c r="G191" i="13"/>
  <c r="G179" i="13"/>
  <c r="G167" i="13"/>
  <c r="G155" i="13"/>
  <c r="G143" i="13"/>
  <c r="G131" i="13"/>
  <c r="G119" i="13"/>
  <c r="G107" i="13"/>
  <c r="G95" i="13"/>
  <c r="G83" i="13"/>
  <c r="G71" i="13"/>
  <c r="G59" i="13"/>
  <c r="G47" i="13"/>
  <c r="G35" i="13"/>
  <c r="G23" i="13"/>
  <c r="G190" i="13"/>
  <c r="G154" i="13"/>
  <c r="G130" i="13"/>
  <c r="G106" i="13"/>
  <c r="G82" i="13"/>
  <c r="G58" i="13"/>
  <c r="G34" i="13"/>
  <c r="G10" i="13"/>
  <c r="G19" i="13"/>
  <c r="G122" i="13"/>
  <c r="G26" i="13"/>
  <c r="G193" i="13"/>
  <c r="G73" i="13"/>
  <c r="G214" i="13"/>
  <c r="G55" i="13"/>
  <c r="G181" i="13"/>
  <c r="G37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31" i="13"/>
  <c r="G62" i="13"/>
  <c r="G121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199" i="13"/>
  <c r="G187" i="13"/>
  <c r="G175" i="13"/>
  <c r="G163" i="13"/>
  <c r="G211" i="13"/>
  <c r="G151" i="13"/>
  <c r="G139" i="13"/>
  <c r="G127" i="13"/>
  <c r="G115" i="13"/>
  <c r="G103" i="13"/>
  <c r="G91" i="13"/>
  <c r="G67" i="13"/>
  <c r="G43" i="13"/>
  <c r="G110" i="13"/>
  <c r="G145" i="13"/>
  <c r="G109" i="13"/>
  <c r="G25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86" i="13"/>
  <c r="G205" i="13"/>
  <c r="G97" i="13"/>
  <c r="G209" i="13"/>
  <c r="G19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G148" i="13"/>
  <c r="G100" i="13"/>
  <c r="G76" i="13"/>
  <c r="G52" i="13"/>
  <c r="G28" i="13"/>
  <c r="G16" i="13"/>
  <c r="G195" i="13"/>
  <c r="G159" i="13"/>
  <c r="G135" i="13"/>
  <c r="G111" i="13"/>
  <c r="G87" i="13"/>
  <c r="G63" i="13"/>
  <c r="G39" i="13"/>
  <c r="G15" i="13"/>
  <c r="G206" i="13"/>
  <c r="G194" i="13"/>
  <c r="G182" i="13"/>
  <c r="G170" i="13"/>
  <c r="G146" i="13"/>
  <c r="G134" i="13"/>
  <c r="G74" i="13"/>
  <c r="G14" i="13"/>
  <c r="G157" i="13"/>
  <c r="G85" i="13"/>
  <c r="G13" i="13"/>
  <c r="G208" i="13"/>
  <c r="G196" i="13"/>
  <c r="G184" i="13"/>
  <c r="G172" i="13"/>
  <c r="G160" i="13"/>
  <c r="G136" i="13"/>
  <c r="G124" i="13"/>
  <c r="G112" i="13"/>
  <c r="G88" i="13"/>
  <c r="G64" i="13"/>
  <c r="G40" i="13"/>
  <c r="G4" i="13"/>
  <c r="G207" i="13"/>
  <c r="G183" i="13"/>
  <c r="G171" i="13"/>
  <c r="G147" i="13"/>
  <c r="G123" i="13"/>
  <c r="G99" i="13"/>
  <c r="G75" i="13"/>
  <c r="G51" i="13"/>
  <c r="G27" i="13"/>
  <c r="G158" i="13"/>
  <c r="G98" i="13"/>
  <c r="G38" i="13"/>
  <c r="G133" i="13"/>
  <c r="G61" i="13"/>
  <c r="W214" i="13"/>
  <c r="AH214" i="13"/>
  <c r="BC214" i="13"/>
  <c r="AF214" i="13"/>
  <c r="D214" i="13"/>
  <c r="X214" i="13"/>
  <c r="AI214" i="13"/>
  <c r="BD214" i="13"/>
  <c r="AU214" i="13"/>
  <c r="E214" i="13"/>
  <c r="J214" i="13"/>
  <c r="AJ214" i="13"/>
  <c r="AE214" i="13"/>
  <c r="F214" i="13"/>
  <c r="Y214" i="13"/>
  <c r="AK214" i="13"/>
  <c r="BM214" i="13"/>
  <c r="AR214" i="13"/>
  <c r="V214" i="13"/>
  <c r="Z214" i="13"/>
  <c r="O214" i="13"/>
  <c r="Q214" i="13"/>
  <c r="AA214" i="13"/>
  <c r="AZ214" i="13"/>
  <c r="AG214" i="13"/>
  <c r="H214" i="13"/>
  <c r="AB214" i="13"/>
  <c r="AQ214" i="13"/>
  <c r="AD214" i="13"/>
  <c r="AT214" i="13"/>
  <c r="P214" i="13"/>
  <c r="AC214" i="13"/>
  <c r="BB214" i="13"/>
  <c r="R214" i="13"/>
  <c r="W213" i="13"/>
  <c r="AH213" i="13"/>
  <c r="BC213" i="13"/>
  <c r="D213" i="13"/>
  <c r="X213" i="13"/>
  <c r="AI213" i="13"/>
  <c r="BD213" i="13"/>
  <c r="E213" i="13"/>
  <c r="J213" i="13"/>
  <c r="AJ213" i="13"/>
  <c r="F213" i="13"/>
  <c r="Y213" i="13"/>
  <c r="AK213" i="13"/>
  <c r="BM213" i="13"/>
  <c r="V213" i="13"/>
  <c r="Z213" i="13"/>
  <c r="Q213" i="13"/>
  <c r="AA213" i="13"/>
  <c r="H213" i="13"/>
  <c r="AB213" i="13"/>
  <c r="AQ213" i="13"/>
  <c r="AC213" i="13"/>
  <c r="BB213" i="13"/>
  <c r="R213" i="13"/>
  <c r="AD213" i="13"/>
  <c r="AZ213" i="13"/>
  <c r="O213" i="13"/>
  <c r="AE213" i="13"/>
  <c r="AT213" i="13"/>
  <c r="AF213" i="13"/>
  <c r="AU213" i="13"/>
  <c r="P213" i="13"/>
  <c r="AG213" i="13"/>
  <c r="AR213" i="13"/>
  <c r="W212" i="13"/>
  <c r="AH212" i="13"/>
  <c r="BC212" i="13"/>
  <c r="D212" i="13"/>
  <c r="X212" i="13"/>
  <c r="AI212" i="13"/>
  <c r="E212" i="13"/>
  <c r="J212" i="13"/>
  <c r="AJ212" i="13"/>
  <c r="Z212" i="13"/>
  <c r="Q212" i="13"/>
  <c r="AA212" i="13"/>
  <c r="F212" i="13"/>
  <c r="Y212" i="13"/>
  <c r="AK212" i="13"/>
  <c r="BM212" i="13"/>
  <c r="V212" i="13"/>
  <c r="H212" i="13"/>
  <c r="AB212" i="13"/>
  <c r="AQ212" i="13"/>
  <c r="O212" i="13"/>
  <c r="BD212" i="13"/>
  <c r="AC212" i="13"/>
  <c r="BB212" i="13"/>
  <c r="AE212" i="13"/>
  <c r="R212" i="13"/>
  <c r="AD212" i="13"/>
  <c r="AZ212" i="13"/>
  <c r="AT212" i="13"/>
  <c r="AF212" i="13"/>
  <c r="AU212" i="13"/>
  <c r="P212" i="13"/>
  <c r="AG212" i="13"/>
  <c r="AR212" i="13"/>
  <c r="AZ211" i="13"/>
  <c r="AZ199" i="13"/>
  <c r="O209" i="13"/>
  <c r="AH209" i="13"/>
  <c r="BM209" i="13"/>
  <c r="O210" i="13"/>
  <c r="AH210" i="13"/>
  <c r="BM210" i="13"/>
  <c r="O211" i="13"/>
  <c r="AH211" i="13"/>
  <c r="BM211" i="13"/>
  <c r="AZ209" i="13"/>
  <c r="Y209" i="13"/>
  <c r="P209" i="13"/>
  <c r="AJ209" i="13"/>
  <c r="Y210" i="13"/>
  <c r="P210" i="13"/>
  <c r="AJ210" i="13"/>
  <c r="Y211" i="13"/>
  <c r="P211" i="13"/>
  <c r="AJ211" i="13"/>
  <c r="AZ210" i="13"/>
  <c r="D209" i="13"/>
  <c r="AI209" i="13"/>
  <c r="D210" i="13"/>
  <c r="AI210" i="13"/>
  <c r="D211" i="13"/>
  <c r="AI211" i="13"/>
  <c r="AZ208" i="13"/>
  <c r="W209" i="13"/>
  <c r="Z209" i="13"/>
  <c r="AK209" i="13"/>
  <c r="W210" i="13"/>
  <c r="Z210" i="13"/>
  <c r="AK210" i="13"/>
  <c r="W211" i="13"/>
  <c r="Z211" i="13"/>
  <c r="AK211" i="13"/>
  <c r="AZ207" i="13"/>
  <c r="E209" i="13"/>
  <c r="H209" i="13"/>
  <c r="E210" i="13"/>
  <c r="H210" i="13"/>
  <c r="E211" i="13"/>
  <c r="H211" i="13"/>
  <c r="AZ206" i="13"/>
  <c r="F209" i="13"/>
  <c r="AA209" i="13"/>
  <c r="BC209" i="13"/>
  <c r="F210" i="13"/>
  <c r="AA210" i="13"/>
  <c r="BC210" i="13"/>
  <c r="F211" i="13"/>
  <c r="AA211" i="13"/>
  <c r="BC211" i="13"/>
  <c r="AZ205" i="13"/>
  <c r="X209" i="13"/>
  <c r="AB209" i="13"/>
  <c r="AQ209" i="13"/>
  <c r="X210" i="13"/>
  <c r="AB210" i="13"/>
  <c r="AQ210" i="13"/>
  <c r="X211" i="13"/>
  <c r="AB211" i="13"/>
  <c r="AQ211" i="13"/>
  <c r="AZ204" i="13"/>
  <c r="J209" i="13"/>
  <c r="AC209" i="13"/>
  <c r="BB209" i="13"/>
  <c r="J210" i="13"/>
  <c r="AC210" i="13"/>
  <c r="BB210" i="13"/>
  <c r="J211" i="13"/>
  <c r="AC211" i="13"/>
  <c r="BB211" i="13"/>
  <c r="AZ203" i="13"/>
  <c r="V209" i="13"/>
  <c r="AD209" i="13"/>
  <c r="AR209" i="13"/>
  <c r="V210" i="13"/>
  <c r="AD210" i="13"/>
  <c r="AR210" i="13"/>
  <c r="V211" i="13"/>
  <c r="AD211" i="13"/>
  <c r="AR211" i="13"/>
  <c r="AZ202" i="13"/>
  <c r="Q209" i="13"/>
  <c r="AE209" i="13"/>
  <c r="AT209" i="13"/>
  <c r="Q210" i="13"/>
  <c r="AE210" i="13"/>
  <c r="AT210" i="13"/>
  <c r="Q211" i="13"/>
  <c r="AE211" i="13"/>
  <c r="AT211" i="13"/>
  <c r="AZ201" i="13"/>
  <c r="AF209" i="13"/>
  <c r="AU209" i="13"/>
  <c r="AF210" i="13"/>
  <c r="AU210" i="13"/>
  <c r="AF211" i="13"/>
  <c r="AU211" i="13"/>
  <c r="AZ200" i="13"/>
  <c r="R209" i="13"/>
  <c r="AG209" i="13"/>
  <c r="BD211" i="13"/>
  <c r="BD209" i="13"/>
  <c r="R210" i="13"/>
  <c r="AG210" i="13"/>
  <c r="BD210" i="13"/>
  <c r="R211" i="13"/>
  <c r="AG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I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J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Y208" i="13"/>
  <c r="Z208" i="13"/>
  <c r="AK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W208" i="13"/>
  <c r="H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AA208" i="13"/>
  <c r="BC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B208" i="13"/>
  <c r="AQ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X208" i="13"/>
  <c r="AC208" i="13"/>
  <c r="BB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D208" i="13"/>
  <c r="AR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V208" i="13"/>
  <c r="AE208" i="13"/>
  <c r="AT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F208" i="13"/>
  <c r="AU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G208" i="13"/>
  <c r="BD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H208" i="13"/>
  <c r="BM208" i="13"/>
  <c r="R207" i="13"/>
  <c r="AQ200" i="13"/>
  <c r="BC200" i="13"/>
  <c r="BD204" i="13"/>
  <c r="BC201" i="13"/>
  <c r="J206" i="13"/>
  <c r="I202" i="13"/>
  <c r="BC202" i="13"/>
  <c r="J202" i="13"/>
  <c r="BM207" i="13"/>
  <c r="AU199" i="13"/>
  <c r="Y205" i="13"/>
  <c r="V203" i="13"/>
  <c r="E205" i="13"/>
  <c r="BD201" i="13"/>
  <c r="V204" i="13"/>
  <c r="AT206" i="13"/>
  <c r="AR199" i="13"/>
  <c r="H205" i="13"/>
  <c r="BB204" i="13"/>
  <c r="AQ205" i="13"/>
  <c r="I201" i="13"/>
  <c r="AU207" i="13"/>
  <c r="AT205" i="13"/>
  <c r="BC199" i="13"/>
  <c r="V207" i="13"/>
  <c r="AT204" i="13"/>
  <c r="AF199" i="13"/>
  <c r="V205" i="13"/>
  <c r="AQ203" i="13"/>
  <c r="BC206" i="13"/>
  <c r="BD207" i="13"/>
  <c r="E207" i="13"/>
  <c r="BC203" i="13"/>
  <c r="BB207" i="13"/>
  <c r="BB200" i="13"/>
  <c r="BB201" i="13"/>
  <c r="H204" i="13"/>
  <c r="AR203" i="13"/>
  <c r="BD205" i="13"/>
  <c r="AQ201" i="13"/>
  <c r="J207" i="13"/>
  <c r="AQ202" i="13"/>
  <c r="BC207" i="13"/>
  <c r="BD199" i="13"/>
  <c r="BD203" i="13"/>
  <c r="Y206" i="13"/>
  <c r="J205" i="13"/>
  <c r="J203" i="13"/>
  <c r="AT207" i="13"/>
  <c r="AR202" i="13"/>
  <c r="R206" i="13"/>
  <c r="BD202" i="13"/>
  <c r="J204" i="13"/>
  <c r="AR207" i="13"/>
  <c r="BM206" i="13"/>
  <c r="BR206" i="13" s="1"/>
  <c r="BI207" i="13" s="1"/>
  <c r="AT199" i="13"/>
  <c r="Y204" i="13"/>
  <c r="V202" i="13"/>
  <c r="BB205" i="13"/>
  <c r="AU201" i="13"/>
  <c r="Y203" i="13"/>
  <c r="AR206" i="13"/>
  <c r="J200" i="13"/>
  <c r="BB199" i="13"/>
  <c r="Y207" i="13"/>
  <c r="AQ204" i="13"/>
  <c r="BC205" i="13"/>
  <c r="AU200" i="13"/>
  <c r="J201" i="13"/>
  <c r="AU205" i="13"/>
  <c r="AQ206" i="13"/>
  <c r="AT200" i="13"/>
  <c r="AT201" i="13"/>
  <c r="AU203" i="13"/>
  <c r="AR204" i="13"/>
  <c r="AR200" i="13"/>
  <c r="AR201" i="13"/>
  <c r="AU202" i="13"/>
  <c r="AT203" i="13"/>
  <c r="BD206" i="13"/>
  <c r="E206" i="13"/>
  <c r="BB202" i="13"/>
  <c r="AQ207" i="13"/>
  <c r="AU204" i="13"/>
  <c r="AT202" i="13"/>
  <c r="BD200" i="13"/>
  <c r="AQ199" i="13"/>
  <c r="V201" i="13"/>
  <c r="V206" i="13"/>
  <c r="AU206" i="13"/>
  <c r="BC204" i="13"/>
  <c r="AR205" i="13"/>
  <c r="BB206" i="13"/>
  <c r="BB203" i="13"/>
  <c r="D207" i="13"/>
  <c r="P207" i="13"/>
  <c r="AJ207" i="13"/>
  <c r="Z207" i="13"/>
  <c r="AK207" i="13"/>
  <c r="F207" i="13"/>
  <c r="AC207" i="13"/>
  <c r="AD207" i="13"/>
  <c r="AA207" i="13"/>
  <c r="W207" i="13"/>
  <c r="AE207" i="13"/>
  <c r="Q207" i="13"/>
  <c r="AF207" i="13"/>
  <c r="AH207" i="13"/>
  <c r="AI207" i="13"/>
  <c r="X207" i="13"/>
  <c r="AG207" i="13"/>
  <c r="H207" i="13"/>
  <c r="AB207" i="13"/>
  <c r="D206" i="13"/>
  <c r="AJ206" i="13"/>
  <c r="P206" i="13"/>
  <c r="Z206" i="13"/>
  <c r="H206" i="13"/>
  <c r="W206" i="13"/>
  <c r="AB206" i="13"/>
  <c r="F206" i="13"/>
  <c r="AC206" i="13"/>
  <c r="X206" i="13"/>
  <c r="AD206" i="13"/>
  <c r="AE206" i="13"/>
  <c r="AG206" i="13"/>
  <c r="AI206" i="13"/>
  <c r="AK206" i="13"/>
  <c r="AF206" i="13"/>
  <c r="Q206" i="13"/>
  <c r="AH206" i="13"/>
  <c r="AA206" i="13"/>
  <c r="AF205" i="13"/>
  <c r="AI205" i="13"/>
  <c r="AK205" i="13"/>
  <c r="Q205" i="13"/>
  <c r="AH205" i="13"/>
  <c r="D205" i="13"/>
  <c r="AD205" i="13"/>
  <c r="AJ205" i="13"/>
  <c r="Z205" i="13"/>
  <c r="P205" i="13"/>
  <c r="W205" i="13"/>
  <c r="AA205" i="13"/>
  <c r="AB205" i="13"/>
  <c r="F205" i="13"/>
  <c r="AC205" i="13"/>
  <c r="X205" i="13"/>
  <c r="R205" i="13"/>
  <c r="AE205" i="13"/>
  <c r="AG205" i="13"/>
  <c r="D203" i="13"/>
  <c r="AA203" i="13"/>
  <c r="AJ203" i="13"/>
  <c r="AF204" i="13"/>
  <c r="AD203" i="13"/>
  <c r="AK203" i="13"/>
  <c r="AG204" i="13"/>
  <c r="Z203" i="13"/>
  <c r="Q204" i="13"/>
  <c r="AH204" i="13"/>
  <c r="W203" i="13"/>
  <c r="P203" i="13"/>
  <c r="AI204" i="13"/>
  <c r="AC203" i="13"/>
  <c r="AD204" i="13"/>
  <c r="AK204" i="13"/>
  <c r="E203" i="13"/>
  <c r="AB203" i="13"/>
  <c r="D204" i="13"/>
  <c r="AA204" i="13"/>
  <c r="AJ204" i="13"/>
  <c r="F203" i="13"/>
  <c r="X203" i="13"/>
  <c r="R203" i="13"/>
  <c r="Z204" i="13"/>
  <c r="AE203" i="13"/>
  <c r="W204" i="13"/>
  <c r="P204" i="13"/>
  <c r="AF203" i="13"/>
  <c r="E204" i="13"/>
  <c r="AB204" i="13"/>
  <c r="H203" i="13"/>
  <c r="AG203" i="13"/>
  <c r="F204" i="13"/>
  <c r="AC204" i="13"/>
  <c r="AI203" i="13"/>
  <c r="AE204" i="13"/>
  <c r="Q203" i="13"/>
  <c r="AH203" i="13"/>
  <c r="X204" i="13"/>
  <c r="R204" i="13"/>
  <c r="AA192" i="13"/>
  <c r="AA180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B199" i="13"/>
  <c r="AB187" i="13"/>
  <c r="AB175" i="13"/>
  <c r="AB163" i="13"/>
  <c r="AB151" i="13"/>
  <c r="AB139" i="13"/>
  <c r="AB127" i="13"/>
  <c r="AB115" i="13"/>
  <c r="AB103" i="13"/>
  <c r="AB91" i="13"/>
  <c r="AB79" i="13"/>
  <c r="AB67" i="13"/>
  <c r="AB55" i="13"/>
  <c r="AB43" i="13"/>
  <c r="AB31" i="13"/>
  <c r="AB19" i="13"/>
  <c r="AB7" i="13"/>
  <c r="AA190" i="13"/>
  <c r="AA178" i="13"/>
  <c r="AA154" i="13"/>
  <c r="AA130" i="13"/>
  <c r="AA106" i="13"/>
  <c r="AA82" i="13"/>
  <c r="AA58" i="13"/>
  <c r="AA34" i="13"/>
  <c r="AB197" i="13"/>
  <c r="AB173" i="13"/>
  <c r="AB149" i="13"/>
  <c r="AB125" i="13"/>
  <c r="AB113" i="13"/>
  <c r="AB77" i="13"/>
  <c r="AB53" i="13"/>
  <c r="AB29" i="13"/>
  <c r="AB5" i="13"/>
  <c r="AA201" i="13"/>
  <c r="AA177" i="13"/>
  <c r="AA165" i="13"/>
  <c r="AA141" i="13"/>
  <c r="AA117" i="13"/>
  <c r="AA93" i="13"/>
  <c r="AA69" i="13"/>
  <c r="AA45" i="13"/>
  <c r="AA21" i="13"/>
  <c r="AB196" i="13"/>
  <c r="AB172" i="13"/>
  <c r="AB148" i="13"/>
  <c r="AB124" i="13"/>
  <c r="AB100" i="13"/>
  <c r="AA191" i="13"/>
  <c r="AA179" i="13"/>
  <c r="AA167" i="13"/>
  <c r="AA155" i="13"/>
  <c r="AA143" i="13"/>
  <c r="AA131" i="13"/>
  <c r="AA119" i="13"/>
  <c r="AA107" i="13"/>
  <c r="AA95" i="13"/>
  <c r="AA83" i="13"/>
  <c r="AA71" i="13"/>
  <c r="AA59" i="13"/>
  <c r="AA47" i="13"/>
  <c r="AA35" i="13"/>
  <c r="AA23" i="13"/>
  <c r="AA11" i="13"/>
  <c r="AB198" i="13"/>
  <c r="AB186" i="13"/>
  <c r="AB174" i="13"/>
  <c r="AB162" i="13"/>
  <c r="AB150" i="13"/>
  <c r="AB138" i="13"/>
  <c r="AB126" i="13"/>
  <c r="AB114" i="13"/>
  <c r="AB102" i="13"/>
  <c r="AB90" i="13"/>
  <c r="AB78" i="13"/>
  <c r="AB66" i="13"/>
  <c r="AB54" i="13"/>
  <c r="AB42" i="13"/>
  <c r="AB30" i="13"/>
  <c r="AB18" i="13"/>
  <c r="AB6" i="13"/>
  <c r="AA202" i="13"/>
  <c r="AA166" i="13"/>
  <c r="AA142" i="13"/>
  <c r="AA118" i="13"/>
  <c r="AA94" i="13"/>
  <c r="AA70" i="13"/>
  <c r="AA46" i="13"/>
  <c r="AA22" i="13"/>
  <c r="AA10" i="13"/>
  <c r="AB185" i="13"/>
  <c r="AB161" i="13"/>
  <c r="AB137" i="13"/>
  <c r="AB101" i="13"/>
  <c r="AB89" i="13"/>
  <c r="AB65" i="13"/>
  <c r="AB41" i="13"/>
  <c r="AB17" i="13"/>
  <c r="AA189" i="13"/>
  <c r="AA153" i="13"/>
  <c r="AA129" i="13"/>
  <c r="AA105" i="13"/>
  <c r="AA81" i="13"/>
  <c r="AA57" i="13"/>
  <c r="AA33" i="13"/>
  <c r="AA9" i="13"/>
  <c r="AB184" i="13"/>
  <c r="AB160" i="13"/>
  <c r="AB136" i="13"/>
  <c r="AB112" i="13"/>
  <c r="AB88" i="13"/>
  <c r="AB76" i="13"/>
  <c r="AB64" i="13"/>
  <c r="AB52" i="13"/>
  <c r="AB40" i="13"/>
  <c r="AB28" i="13"/>
  <c r="AB16" i="13"/>
  <c r="AB4" i="13"/>
  <c r="AA200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184" i="13"/>
  <c r="AA162" i="13"/>
  <c r="AA145" i="13"/>
  <c r="AA123" i="13"/>
  <c r="AA101" i="13"/>
  <c r="AA79" i="13"/>
  <c r="AA62" i="13"/>
  <c r="AA41" i="13"/>
  <c r="AA25" i="13"/>
  <c r="AA5" i="13"/>
  <c r="AB188" i="13"/>
  <c r="AB168" i="13"/>
  <c r="AB152" i="13"/>
  <c r="AB132" i="13"/>
  <c r="AB116" i="13"/>
  <c r="AB96" i="13"/>
  <c r="AB80" i="13"/>
  <c r="AB60" i="13"/>
  <c r="AB44" i="13"/>
  <c r="AB24" i="13"/>
  <c r="AB8" i="13"/>
  <c r="AA182" i="13"/>
  <c r="AA138" i="13"/>
  <c r="AA99" i="13"/>
  <c r="AA55" i="13"/>
  <c r="AA19" i="13"/>
  <c r="AB182" i="13"/>
  <c r="AB146" i="13"/>
  <c r="AB110" i="13"/>
  <c r="AB74" i="13"/>
  <c r="AB38" i="13"/>
  <c r="AA75" i="13"/>
  <c r="AB200" i="13"/>
  <c r="AB128" i="13"/>
  <c r="AB92" i="13"/>
  <c r="AB36" i="13"/>
  <c r="AA174" i="13"/>
  <c r="AA135" i="13"/>
  <c r="AA91" i="13"/>
  <c r="AA52" i="13"/>
  <c r="AB195" i="13"/>
  <c r="AB159" i="13"/>
  <c r="AB123" i="13"/>
  <c r="AB87" i="13"/>
  <c r="AB51" i="13"/>
  <c r="AB15" i="13"/>
  <c r="AA195" i="13"/>
  <c r="AA151" i="13"/>
  <c r="AA134" i="13"/>
  <c r="AA90" i="13"/>
  <c r="AA15" i="13"/>
  <c r="AB158" i="13"/>
  <c r="AB106" i="13"/>
  <c r="AB50" i="13"/>
  <c r="AA150" i="13"/>
  <c r="AA67" i="13"/>
  <c r="AA14" i="13"/>
  <c r="AB157" i="13"/>
  <c r="AB105" i="13"/>
  <c r="AB49" i="13"/>
  <c r="AA193" i="13"/>
  <c r="AA127" i="13"/>
  <c r="AA66" i="13"/>
  <c r="AA13" i="13"/>
  <c r="AB156" i="13"/>
  <c r="AB104" i="13"/>
  <c r="AB48" i="13"/>
  <c r="AA170" i="13"/>
  <c r="AA126" i="13"/>
  <c r="AA65" i="13"/>
  <c r="AB171" i="13"/>
  <c r="AB155" i="13"/>
  <c r="AB99" i="13"/>
  <c r="AB47" i="13"/>
  <c r="AA64" i="13"/>
  <c r="AB170" i="13"/>
  <c r="AB118" i="13"/>
  <c r="AB26" i="13"/>
  <c r="AA163" i="13"/>
  <c r="AA85" i="13"/>
  <c r="AA26" i="13"/>
  <c r="AB169" i="13"/>
  <c r="AB133" i="13"/>
  <c r="AB81" i="13"/>
  <c r="AB45" i="13"/>
  <c r="AA183" i="13"/>
  <c r="AA161" i="13"/>
  <c r="AA139" i="13"/>
  <c r="AA122" i="13"/>
  <c r="AA100" i="13"/>
  <c r="AA78" i="13"/>
  <c r="AA61" i="13"/>
  <c r="AA40" i="13"/>
  <c r="AA20" i="13"/>
  <c r="AA4" i="13"/>
  <c r="AB183" i="13"/>
  <c r="AB167" i="13"/>
  <c r="AB147" i="13"/>
  <c r="AB131" i="13"/>
  <c r="AB111" i="13"/>
  <c r="AB95" i="13"/>
  <c r="AB75" i="13"/>
  <c r="AB59" i="13"/>
  <c r="AB39" i="13"/>
  <c r="AB23" i="13"/>
  <c r="AA199" i="13"/>
  <c r="AA160" i="13"/>
  <c r="AA121" i="13"/>
  <c r="AA77" i="13"/>
  <c r="AA39" i="13"/>
  <c r="AB202" i="13"/>
  <c r="AB166" i="13"/>
  <c r="AB130" i="13"/>
  <c r="AB94" i="13"/>
  <c r="AB58" i="13"/>
  <c r="AB22" i="13"/>
  <c r="AA114" i="13"/>
  <c r="AA37" i="13"/>
  <c r="AB180" i="13"/>
  <c r="AB144" i="13"/>
  <c r="AB72" i="13"/>
  <c r="AB20" i="13"/>
  <c r="AA51" i="13"/>
  <c r="AB178" i="13"/>
  <c r="AB122" i="13"/>
  <c r="AB70" i="13"/>
  <c r="AB14" i="13"/>
  <c r="AA172" i="13"/>
  <c r="AA111" i="13"/>
  <c r="AA50" i="13"/>
  <c r="AB193" i="13"/>
  <c r="AB141" i="13"/>
  <c r="AB69" i="13"/>
  <c r="AB13" i="13"/>
  <c r="AA171" i="13"/>
  <c r="AA110" i="13"/>
  <c r="AA49" i="13"/>
  <c r="AB192" i="13"/>
  <c r="AB140" i="13"/>
  <c r="AB84" i="13"/>
  <c r="AB32" i="13"/>
  <c r="AA187" i="13"/>
  <c r="AA109" i="13"/>
  <c r="AA44" i="13"/>
  <c r="AB191" i="13"/>
  <c r="AB119" i="13"/>
  <c r="AB63" i="13"/>
  <c r="AB11" i="13"/>
  <c r="AA7" i="13"/>
  <c r="AB134" i="13"/>
  <c r="AB62" i="13"/>
  <c r="AB10" i="13"/>
  <c r="AA146" i="13"/>
  <c r="AA102" i="13"/>
  <c r="AA198" i="13"/>
  <c r="AA181" i="13"/>
  <c r="AA159" i="13"/>
  <c r="AA137" i="13"/>
  <c r="AA115" i="13"/>
  <c r="AA98" i="13"/>
  <c r="AA76" i="13"/>
  <c r="AA54" i="13"/>
  <c r="AA38" i="13"/>
  <c r="AA18" i="13"/>
  <c r="AB201" i="13"/>
  <c r="AB181" i="13"/>
  <c r="AB165" i="13"/>
  <c r="AB145" i="13"/>
  <c r="AB129" i="13"/>
  <c r="AB109" i="13"/>
  <c r="AB93" i="13"/>
  <c r="AB73" i="13"/>
  <c r="AB57" i="13"/>
  <c r="AB37" i="13"/>
  <c r="AB21" i="13"/>
  <c r="AA197" i="13"/>
  <c r="AA175" i="13"/>
  <c r="AA158" i="13"/>
  <c r="AA136" i="13"/>
  <c r="AA97" i="13"/>
  <c r="AA53" i="13"/>
  <c r="AA17" i="13"/>
  <c r="AB164" i="13"/>
  <c r="AB108" i="13"/>
  <c r="AB56" i="13"/>
  <c r="AA196" i="13"/>
  <c r="AA157" i="13"/>
  <c r="AA113" i="13"/>
  <c r="AA74" i="13"/>
  <c r="AA32" i="13"/>
  <c r="AA16" i="13"/>
  <c r="AB179" i="13"/>
  <c r="AB143" i="13"/>
  <c r="AB107" i="13"/>
  <c r="AB71" i="13"/>
  <c r="AB35" i="13"/>
  <c r="AA173" i="13"/>
  <c r="AA112" i="13"/>
  <c r="AA73" i="13"/>
  <c r="AA31" i="13"/>
  <c r="AB194" i="13"/>
  <c r="AB142" i="13"/>
  <c r="AB86" i="13"/>
  <c r="AB34" i="13"/>
  <c r="AA194" i="13"/>
  <c r="AA133" i="13"/>
  <c r="AA89" i="13"/>
  <c r="AA30" i="13"/>
  <c r="AB177" i="13"/>
  <c r="AB121" i="13"/>
  <c r="AB85" i="13"/>
  <c r="AB33" i="13"/>
  <c r="AA149" i="13"/>
  <c r="AA88" i="13"/>
  <c r="AA29" i="13"/>
  <c r="AB176" i="13"/>
  <c r="AB120" i="13"/>
  <c r="AB68" i="13"/>
  <c r="AB12" i="13"/>
  <c r="AA148" i="13"/>
  <c r="AA87" i="13"/>
  <c r="AA28" i="13"/>
  <c r="AA8" i="13"/>
  <c r="AB135" i="13"/>
  <c r="AB83" i="13"/>
  <c r="AB27" i="13"/>
  <c r="AA43" i="13"/>
  <c r="AB154" i="13"/>
  <c r="AB98" i="13"/>
  <c r="AB46" i="13"/>
  <c r="AA185" i="13"/>
  <c r="AA63" i="13"/>
  <c r="AA6" i="13"/>
  <c r="AB153" i="13"/>
  <c r="AB97" i="13"/>
  <c r="AB25" i="13"/>
  <c r="AA186" i="13"/>
  <c r="AA169" i="13"/>
  <c r="AA147" i="13"/>
  <c r="AA125" i="13"/>
  <c r="AA103" i="13"/>
  <c r="AA86" i="13"/>
  <c r="AA27" i="13"/>
  <c r="AB190" i="13"/>
  <c r="AB82" i="13"/>
  <c r="AA124" i="13"/>
  <c r="AA42" i="13"/>
  <c r="AB189" i="13"/>
  <c r="AB117" i="13"/>
  <c r="AB61" i="13"/>
  <c r="AB9" i="13"/>
  <c r="AG202" i="13"/>
  <c r="H202" i="13"/>
  <c r="Q202" i="13"/>
  <c r="AJ202" i="13"/>
  <c r="AK202" i="13"/>
  <c r="AD202" i="13"/>
  <c r="Z202" i="13"/>
  <c r="AC202" i="13"/>
  <c r="F202" i="13"/>
  <c r="X202" i="13"/>
  <c r="AH202" i="13"/>
  <c r="AI202" i="13"/>
  <c r="D202" i="13"/>
  <c r="Y202" i="13"/>
  <c r="P202" i="13"/>
  <c r="W202" i="13"/>
  <c r="E202" i="13"/>
  <c r="R202" i="13"/>
  <c r="AE202" i="13"/>
  <c r="AF202" i="13"/>
  <c r="AK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F196" i="13"/>
  <c r="AF184" i="13"/>
  <c r="AF172" i="13"/>
  <c r="AF160" i="13"/>
  <c r="AF148" i="13"/>
  <c r="AF136" i="13"/>
  <c r="AF124" i="13"/>
  <c r="AF112" i="13"/>
  <c r="AF100" i="13"/>
  <c r="AF88" i="13"/>
  <c r="AF76" i="13"/>
  <c r="AF64" i="13"/>
  <c r="AF52" i="13"/>
  <c r="AF40" i="13"/>
  <c r="AF28" i="13"/>
  <c r="AF16" i="13"/>
  <c r="AF4" i="13"/>
  <c r="I200" i="13"/>
  <c r="D201" i="13"/>
  <c r="AD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F195" i="13"/>
  <c r="AF183" i="13"/>
  <c r="AF171" i="13"/>
  <c r="AF159" i="13"/>
  <c r="AF147" i="13"/>
  <c r="AF135" i="13"/>
  <c r="AF123" i="13"/>
  <c r="AF111" i="13"/>
  <c r="AF99" i="13"/>
  <c r="AF87" i="13"/>
  <c r="AF75" i="13"/>
  <c r="AF63" i="13"/>
  <c r="AF51" i="13"/>
  <c r="AF39" i="13"/>
  <c r="AF27" i="13"/>
  <c r="AF15" i="13"/>
  <c r="D200" i="13"/>
  <c r="Y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Z201" i="13"/>
  <c r="X201" i="13"/>
  <c r="AH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F188" i="13"/>
  <c r="AF174" i="13"/>
  <c r="AF158" i="13"/>
  <c r="AF144" i="13"/>
  <c r="AF130" i="13"/>
  <c r="AF116" i="13"/>
  <c r="AF102" i="13"/>
  <c r="AF86" i="13"/>
  <c r="AF72" i="13"/>
  <c r="AF58" i="13"/>
  <c r="AF44" i="13"/>
  <c r="AF30" i="13"/>
  <c r="AF14" i="13"/>
  <c r="W200" i="13"/>
  <c r="AD200" i="13"/>
  <c r="AI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F187" i="13"/>
  <c r="AF173" i="13"/>
  <c r="AF157" i="13"/>
  <c r="AF143" i="13"/>
  <c r="AF129" i="13"/>
  <c r="AF115" i="13"/>
  <c r="AF101" i="13"/>
  <c r="AF85" i="13"/>
  <c r="AF71" i="13"/>
  <c r="AF57" i="13"/>
  <c r="AF43" i="13"/>
  <c r="AF29" i="13"/>
  <c r="AF13" i="13"/>
  <c r="E200" i="13"/>
  <c r="AG200" i="13"/>
  <c r="AJ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F186" i="13"/>
  <c r="AF170" i="13"/>
  <c r="AF156" i="13"/>
  <c r="AF142" i="13"/>
  <c r="AF128" i="13"/>
  <c r="AF114" i="13"/>
  <c r="AF98" i="13"/>
  <c r="AF84" i="13"/>
  <c r="W201" i="13"/>
  <c r="Q185" i="13"/>
  <c r="Q164" i="13"/>
  <c r="Q140" i="13"/>
  <c r="Q122" i="13"/>
  <c r="Q101" i="13"/>
  <c r="Q77" i="13"/>
  <c r="Q56" i="13"/>
  <c r="Q39" i="13"/>
  <c r="Q17" i="13"/>
  <c r="AF194" i="13"/>
  <c r="AF177" i="13"/>
  <c r="AF155" i="13"/>
  <c r="AF138" i="13"/>
  <c r="AF119" i="13"/>
  <c r="AF97" i="13"/>
  <c r="AF80" i="13"/>
  <c r="AF62" i="13"/>
  <c r="AF46" i="13"/>
  <c r="AF26" i="13"/>
  <c r="AF10" i="13"/>
  <c r="H200" i="13"/>
  <c r="AF61" i="13"/>
  <c r="AF9" i="13"/>
  <c r="F201" i="13"/>
  <c r="Q162" i="13"/>
  <c r="Q99" i="13"/>
  <c r="Q75" i="13"/>
  <c r="Q37" i="13"/>
  <c r="AF192" i="13"/>
  <c r="AF134" i="13"/>
  <c r="AF95" i="13"/>
  <c r="AF60" i="13"/>
  <c r="AF24" i="13"/>
  <c r="Q200" i="13"/>
  <c r="Q182" i="13"/>
  <c r="Q116" i="13"/>
  <c r="Q74" i="13"/>
  <c r="Q31" i="13"/>
  <c r="AF191" i="13"/>
  <c r="AF152" i="13"/>
  <c r="AF113" i="13"/>
  <c r="AF77" i="13"/>
  <c r="AF59" i="13"/>
  <c r="AF23" i="13"/>
  <c r="P200" i="13"/>
  <c r="Q201" i="13"/>
  <c r="Q181" i="13"/>
  <c r="Q136" i="13"/>
  <c r="AF132" i="13"/>
  <c r="AF93" i="13"/>
  <c r="AF38" i="13"/>
  <c r="AF6" i="13"/>
  <c r="Q198" i="13"/>
  <c r="Q153" i="13"/>
  <c r="Q135" i="13"/>
  <c r="Q114" i="13"/>
  <c r="Q90" i="13"/>
  <c r="Q69" i="13"/>
  <c r="Q51" i="13"/>
  <c r="Q29" i="13"/>
  <c r="Q10" i="13"/>
  <c r="AF189" i="13"/>
  <c r="AF167" i="13"/>
  <c r="AF150" i="13"/>
  <c r="AF131" i="13"/>
  <c r="AF92" i="13"/>
  <c r="AF73" i="13"/>
  <c r="AF37" i="13"/>
  <c r="AF5" i="13"/>
  <c r="Q197" i="13"/>
  <c r="Q173" i="13"/>
  <c r="Q152" i="13"/>
  <c r="Q134" i="13"/>
  <c r="Q110" i="13"/>
  <c r="Q89" i="13"/>
  <c r="Q28" i="13"/>
  <c r="AF185" i="13"/>
  <c r="AF149" i="13"/>
  <c r="AF108" i="13"/>
  <c r="AF70" i="13"/>
  <c r="AF36" i="13"/>
  <c r="Y200" i="13"/>
  <c r="Q196" i="13"/>
  <c r="Q172" i="13"/>
  <c r="Q109" i="13"/>
  <c r="Q44" i="13"/>
  <c r="AF182" i="13"/>
  <c r="AF126" i="13"/>
  <c r="AF69" i="13"/>
  <c r="Z200" i="13"/>
  <c r="Q171" i="13"/>
  <c r="Q150" i="13"/>
  <c r="Q87" i="13"/>
  <c r="Q26" i="13"/>
  <c r="AF145" i="13"/>
  <c r="E201" i="13"/>
  <c r="Q184" i="13"/>
  <c r="Q163" i="13"/>
  <c r="Q139" i="13"/>
  <c r="Q121" i="13"/>
  <c r="Q100" i="13"/>
  <c r="Q76" i="13"/>
  <c r="Q55" i="13"/>
  <c r="Q38" i="13"/>
  <c r="Q16" i="13"/>
  <c r="AF193" i="13"/>
  <c r="AF176" i="13"/>
  <c r="AF154" i="13"/>
  <c r="AF137" i="13"/>
  <c r="AF118" i="13"/>
  <c r="AF96" i="13"/>
  <c r="AF79" i="13"/>
  <c r="AF45" i="13"/>
  <c r="AF25" i="13"/>
  <c r="AC200" i="13"/>
  <c r="Q183" i="13"/>
  <c r="Q138" i="13"/>
  <c r="Q117" i="13"/>
  <c r="Q54" i="13"/>
  <c r="Q15" i="13"/>
  <c r="AF175" i="13"/>
  <c r="AF153" i="13"/>
  <c r="AF117" i="13"/>
  <c r="AF78" i="13"/>
  <c r="AF42" i="13"/>
  <c r="AF8" i="13"/>
  <c r="H201" i="13"/>
  <c r="Q158" i="13"/>
  <c r="Q137" i="13"/>
  <c r="Q92" i="13"/>
  <c r="Q53" i="13"/>
  <c r="Q14" i="13"/>
  <c r="AF169" i="13"/>
  <c r="AF133" i="13"/>
  <c r="AF94" i="13"/>
  <c r="AF41" i="13"/>
  <c r="AF7" i="13"/>
  <c r="Q199" i="13"/>
  <c r="Q157" i="13"/>
  <c r="Q115" i="13"/>
  <c r="Q91" i="13"/>
  <c r="Q73" i="13"/>
  <c r="Q52" i="13"/>
  <c r="Q30" i="13"/>
  <c r="Q13" i="13"/>
  <c r="AF190" i="13"/>
  <c r="AF168" i="13"/>
  <c r="AF151" i="13"/>
  <c r="AF110" i="13"/>
  <c r="AF74" i="13"/>
  <c r="AF56" i="13"/>
  <c r="AF22" i="13"/>
  <c r="R200" i="13"/>
  <c r="Q177" i="13"/>
  <c r="AF109" i="13"/>
  <c r="AF55" i="13"/>
  <c r="AF21" i="13"/>
  <c r="AE200" i="13"/>
  <c r="P201" i="13"/>
  <c r="Q68" i="13"/>
  <c r="Q9" i="13"/>
  <c r="AF166" i="13"/>
  <c r="AF127" i="13"/>
  <c r="AF91" i="13"/>
  <c r="AF54" i="13"/>
  <c r="AF20" i="13"/>
  <c r="AH200" i="13"/>
  <c r="AC201" i="13"/>
  <c r="Q151" i="13"/>
  <c r="Q88" i="13"/>
  <c r="Q67" i="13"/>
  <c r="Q8" i="13"/>
  <c r="AF165" i="13"/>
  <c r="AF107" i="13"/>
  <c r="AF35" i="13"/>
  <c r="AI200" i="13"/>
  <c r="Q195" i="13"/>
  <c r="Q129" i="13"/>
  <c r="Q66" i="13"/>
  <c r="AF181" i="13"/>
  <c r="Q45" i="13"/>
  <c r="Q133" i="13"/>
  <c r="Q27" i="13"/>
  <c r="AF146" i="13"/>
  <c r="AF90" i="13"/>
  <c r="AF53" i="13"/>
  <c r="AF19" i="13"/>
  <c r="R201" i="13"/>
  <c r="Q105" i="13"/>
  <c r="Q43" i="13"/>
  <c r="Q7" i="13"/>
  <c r="AF164" i="13"/>
  <c r="Q165" i="13"/>
  <c r="Q81" i="13"/>
  <c r="AF197" i="13"/>
  <c r="AF121" i="13"/>
  <c r="AF66" i="13"/>
  <c r="AF12" i="13"/>
  <c r="AE201" i="13"/>
  <c r="Q149" i="13"/>
  <c r="Q62" i="13"/>
  <c r="AF180" i="13"/>
  <c r="AF120" i="13"/>
  <c r="AF65" i="13"/>
  <c r="AF11" i="13"/>
  <c r="AF201" i="13"/>
  <c r="Q148" i="13"/>
  <c r="Q61" i="13"/>
  <c r="AF179" i="13"/>
  <c r="AF106" i="13"/>
  <c r="AF50" i="13"/>
  <c r="F200" i="13"/>
  <c r="AG201" i="13"/>
  <c r="Q147" i="13"/>
  <c r="Q57" i="13"/>
  <c r="AF178" i="13"/>
  <c r="AF105" i="13"/>
  <c r="AF49" i="13"/>
  <c r="X200" i="13"/>
  <c r="Q102" i="13"/>
  <c r="AF81" i="13"/>
  <c r="Q86" i="13"/>
  <c r="AF125" i="13"/>
  <c r="AF18" i="13"/>
  <c r="Q85" i="13"/>
  <c r="AF67" i="13"/>
  <c r="Q125" i="13"/>
  <c r="Q42" i="13"/>
  <c r="AF163" i="13"/>
  <c r="AF104" i="13"/>
  <c r="AF48" i="13"/>
  <c r="AF103" i="13"/>
  <c r="V200" i="13"/>
  <c r="Q123" i="13"/>
  <c r="AF34" i="13"/>
  <c r="Q104" i="13"/>
  <c r="Q25" i="13"/>
  <c r="AF141" i="13"/>
  <c r="AF33" i="13"/>
  <c r="AJ200" i="13"/>
  <c r="Q187" i="13"/>
  <c r="Q22" i="13"/>
  <c r="AF140" i="13"/>
  <c r="AF82" i="13"/>
  <c r="AK200" i="13"/>
  <c r="Q186" i="13"/>
  <c r="AF139" i="13"/>
  <c r="Q170" i="13"/>
  <c r="AF68" i="13"/>
  <c r="Q169" i="13"/>
  <c r="AF122" i="13"/>
  <c r="Q124" i="13"/>
  <c r="Q41" i="13"/>
  <c r="AF162" i="13"/>
  <c r="AF47" i="13"/>
  <c r="Q40" i="13"/>
  <c r="AF161" i="13"/>
  <c r="AF89" i="13"/>
  <c r="Q188" i="13"/>
  <c r="AF83" i="13"/>
  <c r="Q103" i="13"/>
  <c r="AF32" i="13"/>
  <c r="Q21" i="13"/>
  <c r="AF31" i="13"/>
  <c r="AF200" i="13"/>
  <c r="AF198" i="13"/>
  <c r="AF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I199" i="13"/>
  <c r="P199" i="13"/>
  <c r="Z199" i="13"/>
  <c r="AE199" i="13"/>
  <c r="E199" i="13"/>
  <c r="AG199" i="13"/>
  <c r="X199" i="13"/>
  <c r="AH199" i="13"/>
  <c r="J199" i="13"/>
  <c r="AI199" i="13"/>
  <c r="AJ199" i="13"/>
  <c r="H199" i="13"/>
  <c r="AC199" i="13"/>
  <c r="D199" i="13"/>
  <c r="Y199" i="13"/>
  <c r="R199" i="13"/>
  <c r="W199" i="13"/>
  <c r="AD199" i="13"/>
  <c r="F199" i="13"/>
  <c r="V199" i="13"/>
  <c r="AK199" i="13"/>
  <c r="D198" i="13"/>
  <c r="I198" i="13"/>
  <c r="I19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AC196" i="13"/>
  <c r="Y197" i="13"/>
  <c r="P197" i="13"/>
  <c r="I37" i="13"/>
  <c r="I192" i="13"/>
  <c r="I132" i="13"/>
  <c r="I84" i="13"/>
  <c r="I48" i="13"/>
  <c r="W196" i="13"/>
  <c r="F198" i="13"/>
  <c r="I155" i="13"/>
  <c r="I107" i="13"/>
  <c r="I71" i="13"/>
  <c r="I23" i="13"/>
  <c r="AG196" i="13"/>
  <c r="X198" i="13"/>
  <c r="I130" i="13"/>
  <c r="I70" i="13"/>
  <c r="I34" i="13"/>
  <c r="F196" i="13"/>
  <c r="I175" i="13"/>
  <c r="I115" i="13"/>
  <c r="I67" i="13"/>
  <c r="I7" i="13"/>
  <c r="I162" i="13"/>
  <c r="I54" i="13"/>
  <c r="R196" i="13"/>
  <c r="I197" i="13"/>
  <c r="I101" i="13"/>
  <c r="I53" i="13"/>
  <c r="I17" i="13"/>
  <c r="Y198" i="13"/>
  <c r="I19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6" i="13"/>
  <c r="Z197" i="13"/>
  <c r="AE197" i="13"/>
  <c r="Z196" i="13"/>
  <c r="AG197" i="13"/>
  <c r="AD198" i="13"/>
  <c r="I168" i="13"/>
  <c r="I156" i="13"/>
  <c r="I120" i="13"/>
  <c r="I96" i="13"/>
  <c r="I60" i="13"/>
  <c r="I36" i="13"/>
  <c r="I12" i="13"/>
  <c r="F197" i="13"/>
  <c r="AH197" i="13"/>
  <c r="I179" i="13"/>
  <c r="I143" i="13"/>
  <c r="I119" i="13"/>
  <c r="I83" i="13"/>
  <c r="I59" i="13"/>
  <c r="I35" i="13"/>
  <c r="E196" i="13"/>
  <c r="AI197" i="13"/>
  <c r="AH198" i="13"/>
  <c r="I178" i="13"/>
  <c r="I166" i="13"/>
  <c r="I142" i="13"/>
  <c r="I106" i="13"/>
  <c r="I94" i="13"/>
  <c r="I58" i="13"/>
  <c r="I22" i="13"/>
  <c r="AH196" i="13"/>
  <c r="AJ197" i="13"/>
  <c r="R198" i="13"/>
  <c r="I151" i="13"/>
  <c r="I139" i="13"/>
  <c r="I91" i="13"/>
  <c r="I55" i="13"/>
  <c r="I19" i="13"/>
  <c r="AK196" i="13"/>
  <c r="I174" i="13"/>
  <c r="I150" i="13"/>
  <c r="I138" i="13"/>
  <c r="I114" i="13"/>
  <c r="I90" i="13"/>
  <c r="I78" i="13"/>
  <c r="I30" i="13"/>
  <c r="I6" i="13"/>
  <c r="I185" i="13"/>
  <c r="I173" i="13"/>
  <c r="I149" i="13"/>
  <c r="I113" i="13"/>
  <c r="I89" i="13"/>
  <c r="I65" i="13"/>
  <c r="I29" i="13"/>
  <c r="I5" i="13"/>
  <c r="Z198" i="13"/>
  <c r="P198" i="13"/>
  <c r="I194" i="13"/>
  <c r="I182" i="13"/>
  <c r="I170" i="13"/>
  <c r="I158" i="13"/>
  <c r="I146" i="13"/>
  <c r="I134" i="13"/>
  <c r="I122" i="13"/>
  <c r="I110" i="13"/>
  <c r="I98" i="13"/>
  <c r="I86" i="13"/>
  <c r="I74" i="13"/>
  <c r="I62" i="13"/>
  <c r="I50" i="13"/>
  <c r="I38" i="13"/>
  <c r="I26" i="13"/>
  <c r="I14" i="13"/>
  <c r="Y196" i="13"/>
  <c r="P196" i="13"/>
  <c r="W197" i="13"/>
  <c r="AD197" i="13"/>
  <c r="W198" i="13"/>
  <c r="AE198" i="13"/>
  <c r="I193" i="13"/>
  <c r="I181" i="13"/>
  <c r="I169" i="13"/>
  <c r="I157" i="13"/>
  <c r="I145" i="13"/>
  <c r="I133" i="13"/>
  <c r="I121" i="13"/>
  <c r="I109" i="13"/>
  <c r="I97" i="13"/>
  <c r="I85" i="13"/>
  <c r="I73" i="13"/>
  <c r="I61" i="13"/>
  <c r="I49" i="13"/>
  <c r="I25" i="13"/>
  <c r="I13" i="13"/>
  <c r="AE196" i="13"/>
  <c r="E197" i="13"/>
  <c r="E198" i="13"/>
  <c r="I180" i="13"/>
  <c r="I144" i="13"/>
  <c r="I108" i="13"/>
  <c r="I72" i="13"/>
  <c r="I24" i="13"/>
  <c r="AD196" i="13"/>
  <c r="AG198" i="13"/>
  <c r="I191" i="13"/>
  <c r="I167" i="13"/>
  <c r="I131" i="13"/>
  <c r="I95" i="13"/>
  <c r="I47" i="13"/>
  <c r="I11" i="13"/>
  <c r="X197" i="13"/>
  <c r="I190" i="13"/>
  <c r="I154" i="13"/>
  <c r="I118" i="13"/>
  <c r="I82" i="13"/>
  <c r="I46" i="13"/>
  <c r="I10" i="13"/>
  <c r="J197" i="13"/>
  <c r="I187" i="13"/>
  <c r="I163" i="13"/>
  <c r="I127" i="13"/>
  <c r="I79" i="13"/>
  <c r="I31" i="13"/>
  <c r="H197" i="13"/>
  <c r="H198" i="13"/>
  <c r="I126" i="13"/>
  <c r="I102" i="13"/>
  <c r="I66" i="13"/>
  <c r="I18" i="13"/>
  <c r="AC197" i="13"/>
  <c r="AC198" i="13"/>
  <c r="I161" i="13"/>
  <c r="I125" i="13"/>
  <c r="I77" i="13"/>
  <c r="I41" i="13"/>
  <c r="H196" i="13"/>
  <c r="J198" i="13"/>
  <c r="AI198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X196" i="13"/>
  <c r="AI196" i="13"/>
  <c r="V197" i="13"/>
  <c r="AK197" i="13"/>
  <c r="V198" i="13"/>
  <c r="AJ198" i="13"/>
  <c r="I188" i="13"/>
  <c r="I176" i="13"/>
  <c r="I164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6" i="13"/>
  <c r="AJ196" i="13"/>
  <c r="R197" i="13"/>
  <c r="AK198" i="13"/>
  <c r="I103" i="13"/>
  <c r="I43" i="13"/>
  <c r="V196" i="13"/>
  <c r="I186" i="13"/>
  <c r="I42" i="13"/>
  <c r="I137" i="13"/>
  <c r="D197" i="13"/>
  <c r="AC195" i="13"/>
  <c r="AC194" i="13"/>
  <c r="AD195" i="13"/>
  <c r="D195" i="13"/>
  <c r="D194" i="13"/>
  <c r="W194" i="13"/>
  <c r="Y195" i="13"/>
  <c r="P195" i="13"/>
  <c r="Y194" i="13"/>
  <c r="P194" i="13"/>
  <c r="AD194" i="13"/>
  <c r="Z195" i="13"/>
  <c r="AE195" i="13"/>
  <c r="Z194" i="13"/>
  <c r="AE194" i="13"/>
  <c r="W195" i="13"/>
  <c r="E195" i="13"/>
  <c r="AG195" i="13"/>
  <c r="E194" i="13"/>
  <c r="AG194" i="13"/>
  <c r="J195" i="13"/>
  <c r="F195" i="13"/>
  <c r="AH195" i="13"/>
  <c r="F194" i="13"/>
  <c r="AH194" i="13"/>
  <c r="AJ195" i="13"/>
  <c r="AJ194" i="13"/>
  <c r="X195" i="13"/>
  <c r="AI195" i="13"/>
  <c r="X194" i="13"/>
  <c r="AI194" i="13"/>
  <c r="J194" i="13"/>
  <c r="V195" i="13"/>
  <c r="AK195" i="13"/>
  <c r="V194" i="13"/>
  <c r="AK194" i="13"/>
  <c r="H194" i="13"/>
  <c r="R195" i="13"/>
  <c r="R194" i="13"/>
  <c r="H195" i="13"/>
  <c r="AC182" i="13"/>
  <c r="AC170" i="13"/>
  <c r="AC158" i="13"/>
  <c r="AC146" i="13"/>
  <c r="AC134" i="13"/>
  <c r="AC122" i="13"/>
  <c r="AC110" i="13"/>
  <c r="AC98" i="13"/>
  <c r="AC86" i="13"/>
  <c r="AC74" i="13"/>
  <c r="AC62" i="13"/>
  <c r="AC50" i="13"/>
  <c r="AC38" i="13"/>
  <c r="AC26" i="13"/>
  <c r="AC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W193" i="13"/>
  <c r="AH193" i="13"/>
  <c r="AC49" i="13"/>
  <c r="H179" i="13"/>
  <c r="H155" i="13"/>
  <c r="H131" i="13"/>
  <c r="H107" i="13"/>
  <c r="H83" i="13"/>
  <c r="H59" i="13"/>
  <c r="H35" i="13"/>
  <c r="H11" i="13"/>
  <c r="AI193" i="13"/>
  <c r="H162" i="13"/>
  <c r="H102" i="13"/>
  <c r="H66" i="13"/>
  <c r="H6" i="13"/>
  <c r="H169" i="13"/>
  <c r="H37" i="13"/>
  <c r="AC193" i="13"/>
  <c r="AC181" i="13"/>
  <c r="AC169" i="13"/>
  <c r="AC157" i="13"/>
  <c r="AC145" i="13"/>
  <c r="AC133" i="13"/>
  <c r="AC121" i="13"/>
  <c r="AC109" i="13"/>
  <c r="AC97" i="13"/>
  <c r="AC85" i="13"/>
  <c r="AC73" i="13"/>
  <c r="AC61" i="13"/>
  <c r="AC37" i="13"/>
  <c r="AC25" i="13"/>
  <c r="AC13" i="13"/>
  <c r="H191" i="13"/>
  <c r="H167" i="13"/>
  <c r="H143" i="13"/>
  <c r="H119" i="13"/>
  <c r="H95" i="13"/>
  <c r="H71" i="13"/>
  <c r="H47" i="13"/>
  <c r="H23" i="13"/>
  <c r="E193" i="13"/>
  <c r="H114" i="13"/>
  <c r="H18" i="13"/>
  <c r="H145" i="13"/>
  <c r="H61" i="13"/>
  <c r="AC192" i="13"/>
  <c r="AC180" i="13"/>
  <c r="AC168" i="13"/>
  <c r="AC156" i="13"/>
  <c r="AC144" i="13"/>
  <c r="AC132" i="13"/>
  <c r="AC120" i="13"/>
  <c r="AC108" i="13"/>
  <c r="AC96" i="13"/>
  <c r="AC84" i="13"/>
  <c r="AC72" i="13"/>
  <c r="AC60" i="13"/>
  <c r="AC48" i="13"/>
  <c r="AC36" i="13"/>
  <c r="AC24" i="13"/>
  <c r="AC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F193" i="13"/>
  <c r="AJ193" i="13"/>
  <c r="H164" i="13"/>
  <c r="H30" i="13"/>
  <c r="H73" i="13"/>
  <c r="AC191" i="13"/>
  <c r="AC179" i="13"/>
  <c r="AC167" i="13"/>
  <c r="AC155" i="13"/>
  <c r="AC143" i="13"/>
  <c r="AC131" i="13"/>
  <c r="AC119" i="13"/>
  <c r="AC107" i="13"/>
  <c r="AC95" i="13"/>
  <c r="AC83" i="13"/>
  <c r="AC71" i="13"/>
  <c r="AC59" i="13"/>
  <c r="AC47" i="13"/>
  <c r="AC35" i="13"/>
  <c r="AC23" i="13"/>
  <c r="AC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X193" i="13"/>
  <c r="AK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J193" i="13"/>
  <c r="H174" i="13"/>
  <c r="H126" i="13"/>
  <c r="H78" i="13"/>
  <c r="H42" i="13"/>
  <c r="R193" i="13"/>
  <c r="AC190" i="13"/>
  <c r="AC178" i="13"/>
  <c r="AC166" i="13"/>
  <c r="AC154" i="13"/>
  <c r="AC142" i="13"/>
  <c r="AC130" i="13"/>
  <c r="AC118" i="13"/>
  <c r="AC106" i="13"/>
  <c r="AC94" i="13"/>
  <c r="AC82" i="13"/>
  <c r="AC70" i="13"/>
  <c r="AC58" i="13"/>
  <c r="AC46" i="13"/>
  <c r="AC34" i="13"/>
  <c r="AC22" i="13"/>
  <c r="AC10" i="13"/>
  <c r="H188" i="13"/>
  <c r="AC189" i="13"/>
  <c r="AC177" i="13"/>
  <c r="AC165" i="13"/>
  <c r="AC153" i="13"/>
  <c r="AC141" i="13"/>
  <c r="AC129" i="13"/>
  <c r="AC117" i="13"/>
  <c r="AC105" i="13"/>
  <c r="AC93" i="13"/>
  <c r="AC81" i="13"/>
  <c r="AC69" i="13"/>
  <c r="AC57" i="13"/>
  <c r="AC45" i="13"/>
  <c r="AC33" i="13"/>
  <c r="AC21" i="13"/>
  <c r="AC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V193" i="13"/>
  <c r="AC188" i="13"/>
  <c r="AC176" i="13"/>
  <c r="AC164" i="13"/>
  <c r="AC152" i="13"/>
  <c r="AC140" i="13"/>
  <c r="AC128" i="13"/>
  <c r="AC116" i="13"/>
  <c r="AC104" i="13"/>
  <c r="AC92" i="13"/>
  <c r="AC80" i="13"/>
  <c r="AC68" i="13"/>
  <c r="AC56" i="13"/>
  <c r="AC44" i="13"/>
  <c r="AC32" i="13"/>
  <c r="AC20" i="13"/>
  <c r="AC8" i="13"/>
  <c r="H186" i="13"/>
  <c r="H150" i="13"/>
  <c r="H138" i="13"/>
  <c r="H90" i="13"/>
  <c r="H54" i="13"/>
  <c r="H121" i="13"/>
  <c r="H49" i="13"/>
  <c r="AG193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C28" i="13"/>
  <c r="H122" i="13"/>
  <c r="H62" i="13"/>
  <c r="H26" i="13"/>
  <c r="AC171" i="13"/>
  <c r="AC135" i="13"/>
  <c r="AC99" i="13"/>
  <c r="AC39" i="13"/>
  <c r="AC27" i="13"/>
  <c r="H181" i="13"/>
  <c r="H109" i="13"/>
  <c r="H25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P193" i="13"/>
  <c r="AC136" i="13"/>
  <c r="AC124" i="13"/>
  <c r="AC100" i="13"/>
  <c r="AC76" i="13"/>
  <c r="AC52" i="13"/>
  <c r="AC16" i="13"/>
  <c r="H182" i="13"/>
  <c r="H146" i="13"/>
  <c r="H98" i="13"/>
  <c r="H74" i="13"/>
  <c r="H38" i="13"/>
  <c r="AD193" i="13"/>
  <c r="AC159" i="13"/>
  <c r="AC123" i="13"/>
  <c r="AC75" i="13"/>
  <c r="AC63" i="13"/>
  <c r="H193" i="13"/>
  <c r="H133" i="13"/>
  <c r="H85" i="13"/>
  <c r="Z193" i="13"/>
  <c r="AC185" i="13"/>
  <c r="AC173" i="13"/>
  <c r="AC161" i="13"/>
  <c r="AC149" i="13"/>
  <c r="AC137" i="13"/>
  <c r="AC125" i="13"/>
  <c r="AC113" i="13"/>
  <c r="AC101" i="13"/>
  <c r="AC89" i="13"/>
  <c r="AC77" i="13"/>
  <c r="AC65" i="13"/>
  <c r="AC53" i="13"/>
  <c r="AC41" i="13"/>
  <c r="AC29" i="13"/>
  <c r="AC17" i="13"/>
  <c r="AC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D193" i="13"/>
  <c r="AE193" i="13"/>
  <c r="AC148" i="13"/>
  <c r="AC112" i="13"/>
  <c r="AC88" i="13"/>
  <c r="AC64" i="13"/>
  <c r="AC40" i="13"/>
  <c r="AC4" i="13"/>
  <c r="H170" i="13"/>
  <c r="H158" i="13"/>
  <c r="H110" i="13"/>
  <c r="H86" i="13"/>
  <c r="H50" i="13"/>
  <c r="Y193" i="13"/>
  <c r="AC183" i="13"/>
  <c r="AC147" i="13"/>
  <c r="AC111" i="13"/>
  <c r="AC87" i="13"/>
  <c r="AC51" i="13"/>
  <c r="AC15" i="13"/>
  <c r="H157" i="13"/>
  <c r="H97" i="13"/>
  <c r="H13" i="13"/>
  <c r="AC184" i="13"/>
  <c r="AC172" i="13"/>
  <c r="AC160" i="13"/>
  <c r="H134" i="13"/>
  <c r="H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W192" i="13"/>
  <c r="AI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J192" i="13"/>
  <c r="R147" i="13"/>
  <c r="R51" i="13"/>
  <c r="R74" i="13"/>
  <c r="Y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K192" i="13"/>
  <c r="R161" i="13"/>
  <c r="R89" i="13"/>
  <c r="R29" i="13"/>
  <c r="R184" i="13"/>
  <c r="R136" i="13"/>
  <c r="R76" i="13"/>
  <c r="R16" i="13"/>
  <c r="R159" i="13"/>
  <c r="R123" i="13"/>
  <c r="R63" i="13"/>
  <c r="AD192" i="13"/>
  <c r="R134" i="13"/>
  <c r="R50" i="13"/>
  <c r="AG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X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H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V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E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Z192" i="13"/>
  <c r="AE191" i="13"/>
  <c r="AG191" i="13"/>
  <c r="AD191" i="13"/>
  <c r="AI191" i="13"/>
  <c r="D191" i="13"/>
  <c r="Y191" i="13"/>
  <c r="AH191" i="13"/>
  <c r="Z191" i="13"/>
  <c r="W191" i="13"/>
  <c r="AJ191" i="13"/>
  <c r="E191" i="13"/>
  <c r="AK191" i="13"/>
  <c r="F191" i="13"/>
  <c r="X191" i="13"/>
  <c r="J191" i="13"/>
  <c r="V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V186" i="13"/>
  <c r="W187" i="13"/>
  <c r="AJ187" i="13"/>
  <c r="AE188" i="13"/>
  <c r="F189" i="13"/>
  <c r="Y190" i="13"/>
  <c r="AI190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K187" i="13"/>
  <c r="AD188" i="13"/>
  <c r="X189" i="13"/>
  <c r="Z190" i="13"/>
  <c r="AJ190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E186" i="13"/>
  <c r="F187" i="13"/>
  <c r="AG188" i="13"/>
  <c r="V189" i="13"/>
  <c r="W190" i="13"/>
  <c r="AK190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D186" i="13"/>
  <c r="X187" i="13"/>
  <c r="D188" i="13"/>
  <c r="AH188" i="13"/>
  <c r="P189" i="13"/>
  <c r="E190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G186" i="13"/>
  <c r="V187" i="13"/>
  <c r="Y188" i="13"/>
  <c r="AI188" i="13"/>
  <c r="AE189" i="13"/>
  <c r="F190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H186" i="13"/>
  <c r="Z188" i="13"/>
  <c r="AJ188" i="13"/>
  <c r="AD189" i="13"/>
  <c r="X190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Y186" i="13"/>
  <c r="AI186" i="13"/>
  <c r="P187" i="13"/>
  <c r="W188" i="13"/>
  <c r="AK188" i="13"/>
  <c r="AG189" i="13"/>
  <c r="V190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Z186" i="13"/>
  <c r="AJ186" i="13"/>
  <c r="AE187" i="13"/>
  <c r="E188" i="13"/>
  <c r="D189" i="13"/>
  <c r="AH189" i="13"/>
  <c r="P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W186" i="13"/>
  <c r="AK186" i="13"/>
  <c r="AD187" i="13"/>
  <c r="F188" i="13"/>
  <c r="Y189" i="13"/>
  <c r="AI189" i="13"/>
  <c r="AE190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G187" i="13"/>
  <c r="X188" i="13"/>
  <c r="Z189" i="13"/>
  <c r="AJ189" i="13"/>
  <c r="AD190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F186" i="13"/>
  <c r="Y187" i="13"/>
  <c r="AH187" i="13"/>
  <c r="V188" i="13"/>
  <c r="W189" i="13"/>
  <c r="AK189" i="13"/>
  <c r="AG190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X186" i="13"/>
  <c r="Z187" i="13"/>
  <c r="AI187" i="13"/>
  <c r="P188" i="13"/>
  <c r="E189" i="13"/>
  <c r="D190" i="13"/>
  <c r="AH190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V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X185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AH185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AE185" i="13"/>
  <c r="AI185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D185" i="13"/>
  <c r="AJ185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Y185" i="13"/>
  <c r="AK185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Z185" i="13"/>
  <c r="X167" i="13"/>
  <c r="X155" i="13"/>
  <c r="X143" i="13"/>
  <c r="X131" i="13"/>
  <c r="X119" i="13"/>
  <c r="X183" i="13"/>
  <c r="X182" i="13"/>
  <c r="X181" i="13"/>
  <c r="X180" i="13"/>
  <c r="X179" i="13"/>
  <c r="X178" i="13"/>
  <c r="X177" i="13"/>
  <c r="X176" i="13"/>
  <c r="X175" i="13"/>
  <c r="X174" i="13"/>
  <c r="X173" i="13"/>
  <c r="X149" i="13"/>
  <c r="X125" i="13"/>
  <c r="X102" i="13"/>
  <c r="X80" i="13"/>
  <c r="X58" i="13"/>
  <c r="X41" i="13"/>
  <c r="X19" i="13"/>
  <c r="P185" i="13"/>
  <c r="X142" i="13"/>
  <c r="X118" i="13"/>
  <c r="X101" i="13"/>
  <c r="X79" i="13"/>
  <c r="X57" i="13"/>
  <c r="X35" i="13"/>
  <c r="X18" i="13"/>
  <c r="X165" i="13"/>
  <c r="X141" i="13"/>
  <c r="X117" i="13"/>
  <c r="X95" i="13"/>
  <c r="X56" i="13"/>
  <c r="X34" i="13"/>
  <c r="AD185" i="13"/>
  <c r="X164" i="13"/>
  <c r="X116" i="13"/>
  <c r="X77" i="13"/>
  <c r="X55" i="13"/>
  <c r="X11" i="13"/>
  <c r="X163" i="13"/>
  <c r="X115" i="13"/>
  <c r="X71" i="13"/>
  <c r="X54" i="13"/>
  <c r="X10" i="13"/>
  <c r="X162" i="13"/>
  <c r="X114" i="13"/>
  <c r="X92" i="13"/>
  <c r="X53" i="13"/>
  <c r="X9" i="13"/>
  <c r="X137" i="13"/>
  <c r="X113" i="13"/>
  <c r="X69" i="13"/>
  <c r="X30" i="13"/>
  <c r="X8" i="13"/>
  <c r="X107" i="13"/>
  <c r="X68" i="13"/>
  <c r="X29" i="13"/>
  <c r="X153" i="13"/>
  <c r="X106" i="13"/>
  <c r="X67" i="13"/>
  <c r="X45" i="13"/>
  <c r="X6" i="13"/>
  <c r="X128" i="13"/>
  <c r="X105" i="13"/>
  <c r="X66" i="13"/>
  <c r="X22" i="13"/>
  <c r="X5" i="13"/>
  <c r="X151" i="13"/>
  <c r="X127" i="13"/>
  <c r="X104" i="13"/>
  <c r="X82" i="13"/>
  <c r="X43" i="13"/>
  <c r="X21" i="13"/>
  <c r="W185" i="13"/>
  <c r="X150" i="13"/>
  <c r="X126" i="13"/>
  <c r="X103" i="13"/>
  <c r="X81" i="13"/>
  <c r="X59" i="13"/>
  <c r="X20" i="13"/>
  <c r="E185" i="13"/>
  <c r="X166" i="13"/>
  <c r="F185" i="13"/>
  <c r="X78" i="13"/>
  <c r="X17" i="13"/>
  <c r="X140" i="13"/>
  <c r="X94" i="13"/>
  <c r="X33" i="13"/>
  <c r="X139" i="13"/>
  <c r="X93" i="13"/>
  <c r="X32" i="13"/>
  <c r="AG185" i="13"/>
  <c r="X138" i="13"/>
  <c r="X70" i="13"/>
  <c r="X31" i="13"/>
  <c r="X161" i="13"/>
  <c r="X91" i="13"/>
  <c r="X47" i="13"/>
  <c r="X154" i="13"/>
  <c r="X130" i="13"/>
  <c r="X90" i="13"/>
  <c r="X46" i="13"/>
  <c r="X7" i="13"/>
  <c r="X129" i="13"/>
  <c r="X89" i="13"/>
  <c r="X23" i="13"/>
  <c r="X152" i="13"/>
  <c r="X83" i="13"/>
  <c r="X44" i="13"/>
  <c r="X65" i="13"/>
  <c r="X42" i="13"/>
  <c r="AE184" i="13"/>
  <c r="AK184" i="13"/>
  <c r="D184" i="13"/>
  <c r="Y184" i="13"/>
  <c r="Z184" i="13"/>
  <c r="W184" i="13"/>
  <c r="E184" i="13"/>
  <c r="P184" i="13"/>
  <c r="F184" i="13"/>
  <c r="AD184" i="13"/>
  <c r="AI184" i="13"/>
  <c r="AG184" i="13"/>
  <c r="AJ184" i="13"/>
  <c r="AH184" i="13"/>
  <c r="E5" i="36"/>
  <c r="H3" i="36" s="1"/>
  <c r="H4" i="36" s="1"/>
  <c r="H5" i="36" s="1"/>
  <c r="E19" i="13"/>
  <c r="AH13" i="13"/>
  <c r="AK31" i="13"/>
  <c r="AK35" i="13"/>
  <c r="E25" i="13"/>
  <c r="Z42" i="13"/>
  <c r="AE8" i="13"/>
  <c r="P51" i="13"/>
  <c r="AK20" i="13"/>
  <c r="AG71" i="13"/>
  <c r="AG18" i="13"/>
  <c r="P14" i="13"/>
  <c r="W64" i="13"/>
  <c r="F86" i="13"/>
  <c r="AI8" i="13"/>
  <c r="D20" i="13"/>
  <c r="F4" i="13"/>
  <c r="F9" i="13"/>
  <c r="D15" i="13"/>
  <c r="AJ121" i="13"/>
  <c r="AH27" i="13"/>
  <c r="AJ15" i="13"/>
  <c r="AK47" i="13"/>
  <c r="AI57" i="13"/>
  <c r="Y10" i="13"/>
  <c r="Z5" i="13"/>
  <c r="AD16" i="13"/>
  <c r="AH21" i="13"/>
  <c r="Z68" i="13"/>
  <c r="P30" i="13"/>
  <c r="Z17" i="13"/>
  <c r="F23" i="13"/>
  <c r="AK10" i="13"/>
  <c r="W61" i="13"/>
  <c r="AG6" i="13"/>
  <c r="W12" i="13"/>
  <c r="E7" i="13"/>
  <c r="P24" i="13"/>
  <c r="K4" i="36"/>
  <c r="AE13" i="13"/>
  <c r="AI21" i="13"/>
  <c r="AJ57" i="13"/>
  <c r="E5" i="13"/>
  <c r="AE6" i="13"/>
  <c r="AI6" i="13"/>
  <c r="F7" i="13"/>
  <c r="Y8" i="13"/>
  <c r="AK8" i="13"/>
  <c r="W10" i="13"/>
  <c r="AH11" i="13"/>
  <c r="P12" i="13"/>
  <c r="D13" i="13"/>
  <c r="AJ13" i="13"/>
  <c r="AD14" i="13"/>
  <c r="Z15" i="13"/>
  <c r="AG16" i="13"/>
  <c r="E17" i="13"/>
  <c r="AE18" i="13"/>
  <c r="AI18" i="13"/>
  <c r="F19" i="13"/>
  <c r="Z20" i="13"/>
  <c r="AJ21" i="13"/>
  <c r="AH22" i="13"/>
  <c r="AG23" i="13"/>
  <c r="AD24" i="13"/>
  <c r="AD25" i="13"/>
  <c r="AI26" i="13"/>
  <c r="W29" i="13"/>
  <c r="P32" i="13"/>
  <c r="F34" i="13"/>
  <c r="AE36" i="13"/>
  <c r="AE38" i="13"/>
  <c r="D40" i="13"/>
  <c r="P42" i="13"/>
  <c r="D45" i="13"/>
  <c r="F58" i="13"/>
  <c r="AD72" i="13"/>
  <c r="Z76" i="13"/>
  <c r="AD81" i="13"/>
  <c r="AH103" i="13"/>
  <c r="D8" i="13"/>
  <c r="AK15" i="13"/>
  <c r="F24" i="13"/>
  <c r="W68" i="13"/>
  <c r="AG4" i="13"/>
  <c r="P5" i="13"/>
  <c r="D6" i="13"/>
  <c r="AJ6" i="13"/>
  <c r="AD7" i="13"/>
  <c r="Z8" i="13"/>
  <c r="AG9" i="13"/>
  <c r="E10" i="13"/>
  <c r="AE11" i="13"/>
  <c r="AI11" i="13"/>
  <c r="F12" i="13"/>
  <c r="Y13" i="13"/>
  <c r="AK13" i="13"/>
  <c r="W15" i="13"/>
  <c r="AH16" i="13"/>
  <c r="P17" i="13"/>
  <c r="D18" i="13"/>
  <c r="AJ18" i="13"/>
  <c r="AD19" i="13"/>
  <c r="W20" i="13"/>
  <c r="AE21" i="13"/>
  <c r="AI22" i="13"/>
  <c r="AH23" i="13"/>
  <c r="AK26" i="13"/>
  <c r="D28" i="13"/>
  <c r="P29" i="13"/>
  <c r="AH30" i="13"/>
  <c r="AD32" i="13"/>
  <c r="AD34" i="13"/>
  <c r="D36" i="13"/>
  <c r="Y38" i="13"/>
  <c r="Y40" i="13"/>
  <c r="AG48" i="13"/>
  <c r="D52" i="13"/>
  <c r="AD58" i="13"/>
  <c r="AE65" i="13"/>
  <c r="AE69" i="13"/>
  <c r="AE88" i="13"/>
  <c r="D104" i="13"/>
  <c r="AD4" i="13"/>
  <c r="AG11" i="13"/>
  <c r="Y20" i="13"/>
  <c r="AE45" i="13"/>
  <c r="AH4" i="13"/>
  <c r="F5" i="13"/>
  <c r="Y6" i="13"/>
  <c r="AK6" i="13"/>
  <c r="W8" i="13"/>
  <c r="AH9" i="13"/>
  <c r="P10" i="13"/>
  <c r="D11" i="13"/>
  <c r="AJ11" i="13"/>
  <c r="AD12" i="13"/>
  <c r="Z13" i="13"/>
  <c r="AG14" i="13"/>
  <c r="E15" i="13"/>
  <c r="AE16" i="13"/>
  <c r="AI16" i="13"/>
  <c r="F17" i="13"/>
  <c r="Y18" i="13"/>
  <c r="AK18" i="13"/>
  <c r="E20" i="13"/>
  <c r="D21" i="13"/>
  <c r="AI23" i="13"/>
  <c r="AG24" i="13"/>
  <c r="AI25" i="13"/>
  <c r="Y28" i="13"/>
  <c r="AD29" i="13"/>
  <c r="Z38" i="13"/>
  <c r="W40" i="13"/>
  <c r="AI45" i="13"/>
  <c r="W49" i="13"/>
  <c r="Y52" i="13"/>
  <c r="AG55" i="13"/>
  <c r="AE62" i="13"/>
  <c r="D69" i="13"/>
  <c r="P73" i="13"/>
  <c r="P77" i="13"/>
  <c r="Y88" i="13"/>
  <c r="F131" i="13"/>
  <c r="AK113" i="13"/>
  <c r="F110" i="13"/>
  <c r="AI106" i="13"/>
  <c r="E100" i="13"/>
  <c r="AD96" i="13"/>
  <c r="W93" i="13"/>
  <c r="AK87" i="13"/>
  <c r="AE86" i="13"/>
  <c r="E84" i="13"/>
  <c r="D81" i="13"/>
  <c r="AG79" i="13"/>
  <c r="E78" i="13"/>
  <c r="W77" i="13"/>
  <c r="D76" i="13"/>
  <c r="Z75" i="13"/>
  <c r="Y74" i="13"/>
  <c r="E73" i="13"/>
  <c r="F72" i="13"/>
  <c r="AG70" i="13"/>
  <c r="AJ69" i="13"/>
  <c r="Y68" i="13"/>
  <c r="E67" i="13"/>
  <c r="F66" i="13"/>
  <c r="AH65" i="13"/>
  <c r="Y64" i="13"/>
  <c r="P63" i="13"/>
  <c r="AG62" i="13"/>
  <c r="Z61" i="13"/>
  <c r="AD60" i="13"/>
  <c r="AJ59" i="13"/>
  <c r="D59" i="13"/>
  <c r="P58" i="13"/>
  <c r="AH57" i="13"/>
  <c r="W56" i="13"/>
  <c r="AK54" i="13"/>
  <c r="Y54" i="13"/>
  <c r="F53" i="13"/>
  <c r="AI52" i="13"/>
  <c r="AE52" i="13"/>
  <c r="E51" i="13"/>
  <c r="AG50" i="13"/>
  <c r="Z49" i="13"/>
  <c r="AD48" i="13"/>
  <c r="AJ47" i="13"/>
  <c r="D47" i="13"/>
  <c r="P46" i="13"/>
  <c r="AH45" i="13"/>
  <c r="W44" i="13"/>
  <c r="AK42" i="13"/>
  <c r="Y42" i="13"/>
  <c r="F41" i="13"/>
  <c r="AI40" i="13"/>
  <c r="AE40" i="13"/>
  <c r="E39" i="13"/>
  <c r="AG38" i="13"/>
  <c r="Z37" i="13"/>
  <c r="AD36" i="13"/>
  <c r="AJ35" i="13"/>
  <c r="D35" i="13"/>
  <c r="P34" i="13"/>
  <c r="AH33" i="13"/>
  <c r="W32" i="13"/>
  <c r="AK30" i="13"/>
  <c r="Y30" i="13"/>
  <c r="F29" i="13"/>
  <c r="AI28" i="13"/>
  <c r="AE28" i="13"/>
  <c r="E27" i="13"/>
  <c r="AG26" i="13"/>
  <c r="Z25" i="13"/>
  <c r="E136" i="13"/>
  <c r="AH130" i="13"/>
  <c r="F121" i="13"/>
  <c r="P117" i="13"/>
  <c r="AE110" i="13"/>
  <c r="P103" i="13"/>
  <c r="AK99" i="13"/>
  <c r="D96" i="13"/>
  <c r="AI89" i="13"/>
  <c r="AG87" i="13"/>
  <c r="D84" i="13"/>
  <c r="AD82" i="13"/>
  <c r="AE81" i="13"/>
  <c r="W78" i="13"/>
  <c r="AE77" i="13"/>
  <c r="AE76" i="13"/>
  <c r="Y75" i="13"/>
  <c r="D74" i="13"/>
  <c r="W73" i="13"/>
  <c r="P72" i="13"/>
  <c r="P71" i="13"/>
  <c r="AI69" i="13"/>
  <c r="D68" i="13"/>
  <c r="Y67" i="13"/>
  <c r="P66" i="13"/>
  <c r="AG65" i="13"/>
  <c r="AK64" i="13"/>
  <c r="D64" i="13"/>
  <c r="E63" i="13"/>
  <c r="AK61" i="13"/>
  <c r="Y61" i="13"/>
  <c r="F60" i="13"/>
  <c r="AI59" i="13"/>
  <c r="AE59" i="13"/>
  <c r="E58" i="13"/>
  <c r="AG57" i="13"/>
  <c r="Z56" i="13"/>
  <c r="AD55" i="13"/>
  <c r="AJ54" i="13"/>
  <c r="D54" i="13"/>
  <c r="P53" i="13"/>
  <c r="AH52" i="13"/>
  <c r="W51" i="13"/>
  <c r="AK49" i="13"/>
  <c r="Y49" i="13"/>
  <c r="F48" i="13"/>
  <c r="AI47" i="13"/>
  <c r="AE47" i="13"/>
  <c r="E46" i="13"/>
  <c r="AG45" i="13"/>
  <c r="Z44" i="13"/>
  <c r="AD43" i="13"/>
  <c r="AJ42" i="13"/>
  <c r="D42" i="13"/>
  <c r="P41" i="13"/>
  <c r="AH40" i="13"/>
  <c r="W39" i="13"/>
  <c r="AK37" i="13"/>
  <c r="Y37" i="13"/>
  <c r="F36" i="13"/>
  <c r="AI35" i="13"/>
  <c r="AE35" i="13"/>
  <c r="E34" i="13"/>
  <c r="AG33" i="13"/>
  <c r="Z32" i="13"/>
  <c r="AD31" i="13"/>
  <c r="AJ30" i="13"/>
  <c r="Y125" i="13"/>
  <c r="AJ120" i="13"/>
  <c r="AJ116" i="13"/>
  <c r="E113" i="13"/>
  <c r="AG109" i="13"/>
  <c r="F106" i="13"/>
  <c r="AJ95" i="13"/>
  <c r="AI85" i="13"/>
  <c r="F82" i="13"/>
  <c r="P79" i="13"/>
  <c r="Z78" i="13"/>
  <c r="AE74" i="13"/>
  <c r="Z73" i="13"/>
  <c r="E72" i="13"/>
  <c r="E71" i="13"/>
  <c r="AD70" i="13"/>
  <c r="AH69" i="13"/>
  <c r="AK68" i="13"/>
  <c r="AE68" i="13"/>
  <c r="D67" i="13"/>
  <c r="E66" i="13"/>
  <c r="AJ64" i="13"/>
  <c r="AE64" i="13"/>
  <c r="W63" i="13"/>
  <c r="AD62" i="13"/>
  <c r="AJ61" i="13"/>
  <c r="D61" i="13"/>
  <c r="P60" i="13"/>
  <c r="AH59" i="13"/>
  <c r="W58" i="13"/>
  <c r="AK56" i="13"/>
  <c r="Y56" i="13"/>
  <c r="F55" i="13"/>
  <c r="AI54" i="13"/>
  <c r="AE54" i="13"/>
  <c r="E53" i="13"/>
  <c r="AG52" i="13"/>
  <c r="Z51" i="13"/>
  <c r="AD50" i="13"/>
  <c r="AJ49" i="13"/>
  <c r="D49" i="13"/>
  <c r="P48" i="13"/>
  <c r="AH47" i="13"/>
  <c r="W46" i="13"/>
  <c r="AK44" i="13"/>
  <c r="Y44" i="13"/>
  <c r="F43" i="13"/>
  <c r="AI42" i="13"/>
  <c r="AE42" i="13"/>
  <c r="E41" i="13"/>
  <c r="AG40" i="13"/>
  <c r="Z39" i="13"/>
  <c r="AD38" i="13"/>
  <c r="AJ37" i="13"/>
  <c r="D37" i="13"/>
  <c r="P36" i="13"/>
  <c r="AH35" i="13"/>
  <c r="W34" i="13"/>
  <c r="AK32" i="13"/>
  <c r="Y32" i="13"/>
  <c r="F31" i="13"/>
  <c r="AI30" i="13"/>
  <c r="AE30" i="13"/>
  <c r="E29" i="13"/>
  <c r="AG28" i="13"/>
  <c r="Z27" i="13"/>
  <c r="AD26" i="13"/>
  <c r="AJ25" i="13"/>
  <c r="Y149" i="13"/>
  <c r="P141" i="13"/>
  <c r="D135" i="13"/>
  <c r="D130" i="13"/>
  <c r="AG124" i="13"/>
  <c r="AE113" i="13"/>
  <c r="AG102" i="13"/>
  <c r="D99" i="13"/>
  <c r="W92" i="13"/>
  <c r="F89" i="13"/>
  <c r="F87" i="13"/>
  <c r="AJ83" i="13"/>
  <c r="P82" i="13"/>
  <c r="AJ80" i="13"/>
  <c r="Y79" i="13"/>
  <c r="Y78" i="13"/>
  <c r="AK76" i="13"/>
  <c r="AK74" i="13"/>
  <c r="Y73" i="13"/>
  <c r="D72" i="13"/>
  <c r="W71" i="13"/>
  <c r="F70" i="13"/>
  <c r="AG69" i="13"/>
  <c r="AJ68" i="13"/>
  <c r="AK67" i="13"/>
  <c r="AE67" i="13"/>
  <c r="W66" i="13"/>
  <c r="AD65" i="13"/>
  <c r="AI64" i="13"/>
  <c r="Z63" i="13"/>
  <c r="F62" i="13"/>
  <c r="AI61" i="13"/>
  <c r="AE61" i="13"/>
  <c r="E60" i="13"/>
  <c r="AG59" i="13"/>
  <c r="Z58" i="13"/>
  <c r="AD57" i="13"/>
  <c r="AJ56" i="13"/>
  <c r="D56" i="13"/>
  <c r="P55" i="13"/>
  <c r="AH54" i="13"/>
  <c r="W53" i="13"/>
  <c r="AK51" i="13"/>
  <c r="Y51" i="13"/>
  <c r="F50" i="13"/>
  <c r="AI49" i="13"/>
  <c r="AE49" i="13"/>
  <c r="E48" i="13"/>
  <c r="AG47" i="13"/>
  <c r="Z46" i="13"/>
  <c r="AD45" i="13"/>
  <c r="AJ44" i="13"/>
  <c r="D44" i="13"/>
  <c r="P43" i="13"/>
  <c r="AH42" i="13"/>
  <c r="W41" i="13"/>
  <c r="AK39" i="13"/>
  <c r="Y39" i="13"/>
  <c r="F38" i="13"/>
  <c r="AI37" i="13"/>
  <c r="AE37" i="13"/>
  <c r="E36" i="13"/>
  <c r="AG35" i="13"/>
  <c r="Z34" i="13"/>
  <c r="AD33" i="13"/>
  <c r="AJ32" i="13"/>
  <c r="D32" i="13"/>
  <c r="P31" i="13"/>
  <c r="W177" i="13"/>
  <c r="P120" i="13"/>
  <c r="AD116" i="13"/>
  <c r="D109" i="13"/>
  <c r="AG105" i="13"/>
  <c r="AJ98" i="13"/>
  <c r="P95" i="13"/>
  <c r="AK91" i="13"/>
  <c r="W89" i="13"/>
  <c r="E87" i="13"/>
  <c r="AD85" i="13"/>
  <c r="AG83" i="13"/>
  <c r="Z82" i="13"/>
  <c r="AE79" i="13"/>
  <c r="D78" i="13"/>
  <c r="AJ76" i="13"/>
  <c r="AK75" i="13"/>
  <c r="AJ74" i="13"/>
  <c r="D73" i="13"/>
  <c r="AE72" i="13"/>
  <c r="Z71" i="13"/>
  <c r="P70" i="13"/>
  <c r="AI68" i="13"/>
  <c r="AJ67" i="13"/>
  <c r="Z66" i="13"/>
  <c r="F65" i="13"/>
  <c r="AH64" i="13"/>
  <c r="Y63" i="13"/>
  <c r="P62" i="13"/>
  <c r="AH61" i="13"/>
  <c r="W60" i="13"/>
  <c r="AK58" i="13"/>
  <c r="Y58" i="13"/>
  <c r="F57" i="13"/>
  <c r="AI56" i="13"/>
  <c r="AE56" i="13"/>
  <c r="E55" i="13"/>
  <c r="AG54" i="13"/>
  <c r="Z53" i="13"/>
  <c r="AD52" i="13"/>
  <c r="AJ51" i="13"/>
  <c r="D51" i="13"/>
  <c r="P50" i="13"/>
  <c r="AH49" i="13"/>
  <c r="W48" i="13"/>
  <c r="AK46" i="13"/>
  <c r="Y46" i="13"/>
  <c r="F45" i="13"/>
  <c r="AI44" i="13"/>
  <c r="AE44" i="13"/>
  <c r="E43" i="13"/>
  <c r="AG42" i="13"/>
  <c r="Z41" i="13"/>
  <c r="AD40" i="13"/>
  <c r="AJ39" i="13"/>
  <c r="D39" i="13"/>
  <c r="P38" i="13"/>
  <c r="AH37" i="13"/>
  <c r="W36" i="13"/>
  <c r="AK34" i="13"/>
  <c r="Y34" i="13"/>
  <c r="F33" i="13"/>
  <c r="AI32" i="13"/>
  <c r="AE32" i="13"/>
  <c r="E31" i="13"/>
  <c r="AG30" i="13"/>
  <c r="Z29" i="13"/>
  <c r="AD28" i="13"/>
  <c r="AJ27" i="13"/>
  <c r="D27" i="13"/>
  <c r="P26" i="13"/>
  <c r="AH25" i="13"/>
  <c r="W24" i="13"/>
  <c r="AK22" i="13"/>
  <c r="Y22" i="13"/>
  <c r="F21" i="13"/>
  <c r="AI20" i="13"/>
  <c r="AE20" i="13"/>
  <c r="P134" i="13"/>
  <c r="E129" i="13"/>
  <c r="Y124" i="13"/>
  <c r="AI119" i="13"/>
  <c r="AD112" i="13"/>
  <c r="AJ108" i="13"/>
  <c r="Z102" i="13"/>
  <c r="D95" i="13"/>
  <c r="AE89" i="13"/>
  <c r="Y87" i="13"/>
  <c r="E85" i="13"/>
  <c r="P80" i="13"/>
  <c r="AI76" i="13"/>
  <c r="AG75" i="13"/>
  <c r="AI74" i="13"/>
  <c r="AK73" i="13"/>
  <c r="AE73" i="13"/>
  <c r="Y71" i="13"/>
  <c r="E70" i="13"/>
  <c r="AD69" i="13"/>
  <c r="AI67" i="13"/>
  <c r="Y66" i="13"/>
  <c r="P65" i="13"/>
  <c r="AG64" i="13"/>
  <c r="AK63" i="13"/>
  <c r="D63" i="13"/>
  <c r="E62" i="13"/>
  <c r="AG61" i="13"/>
  <c r="Z60" i="13"/>
  <c r="AD59" i="13"/>
  <c r="AJ58" i="13"/>
  <c r="D58" i="13"/>
  <c r="P57" i="13"/>
  <c r="AH56" i="13"/>
  <c r="W55" i="13"/>
  <c r="AK53" i="13"/>
  <c r="Y53" i="13"/>
  <c r="F52" i="13"/>
  <c r="AI51" i="13"/>
  <c r="AE51" i="13"/>
  <c r="E50" i="13"/>
  <c r="AG49" i="13"/>
  <c r="Z48" i="13"/>
  <c r="AD47" i="13"/>
  <c r="AJ46" i="13"/>
  <c r="D46" i="13"/>
  <c r="P45" i="13"/>
  <c r="AH44" i="13"/>
  <c r="W43" i="13"/>
  <c r="AK41" i="13"/>
  <c r="Y41" i="13"/>
  <c r="F40" i="13"/>
  <c r="AI39" i="13"/>
  <c r="AE39" i="13"/>
  <c r="E38" i="13"/>
  <c r="AG37" i="13"/>
  <c r="Z36" i="13"/>
  <c r="AD35" i="13"/>
  <c r="AJ34" i="13"/>
  <c r="D34" i="13"/>
  <c r="P33" i="13"/>
  <c r="AH32" i="13"/>
  <c r="W31" i="13"/>
  <c r="AK29" i="13"/>
  <c r="Y29" i="13"/>
  <c r="F28" i="13"/>
  <c r="AI27" i="13"/>
  <c r="AE27" i="13"/>
  <c r="E26" i="13"/>
  <c r="AG25" i="13"/>
  <c r="Z24" i="13"/>
  <c r="AD23" i="13"/>
  <c r="AJ22" i="13"/>
  <c r="D22" i="13"/>
  <c r="AD166" i="13"/>
  <c r="AE147" i="13"/>
  <c r="AH128" i="13"/>
  <c r="AG123" i="13"/>
  <c r="Z112" i="13"/>
  <c r="Z105" i="13"/>
  <c r="AK101" i="13"/>
  <c r="E98" i="13"/>
  <c r="AH94" i="13"/>
  <c r="Y91" i="13"/>
  <c r="AK88" i="13"/>
  <c r="Z85" i="13"/>
  <c r="P83" i="13"/>
  <c r="AJ81" i="13"/>
  <c r="E80" i="13"/>
  <c r="AI77" i="13"/>
  <c r="AH76" i="13"/>
  <c r="AH74" i="13"/>
  <c r="AJ73" i="13"/>
  <c r="AJ72" i="13"/>
  <c r="D71" i="13"/>
  <c r="W70" i="13"/>
  <c r="F69" i="13"/>
  <c r="AD68" i="13"/>
  <c r="AH67" i="13"/>
  <c r="AK66" i="13"/>
  <c r="D66" i="13"/>
  <c r="E65" i="13"/>
  <c r="AJ63" i="13"/>
  <c r="W62" i="13"/>
  <c r="AK60" i="13"/>
  <c r="Y60" i="13"/>
  <c r="F59" i="13"/>
  <c r="AI58" i="13"/>
  <c r="AE58" i="13"/>
  <c r="E57" i="13"/>
  <c r="AG56" i="13"/>
  <c r="Z55" i="13"/>
  <c r="AD54" i="13"/>
  <c r="AJ53" i="13"/>
  <c r="D53" i="13"/>
  <c r="P52" i="13"/>
  <c r="AH51" i="13"/>
  <c r="W50" i="13"/>
  <c r="AK48" i="13"/>
  <c r="Y48" i="13"/>
  <c r="F47" i="13"/>
  <c r="AI46" i="13"/>
  <c r="AE46" i="13"/>
  <c r="E45" i="13"/>
  <c r="AG44" i="13"/>
  <c r="Z43" i="13"/>
  <c r="AD42" i="13"/>
  <c r="AJ41" i="13"/>
  <c r="D41" i="13"/>
  <c r="P40" i="13"/>
  <c r="AH39" i="13"/>
  <c r="W38" i="13"/>
  <c r="AK36" i="13"/>
  <c r="Y36" i="13"/>
  <c r="F35" i="13"/>
  <c r="AI34" i="13"/>
  <c r="AE34" i="13"/>
  <c r="E33" i="13"/>
  <c r="AG32" i="13"/>
  <c r="Z31" i="13"/>
  <c r="AD30" i="13"/>
  <c r="AJ29" i="13"/>
  <c r="D29" i="13"/>
  <c r="Y139" i="13"/>
  <c r="AD133" i="13"/>
  <c r="P119" i="13"/>
  <c r="AD115" i="13"/>
  <c r="AH111" i="13"/>
  <c r="E108" i="13"/>
  <c r="AK104" i="13"/>
  <c r="AE98" i="13"/>
  <c r="AK90" i="13"/>
  <c r="AI88" i="13"/>
  <c r="AI86" i="13"/>
  <c r="AE85" i="13"/>
  <c r="Z83" i="13"/>
  <c r="AI81" i="13"/>
  <c r="W80" i="13"/>
  <c r="AK78" i="13"/>
  <c r="AG77" i="13"/>
  <c r="AG76" i="13"/>
  <c r="AD75" i="13"/>
  <c r="AG74" i="13"/>
  <c r="AI73" i="13"/>
  <c r="AI72" i="13"/>
  <c r="AK71" i="13"/>
  <c r="AE71" i="13"/>
  <c r="Z70" i="13"/>
  <c r="W69" i="13"/>
  <c r="F68" i="13"/>
  <c r="AG67" i="13"/>
  <c r="AJ66" i="13"/>
  <c r="AE66" i="13"/>
  <c r="W65" i="13"/>
  <c r="AD64" i="13"/>
  <c r="AH63" i="13"/>
  <c r="Z62" i="13"/>
  <c r="AD61" i="13"/>
  <c r="AJ60" i="13"/>
  <c r="D60" i="13"/>
  <c r="P59" i="13"/>
  <c r="AH58" i="13"/>
  <c r="W57" i="13"/>
  <c r="AK55" i="13"/>
  <c r="Y55" i="13"/>
  <c r="F54" i="13"/>
  <c r="AI53" i="13"/>
  <c r="AE53" i="13"/>
  <c r="E52" i="13"/>
  <c r="AG51" i="13"/>
  <c r="Z50" i="13"/>
  <c r="AD49" i="13"/>
  <c r="AJ48" i="13"/>
  <c r="D48" i="13"/>
  <c r="P47" i="13"/>
  <c r="AH46" i="13"/>
  <c r="W45" i="13"/>
  <c r="AK43" i="13"/>
  <c r="Y43" i="13"/>
  <c r="F42" i="13"/>
  <c r="AI41" i="13"/>
  <c r="AE41" i="13"/>
  <c r="E40" i="13"/>
  <c r="AG153" i="13"/>
  <c r="AG145" i="13"/>
  <c r="AJ132" i="13"/>
  <c r="AI118" i="13"/>
  <c r="D115" i="13"/>
  <c r="AE108" i="13"/>
  <c r="P101" i="13"/>
  <c r="P94" i="13"/>
  <c r="AH90" i="13"/>
  <c r="AG86" i="13"/>
  <c r="AJ84" i="13"/>
  <c r="Y83" i="13"/>
  <c r="AH81" i="13"/>
  <c r="D80" i="13"/>
  <c r="AJ78" i="13"/>
  <c r="F75" i="13"/>
  <c r="AH72" i="13"/>
  <c r="AJ71" i="13"/>
  <c r="Y70" i="13"/>
  <c r="Z69" i="13"/>
  <c r="P68" i="13"/>
  <c r="AI66" i="13"/>
  <c r="Z65" i="13"/>
  <c r="P64" i="13"/>
  <c r="AG63" i="13"/>
  <c r="AK62" i="13"/>
  <c r="Y62" i="13"/>
  <c r="F61" i="13"/>
  <c r="AI60" i="13"/>
  <c r="AE60" i="13"/>
  <c r="E59" i="13"/>
  <c r="AG58" i="13"/>
  <c r="Z57" i="13"/>
  <c r="AD56" i="13"/>
  <c r="AJ55" i="13"/>
  <c r="D55" i="13"/>
  <c r="P54" i="13"/>
  <c r="AH53" i="13"/>
  <c r="W52" i="13"/>
  <c r="AK50" i="13"/>
  <c r="Y50" i="13"/>
  <c r="F49" i="13"/>
  <c r="AI48" i="13"/>
  <c r="AE48" i="13"/>
  <c r="E47" i="13"/>
  <c r="AG46" i="13"/>
  <c r="Z45" i="13"/>
  <c r="AD44" i="13"/>
  <c r="AJ43" i="13"/>
  <c r="AE164" i="13"/>
  <c r="W138" i="13"/>
  <c r="AH114" i="13"/>
  <c r="W111" i="13"/>
  <c r="F104" i="13"/>
  <c r="D101" i="13"/>
  <c r="W97" i="13"/>
  <c r="E88" i="13"/>
  <c r="AG84" i="13"/>
  <c r="D83" i="13"/>
  <c r="AK79" i="13"/>
  <c r="AH78" i="13"/>
  <c r="AD77" i="13"/>
  <c r="E76" i="13"/>
  <c r="P75" i="13"/>
  <c r="AD74" i="13"/>
  <c r="AD73" i="13"/>
  <c r="AG72" i="13"/>
  <c r="AI71" i="13"/>
  <c r="Y69" i="13"/>
  <c r="E68" i="13"/>
  <c r="AD67" i="13"/>
  <c r="AH66" i="13"/>
  <c r="D65" i="13"/>
  <c r="E64" i="13"/>
  <c r="AJ62" i="13"/>
  <c r="D62" i="13"/>
  <c r="P61" i="13"/>
  <c r="AH60" i="13"/>
  <c r="W59" i="13"/>
  <c r="AK57" i="13"/>
  <c r="Y57" i="13"/>
  <c r="F56" i="13"/>
  <c r="AI55" i="13"/>
  <c r="AE55" i="13"/>
  <c r="E54" i="13"/>
  <c r="AG53" i="13"/>
  <c r="Z52" i="13"/>
  <c r="AD51" i="13"/>
  <c r="AJ50" i="13"/>
  <c r="D50" i="13"/>
  <c r="P49" i="13"/>
  <c r="AH48" i="13"/>
  <c r="W47" i="13"/>
  <c r="AK45" i="13"/>
  <c r="Y45" i="13"/>
  <c r="F44" i="13"/>
  <c r="AI43" i="13"/>
  <c r="AE43" i="13"/>
  <c r="E42" i="13"/>
  <c r="AG41" i="13"/>
  <c r="Z40" i="13"/>
  <c r="AD39" i="13"/>
  <c r="AJ38" i="13"/>
  <c r="D38" i="13"/>
  <c r="P37" i="13"/>
  <c r="AH36" i="13"/>
  <c r="W35" i="13"/>
  <c r="AK33" i="13"/>
  <c r="Y33" i="13"/>
  <c r="F32" i="13"/>
  <c r="AI31" i="13"/>
  <c r="AE31" i="13"/>
  <c r="E30" i="13"/>
  <c r="AG29" i="13"/>
  <c r="Z28" i="13"/>
  <c r="AD27" i="13"/>
  <c r="AJ26" i="13"/>
  <c r="D26" i="13"/>
  <c r="P25" i="13"/>
  <c r="AH24" i="13"/>
  <c r="W23" i="13"/>
  <c r="AK21" i="13"/>
  <c r="Y21" i="13"/>
  <c r="AJ8" i="13"/>
  <c r="AI13" i="13"/>
  <c r="AH18" i="13"/>
  <c r="AH26" i="13"/>
  <c r="AE29" i="13"/>
  <c r="E32" i="13"/>
  <c r="W42" i="13"/>
  <c r="Y76" i="13"/>
  <c r="AK110" i="13"/>
  <c r="AE4" i="13"/>
  <c r="AI4" i="13"/>
  <c r="AD5" i="13"/>
  <c r="Z6" i="13"/>
  <c r="AG7" i="13"/>
  <c r="E8" i="13"/>
  <c r="AE9" i="13"/>
  <c r="AI9" i="13"/>
  <c r="F10" i="13"/>
  <c r="Y11" i="13"/>
  <c r="AK11" i="13"/>
  <c r="W13" i="13"/>
  <c r="AH14" i="13"/>
  <c r="P15" i="13"/>
  <c r="D16" i="13"/>
  <c r="AJ16" i="13"/>
  <c r="AD17" i="13"/>
  <c r="Z18" i="13"/>
  <c r="AG19" i="13"/>
  <c r="P20" i="13"/>
  <c r="Z21" i="13"/>
  <c r="AE22" i="13"/>
  <c r="AJ23" i="13"/>
  <c r="AI24" i="13"/>
  <c r="AK25" i="13"/>
  <c r="W28" i="13"/>
  <c r="AE33" i="13"/>
  <c r="AG34" i="13"/>
  <c r="AG36" i="13"/>
  <c r="AJ45" i="13"/>
  <c r="E49" i="13"/>
  <c r="AH55" i="13"/>
  <c r="Y59" i="13"/>
  <c r="AI65" i="13"/>
  <c r="F73" i="13"/>
  <c r="F77" i="13"/>
  <c r="AH82" i="13"/>
  <c r="AJ96" i="13"/>
  <c r="W114" i="13"/>
  <c r="P122" i="13"/>
  <c r="D132" i="13"/>
  <c r="AD9" i="13"/>
  <c r="F14" i="13"/>
  <c r="P19" i="13"/>
  <c r="AK27" i="13"/>
  <c r="F30" i="13"/>
  <c r="AG39" i="13"/>
  <c r="E61" i="13"/>
  <c r="AH71" i="13"/>
  <c r="AK180" i="13"/>
  <c r="D4" i="13"/>
  <c r="AJ4" i="13"/>
  <c r="W6" i="13"/>
  <c r="AH7" i="13"/>
  <c r="P8" i="13"/>
  <c r="D9" i="13"/>
  <c r="AJ9" i="13"/>
  <c r="AD10" i="13"/>
  <c r="Z11" i="13"/>
  <c r="AG12" i="13"/>
  <c r="E13" i="13"/>
  <c r="AE14" i="13"/>
  <c r="AI14" i="13"/>
  <c r="F15" i="13"/>
  <c r="Y16" i="13"/>
  <c r="AK16" i="13"/>
  <c r="W18" i="13"/>
  <c r="AH19" i="13"/>
  <c r="F20" i="13"/>
  <c r="W21" i="13"/>
  <c r="Z22" i="13"/>
  <c r="AE23" i="13"/>
  <c r="AK23" i="13"/>
  <c r="AJ24" i="13"/>
  <c r="Y27" i="13"/>
  <c r="E28" i="13"/>
  <c r="AH29" i="13"/>
  <c r="D31" i="13"/>
  <c r="D33" i="13"/>
  <c r="AH34" i="13"/>
  <c r="AI36" i="13"/>
  <c r="AH38" i="13"/>
  <c r="AJ40" i="13"/>
  <c r="D43" i="13"/>
  <c r="F46" i="13"/>
  <c r="AJ52" i="13"/>
  <c r="E56" i="13"/>
  <c r="Z59" i="13"/>
  <c r="AH62" i="13"/>
  <c r="AJ65" i="13"/>
  <c r="AK69" i="13"/>
  <c r="AH6" i="13"/>
  <c r="F25" i="13"/>
  <c r="AH93" i="13"/>
  <c r="Y4" i="13"/>
  <c r="AK4" i="13"/>
  <c r="AG5" i="13"/>
  <c r="E6" i="13"/>
  <c r="AE7" i="13"/>
  <c r="AI7" i="13"/>
  <c r="F8" i="13"/>
  <c r="Y9" i="13"/>
  <c r="AK9" i="13"/>
  <c r="W11" i="13"/>
  <c r="AH12" i="13"/>
  <c r="P13" i="13"/>
  <c r="D14" i="13"/>
  <c r="AJ14" i="13"/>
  <c r="AD15" i="13"/>
  <c r="Z16" i="13"/>
  <c r="AG17" i="13"/>
  <c r="E18" i="13"/>
  <c r="AE19" i="13"/>
  <c r="AI19" i="13"/>
  <c r="AD20" i="13"/>
  <c r="E21" i="13"/>
  <c r="W22" i="13"/>
  <c r="D23" i="13"/>
  <c r="AK24" i="13"/>
  <c r="AE26" i="13"/>
  <c r="W27" i="13"/>
  <c r="P28" i="13"/>
  <c r="AI29" i="13"/>
  <c r="Y31" i="13"/>
  <c r="Z33" i="13"/>
  <c r="Y35" i="13"/>
  <c r="AJ36" i="13"/>
  <c r="AI38" i="13"/>
  <c r="AK40" i="13"/>
  <c r="AD46" i="13"/>
  <c r="AK52" i="13"/>
  <c r="P56" i="13"/>
  <c r="AI62" i="13"/>
  <c r="Z74" i="13"/>
  <c r="F78" i="13"/>
  <c r="Y90" i="13"/>
  <c r="Z107" i="13"/>
  <c r="W5" i="13"/>
  <c r="E12" i="13"/>
  <c r="W17" i="13"/>
  <c r="F51" i="13"/>
  <c r="Z4" i="13"/>
  <c r="AH5" i="13"/>
  <c r="P6" i="13"/>
  <c r="D7" i="13"/>
  <c r="AJ7" i="13"/>
  <c r="AD8" i="13"/>
  <c r="Z9" i="13"/>
  <c r="AG10" i="13"/>
  <c r="E11" i="13"/>
  <c r="AE12" i="13"/>
  <c r="AI12" i="13"/>
  <c r="F13" i="13"/>
  <c r="Y14" i="13"/>
  <c r="AK14" i="13"/>
  <c r="W16" i="13"/>
  <c r="AH17" i="13"/>
  <c r="P18" i="13"/>
  <c r="D19" i="13"/>
  <c r="AJ19" i="13"/>
  <c r="P21" i="13"/>
  <c r="E22" i="13"/>
  <c r="Y23" i="13"/>
  <c r="AE24" i="13"/>
  <c r="AE25" i="13"/>
  <c r="Y26" i="13"/>
  <c r="P27" i="13"/>
  <c r="W33" i="13"/>
  <c r="Z35" i="13"/>
  <c r="W37" i="13"/>
  <c r="AK38" i="13"/>
  <c r="AG43" i="13"/>
  <c r="AE50" i="13"/>
  <c r="AD53" i="13"/>
  <c r="AK59" i="13"/>
  <c r="F63" i="13"/>
  <c r="AG66" i="13"/>
  <c r="F74" i="13"/>
  <c r="AD84" i="13"/>
  <c r="F90" i="13"/>
  <c r="AD107" i="13"/>
  <c r="P7" i="13"/>
  <c r="Y15" i="13"/>
  <c r="AG22" i="13"/>
  <c r="W81" i="13"/>
  <c r="W4" i="13"/>
  <c r="AE5" i="13"/>
  <c r="AI5" i="13"/>
  <c r="F6" i="13"/>
  <c r="Y7" i="13"/>
  <c r="AK7" i="13"/>
  <c r="W9" i="13"/>
  <c r="AH10" i="13"/>
  <c r="P11" i="13"/>
  <c r="D12" i="13"/>
  <c r="AJ12" i="13"/>
  <c r="AD13" i="13"/>
  <c r="Z14" i="13"/>
  <c r="AG15" i="13"/>
  <c r="E16" i="13"/>
  <c r="AE17" i="13"/>
  <c r="AI17" i="13"/>
  <c r="F18" i="13"/>
  <c r="Y19" i="13"/>
  <c r="AK19" i="13"/>
  <c r="AG20" i="13"/>
  <c r="AD21" i="13"/>
  <c r="P22" i="13"/>
  <c r="Z23" i="13"/>
  <c r="D24" i="13"/>
  <c r="D25" i="13"/>
  <c r="Z26" i="13"/>
  <c r="F27" i="13"/>
  <c r="AH28" i="13"/>
  <c r="D30" i="13"/>
  <c r="AG31" i="13"/>
  <c r="E35" i="13"/>
  <c r="E37" i="13"/>
  <c r="AD41" i="13"/>
  <c r="AH43" i="13"/>
  <c r="Y47" i="13"/>
  <c r="AE57" i="13"/>
  <c r="AD63" i="13"/>
  <c r="P67" i="13"/>
  <c r="AH70" i="13"/>
  <c r="Z10" i="13"/>
  <c r="D5" i="13"/>
  <c r="AD6" i="13"/>
  <c r="Z7" i="13"/>
  <c r="AG8" i="13"/>
  <c r="E9" i="13"/>
  <c r="AE10" i="13"/>
  <c r="AI10" i="13"/>
  <c r="F11" i="13"/>
  <c r="Y12" i="13"/>
  <c r="AK12" i="13"/>
  <c r="W14" i="13"/>
  <c r="AH15" i="13"/>
  <c r="P16" i="13"/>
  <c r="D17" i="13"/>
  <c r="AJ17" i="13"/>
  <c r="AD18" i="13"/>
  <c r="Z19" i="13"/>
  <c r="AH20" i="13"/>
  <c r="F22" i="13"/>
  <c r="E23" i="13"/>
  <c r="Y24" i="13"/>
  <c r="Y25" i="13"/>
  <c r="W26" i="13"/>
  <c r="AJ28" i="13"/>
  <c r="Z30" i="13"/>
  <c r="AH31" i="13"/>
  <c r="AI33" i="13"/>
  <c r="P35" i="13"/>
  <c r="F37" i="13"/>
  <c r="P39" i="13"/>
  <c r="E44" i="13"/>
  <c r="Z47" i="13"/>
  <c r="AH50" i="13"/>
  <c r="Z54" i="13"/>
  <c r="D57" i="13"/>
  <c r="F67" i="13"/>
  <c r="AK70" i="13"/>
  <c r="W75" i="13"/>
  <c r="AH79" i="13"/>
  <c r="AG100" i="13"/>
  <c r="AJ117" i="13"/>
  <c r="E4" i="13"/>
  <c r="AJ5" i="13"/>
  <c r="P4" i="13"/>
  <c r="Y5" i="13"/>
  <c r="AK5" i="13"/>
  <c r="W7" i="13"/>
  <c r="AH8" i="13"/>
  <c r="P9" i="13"/>
  <c r="D10" i="13"/>
  <c r="AJ10" i="13"/>
  <c r="AD11" i="13"/>
  <c r="Z12" i="13"/>
  <c r="AG13" i="13"/>
  <c r="E14" i="13"/>
  <c r="AE15" i="13"/>
  <c r="AI15" i="13"/>
  <c r="F16" i="13"/>
  <c r="Y17" i="13"/>
  <c r="AK17" i="13"/>
  <c r="W19" i="13"/>
  <c r="AJ20" i="13"/>
  <c r="AG21" i="13"/>
  <c r="AD22" i="13"/>
  <c r="P23" i="13"/>
  <c r="E24" i="13"/>
  <c r="W25" i="13"/>
  <c r="F26" i="13"/>
  <c r="AG27" i="13"/>
  <c r="AK28" i="13"/>
  <c r="W30" i="13"/>
  <c r="AJ31" i="13"/>
  <c r="AJ33" i="13"/>
  <c r="AD37" i="13"/>
  <c r="F39" i="13"/>
  <c r="AH41" i="13"/>
  <c r="P44" i="13"/>
  <c r="AI50" i="13"/>
  <c r="W54" i="13"/>
  <c r="AG60" i="13"/>
  <c r="Z64" i="13"/>
  <c r="E75" i="13"/>
  <c r="AI79" i="13"/>
  <c r="Z86" i="13"/>
  <c r="E118" i="13"/>
  <c r="E127" i="13"/>
  <c r="AE137" i="13"/>
  <c r="D182" i="13"/>
  <c r="AJ180" i="13"/>
  <c r="F179" i="13"/>
  <c r="Z178" i="13"/>
  <c r="Y177" i="13"/>
  <c r="D176" i="13"/>
  <c r="Y175" i="13"/>
  <c r="D174" i="13"/>
  <c r="AE173" i="13"/>
  <c r="Y172" i="13"/>
  <c r="W171" i="13"/>
  <c r="F170" i="13"/>
  <c r="AI169" i="13"/>
  <c r="W167" i="13"/>
  <c r="F166" i="13"/>
  <c r="AH165" i="13"/>
  <c r="Z163" i="13"/>
  <c r="AD162" i="13"/>
  <c r="AH161" i="13"/>
  <c r="AE160" i="13"/>
  <c r="Z159" i="13"/>
  <c r="Z157" i="13"/>
  <c r="AG156" i="13"/>
  <c r="E155" i="13"/>
  <c r="AJ154" i="13"/>
  <c r="D154" i="13"/>
  <c r="E152" i="13"/>
  <c r="AJ151" i="13"/>
  <c r="D151" i="13"/>
  <c r="AD150" i="13"/>
  <c r="AJ149" i="13"/>
  <c r="D149" i="13"/>
  <c r="P148" i="13"/>
  <c r="AH147" i="13"/>
  <c r="W146" i="13"/>
  <c r="AK144" i="13"/>
  <c r="Y144" i="13"/>
  <c r="F143" i="13"/>
  <c r="AI142" i="13"/>
  <c r="AE142" i="13"/>
  <c r="E141" i="13"/>
  <c r="AG140" i="13"/>
  <c r="Z139" i="13"/>
  <c r="AD138" i="13"/>
  <c r="AJ137" i="13"/>
  <c r="D137" i="13"/>
  <c r="P136" i="13"/>
  <c r="AH135" i="13"/>
  <c r="W134" i="13"/>
  <c r="AK132" i="13"/>
  <c r="AJ183" i="13"/>
  <c r="AH180" i="13"/>
  <c r="P179" i="13"/>
  <c r="Y178" i="13"/>
  <c r="D177" i="13"/>
  <c r="AE176" i="13"/>
  <c r="D175" i="13"/>
  <c r="D172" i="13"/>
  <c r="Y171" i="13"/>
  <c r="P170" i="13"/>
  <c r="AK168" i="13"/>
  <c r="D167" i="13"/>
  <c r="P166" i="13"/>
  <c r="AG165" i="13"/>
  <c r="AJ164" i="13"/>
  <c r="Y163" i="13"/>
  <c r="E162" i="13"/>
  <c r="AG161" i="13"/>
  <c r="AK160" i="13"/>
  <c r="Y159" i="13"/>
  <c r="AD158" i="13"/>
  <c r="Y157" i="13"/>
  <c r="W155" i="13"/>
  <c r="AI154" i="13"/>
  <c r="AE154" i="13"/>
  <c r="AD153" i="13"/>
  <c r="W152" i="13"/>
  <c r="AI151" i="13"/>
  <c r="AE151" i="13"/>
  <c r="F150" i="13"/>
  <c r="AI149" i="13"/>
  <c r="AE149" i="13"/>
  <c r="E148" i="13"/>
  <c r="AG147" i="13"/>
  <c r="Z146" i="13"/>
  <c r="AD145" i="13"/>
  <c r="AJ144" i="13"/>
  <c r="D144" i="13"/>
  <c r="P143" i="13"/>
  <c r="AH142" i="13"/>
  <c r="W141" i="13"/>
  <c r="AK139" i="13"/>
  <c r="E179" i="13"/>
  <c r="D178" i="13"/>
  <c r="AE172" i="13"/>
  <c r="D171" i="13"/>
  <c r="E170" i="13"/>
  <c r="AD169" i="13"/>
  <c r="AJ168" i="13"/>
  <c r="AE167" i="13"/>
  <c r="E166" i="13"/>
  <c r="AI164" i="13"/>
  <c r="D163" i="13"/>
  <c r="W162" i="13"/>
  <c r="AJ160" i="13"/>
  <c r="D159" i="13"/>
  <c r="F158" i="13"/>
  <c r="AK157" i="13"/>
  <c r="D157" i="13"/>
  <c r="AD156" i="13"/>
  <c r="Z155" i="13"/>
  <c r="AH154" i="13"/>
  <c r="F153" i="13"/>
  <c r="Z152" i="13"/>
  <c r="AH151" i="13"/>
  <c r="P150" i="13"/>
  <c r="AH149" i="13"/>
  <c r="W148" i="13"/>
  <c r="AK146" i="13"/>
  <c r="Y146" i="13"/>
  <c r="F145" i="13"/>
  <c r="AI144" i="13"/>
  <c r="AE144" i="13"/>
  <c r="E143" i="13"/>
  <c r="AG142" i="13"/>
  <c r="Z141" i="13"/>
  <c r="AD140" i="13"/>
  <c r="AJ139" i="13"/>
  <c r="D139" i="13"/>
  <c r="P138" i="13"/>
  <c r="AH137" i="13"/>
  <c r="W136" i="13"/>
  <c r="AK134" i="13"/>
  <c r="Y134" i="13"/>
  <c r="F133" i="13"/>
  <c r="AI132" i="13"/>
  <c r="AE132" i="13"/>
  <c r="E131" i="13"/>
  <c r="AG130" i="13"/>
  <c r="Z129" i="13"/>
  <c r="AD128" i="13"/>
  <c r="AJ127" i="13"/>
  <c r="D127" i="13"/>
  <c r="P126" i="13"/>
  <c r="AH125" i="13"/>
  <c r="E180" i="13"/>
  <c r="D179" i="13"/>
  <c r="W170" i="13"/>
  <c r="F169" i="13"/>
  <c r="AH168" i="13"/>
  <c r="Z166" i="13"/>
  <c r="AD165" i="13"/>
  <c r="AH164" i="13"/>
  <c r="AE163" i="13"/>
  <c r="Z162" i="13"/>
  <c r="F161" i="13"/>
  <c r="AI160" i="13"/>
  <c r="AE159" i="13"/>
  <c r="P158" i="13"/>
  <c r="AJ157" i="13"/>
  <c r="AE157" i="13"/>
  <c r="P156" i="13"/>
  <c r="AK155" i="13"/>
  <c r="Y155" i="13"/>
  <c r="AG154" i="13"/>
  <c r="P153" i="13"/>
  <c r="AK152" i="13"/>
  <c r="Y152" i="13"/>
  <c r="AG151" i="13"/>
  <c r="E150" i="13"/>
  <c r="AG149" i="13"/>
  <c r="Z148" i="13"/>
  <c r="AD147" i="13"/>
  <c r="AJ146" i="13"/>
  <c r="D146" i="13"/>
  <c r="P145" i="13"/>
  <c r="AH144" i="13"/>
  <c r="W143" i="13"/>
  <c r="AK141" i="13"/>
  <c r="Y141" i="13"/>
  <c r="F140" i="13"/>
  <c r="AI139" i="13"/>
  <c r="AE139" i="13"/>
  <c r="E138" i="13"/>
  <c r="AG137" i="13"/>
  <c r="Z136" i="13"/>
  <c r="AD135" i="13"/>
  <c r="AJ134" i="13"/>
  <c r="D134" i="13"/>
  <c r="P133" i="13"/>
  <c r="AH132" i="13"/>
  <c r="W131" i="13"/>
  <c r="AK129" i="13"/>
  <c r="Y129" i="13"/>
  <c r="F128" i="13"/>
  <c r="AI127" i="13"/>
  <c r="AE127" i="13"/>
  <c r="E126" i="13"/>
  <c r="AG125" i="13"/>
  <c r="Z124" i="13"/>
  <c r="AD123" i="13"/>
  <c r="AJ122" i="13"/>
  <c r="D122" i="13"/>
  <c r="P121" i="13"/>
  <c r="AH120" i="13"/>
  <c r="W119" i="13"/>
  <c r="AK117" i="13"/>
  <c r="Y117" i="13"/>
  <c r="F116" i="13"/>
  <c r="AI115" i="13"/>
  <c r="E183" i="13"/>
  <c r="AJ181" i="13"/>
  <c r="Y180" i="13"/>
  <c r="AK174" i="13"/>
  <c r="AJ173" i="13"/>
  <c r="AK172" i="13"/>
  <c r="D170" i="13"/>
  <c r="P169" i="13"/>
  <c r="AG168" i="13"/>
  <c r="AJ167" i="13"/>
  <c r="Y166" i="13"/>
  <c r="E165" i="13"/>
  <c r="AG164" i="13"/>
  <c r="AK163" i="13"/>
  <c r="Y162" i="13"/>
  <c r="P161" i="13"/>
  <c r="AK159" i="13"/>
  <c r="E158" i="13"/>
  <c r="AI157" i="13"/>
  <c r="E156" i="13"/>
  <c r="AJ155" i="13"/>
  <c r="D155" i="13"/>
  <c r="E153" i="13"/>
  <c r="AJ152" i="13"/>
  <c r="D152" i="13"/>
  <c r="W150" i="13"/>
  <c r="AK148" i="13"/>
  <c r="AJ174" i="13"/>
  <c r="AI173" i="13"/>
  <c r="AJ172" i="13"/>
  <c r="AK171" i="13"/>
  <c r="AE170" i="13"/>
  <c r="E169" i="13"/>
  <c r="AI167" i="13"/>
  <c r="D166" i="13"/>
  <c r="W165" i="13"/>
  <c r="AJ163" i="13"/>
  <c r="D162" i="13"/>
  <c r="E161" i="13"/>
  <c r="AD160" i="13"/>
  <c r="AJ159" i="13"/>
  <c r="W158" i="13"/>
  <c r="AG157" i="13"/>
  <c r="W156" i="13"/>
  <c r="AI155" i="13"/>
  <c r="AE155" i="13"/>
  <c r="AD154" i="13"/>
  <c r="W153" i="13"/>
  <c r="AI152" i="13"/>
  <c r="AE152" i="13"/>
  <c r="AD151" i="13"/>
  <c r="Z150" i="13"/>
  <c r="AD149" i="13"/>
  <c r="AJ148" i="13"/>
  <c r="D148" i="13"/>
  <c r="P147" i="13"/>
  <c r="AH146" i="13"/>
  <c r="W145" i="13"/>
  <c r="AK143" i="13"/>
  <c r="Y143" i="13"/>
  <c r="F142" i="13"/>
  <c r="AI141" i="13"/>
  <c r="AE141" i="13"/>
  <c r="E140" i="13"/>
  <c r="AG139" i="13"/>
  <c r="Z138" i="13"/>
  <c r="AD137" i="13"/>
  <c r="AJ136" i="13"/>
  <c r="D136" i="13"/>
  <c r="P135" i="13"/>
  <c r="AH134" i="13"/>
  <c r="W133" i="13"/>
  <c r="AK131" i="13"/>
  <c r="Y131" i="13"/>
  <c r="F130" i="13"/>
  <c r="AI129" i="13"/>
  <c r="AE129" i="13"/>
  <c r="E128" i="13"/>
  <c r="AG127" i="13"/>
  <c r="Z126" i="13"/>
  <c r="AD125" i="13"/>
  <c r="AJ124" i="13"/>
  <c r="D124" i="13"/>
  <c r="P123" i="13"/>
  <c r="AH122" i="13"/>
  <c r="W121" i="13"/>
  <c r="AK119" i="13"/>
  <c r="Y119" i="13"/>
  <c r="F118" i="13"/>
  <c r="AI117" i="13"/>
  <c r="AE117" i="13"/>
  <c r="E116" i="13"/>
  <c r="AG115" i="13"/>
  <c r="Z114" i="13"/>
  <c r="AD113" i="13"/>
  <c r="AJ112" i="13"/>
  <c r="D112" i="13"/>
  <c r="P111" i="13"/>
  <c r="AH110" i="13"/>
  <c r="W109" i="13"/>
  <c r="AK107" i="13"/>
  <c r="Z156" i="13"/>
  <c r="AH155" i="13"/>
  <c r="F154" i="13"/>
  <c r="Z153" i="13"/>
  <c r="AH152" i="13"/>
  <c r="F151" i="13"/>
  <c r="AK150" i="13"/>
  <c r="Y150" i="13"/>
  <c r="F149" i="13"/>
  <c r="AI148" i="13"/>
  <c r="AE148" i="13"/>
  <c r="E147" i="13"/>
  <c r="AG146" i="13"/>
  <c r="Z145" i="13"/>
  <c r="AD144" i="13"/>
  <c r="AJ143" i="13"/>
  <c r="D143" i="13"/>
  <c r="P142" i="13"/>
  <c r="AH141" i="13"/>
  <c r="W140" i="13"/>
  <c r="AK138" i="13"/>
  <c r="Y138" i="13"/>
  <c r="F137" i="13"/>
  <c r="AI136" i="13"/>
  <c r="AE136" i="13"/>
  <c r="E135" i="13"/>
  <c r="AG134" i="13"/>
  <c r="Z133" i="13"/>
  <c r="AD132" i="13"/>
  <c r="AJ131" i="13"/>
  <c r="D131" i="13"/>
  <c r="P130" i="13"/>
  <c r="AH129" i="13"/>
  <c r="W128" i="13"/>
  <c r="AK126" i="13"/>
  <c r="Y126" i="13"/>
  <c r="F125" i="13"/>
  <c r="AI124" i="13"/>
  <c r="AE124" i="13"/>
  <c r="E123" i="13"/>
  <c r="AG122" i="13"/>
  <c r="Z121" i="13"/>
  <c r="AD120" i="13"/>
  <c r="AJ119" i="13"/>
  <c r="D119" i="13"/>
  <c r="P118" i="13"/>
  <c r="AH117" i="13"/>
  <c r="W116" i="13"/>
  <c r="AK114" i="13"/>
  <c r="Y114" i="13"/>
  <c r="F113" i="13"/>
  <c r="AI112" i="13"/>
  <c r="AE112" i="13"/>
  <c r="E111" i="13"/>
  <c r="AG110" i="13"/>
  <c r="Z109" i="13"/>
  <c r="AD108" i="13"/>
  <c r="AJ107" i="13"/>
  <c r="D107" i="13"/>
  <c r="P106" i="13"/>
  <c r="AH105" i="13"/>
  <c r="W104" i="13"/>
  <c r="AK102" i="13"/>
  <c r="Y102" i="13"/>
  <c r="F101" i="13"/>
  <c r="AI100" i="13"/>
  <c r="AE100" i="13"/>
  <c r="E99" i="13"/>
  <c r="AG98" i="13"/>
  <c r="Z97" i="13"/>
  <c r="E181" i="13"/>
  <c r="AK178" i="13"/>
  <c r="AH177" i="13"/>
  <c r="AG176" i="13"/>
  <c r="AG174" i="13"/>
  <c r="AH171" i="13"/>
  <c r="AJ170" i="13"/>
  <c r="Y169" i="13"/>
  <c r="E168" i="13"/>
  <c r="AG167" i="13"/>
  <c r="AK166" i="13"/>
  <c r="Y165" i="13"/>
  <c r="P164" i="13"/>
  <c r="AK162" i="13"/>
  <c r="D161" i="13"/>
  <c r="P160" i="13"/>
  <c r="AG159" i="13"/>
  <c r="D158" i="13"/>
  <c r="AD157" i="13"/>
  <c r="Y156" i="13"/>
  <c r="AG155" i="13"/>
  <c r="P154" i="13"/>
  <c r="AK153" i="13"/>
  <c r="Y153" i="13"/>
  <c r="AG152" i="13"/>
  <c r="P151" i="13"/>
  <c r="AJ150" i="13"/>
  <c r="D150" i="13"/>
  <c r="P149" i="13"/>
  <c r="AH148" i="13"/>
  <c r="W147" i="13"/>
  <c r="AK145" i="13"/>
  <c r="Y145" i="13"/>
  <c r="F144" i="13"/>
  <c r="AI143" i="13"/>
  <c r="AE143" i="13"/>
  <c r="E142" i="13"/>
  <c r="AG141" i="13"/>
  <c r="Z140" i="13"/>
  <c r="AD139" i="13"/>
  <c r="AJ138" i="13"/>
  <c r="D138" i="13"/>
  <c r="P137" i="13"/>
  <c r="AH136" i="13"/>
  <c r="W135" i="13"/>
  <c r="AK133" i="13"/>
  <c r="Y133" i="13"/>
  <c r="F132" i="13"/>
  <c r="AI131" i="13"/>
  <c r="AE131" i="13"/>
  <c r="E130" i="13"/>
  <c r="AG129" i="13"/>
  <c r="Z128" i="13"/>
  <c r="AD127" i="13"/>
  <c r="AJ126" i="13"/>
  <c r="D126" i="13"/>
  <c r="P125" i="13"/>
  <c r="AH124" i="13"/>
  <c r="W123" i="13"/>
  <c r="AJ182" i="13"/>
  <c r="Z181" i="13"/>
  <c r="AJ178" i="13"/>
  <c r="AG177" i="13"/>
  <c r="AD175" i="13"/>
  <c r="F173" i="13"/>
  <c r="AD172" i="13"/>
  <c r="AG171" i="13"/>
  <c r="AI170" i="13"/>
  <c r="D169" i="13"/>
  <c r="W168" i="13"/>
  <c r="AJ166" i="13"/>
  <c r="D165" i="13"/>
  <c r="E164" i="13"/>
  <c r="AD163" i="13"/>
  <c r="AJ162" i="13"/>
  <c r="AE161" i="13"/>
  <c r="E160" i="13"/>
  <c r="AJ158" i="13"/>
  <c r="AE158" i="13"/>
  <c r="F157" i="13"/>
  <c r="AK156" i="13"/>
  <c r="D156" i="13"/>
  <c r="E154" i="13"/>
  <c r="AJ153" i="13"/>
  <c r="D153" i="13"/>
  <c r="E151" i="13"/>
  <c r="AI150" i="13"/>
  <c r="AE150" i="13"/>
  <c r="E149" i="13"/>
  <c r="AG148" i="13"/>
  <c r="Z147" i="13"/>
  <c r="AD146" i="13"/>
  <c r="AJ145" i="13"/>
  <c r="D145" i="13"/>
  <c r="P144" i="13"/>
  <c r="AH143" i="13"/>
  <c r="W142" i="13"/>
  <c r="AK140" i="13"/>
  <c r="Y140" i="13"/>
  <c r="F139" i="13"/>
  <c r="AI138" i="13"/>
  <c r="AE138" i="13"/>
  <c r="E137" i="13"/>
  <c r="AG136" i="13"/>
  <c r="Z135" i="13"/>
  <c r="AD134" i="13"/>
  <c r="AJ133" i="13"/>
  <c r="D181" i="13"/>
  <c r="AJ179" i="13"/>
  <c r="F176" i="13"/>
  <c r="P175" i="13"/>
  <c r="E174" i="13"/>
  <c r="P173" i="13"/>
  <c r="P172" i="13"/>
  <c r="AH170" i="13"/>
  <c r="AE169" i="13"/>
  <c r="Z168" i="13"/>
  <c r="F167" i="13"/>
  <c r="AI166" i="13"/>
  <c r="W164" i="13"/>
  <c r="F163" i="13"/>
  <c r="AH162" i="13"/>
  <c r="Z160" i="13"/>
  <c r="AD159" i="13"/>
  <c r="AI158" i="13"/>
  <c r="P157" i="13"/>
  <c r="AJ156" i="13"/>
  <c r="AE156" i="13"/>
  <c r="AD155" i="13"/>
  <c r="W154" i="13"/>
  <c r="AI153" i="13"/>
  <c r="AE153" i="13"/>
  <c r="AD152" i="13"/>
  <c r="W151" i="13"/>
  <c r="AH150" i="13"/>
  <c r="W149" i="13"/>
  <c r="AK147" i="13"/>
  <c r="Y147" i="13"/>
  <c r="F146" i="13"/>
  <c r="AI145" i="13"/>
  <c r="AE145" i="13"/>
  <c r="E144" i="13"/>
  <c r="AG143" i="13"/>
  <c r="Z142" i="13"/>
  <c r="AD141" i="13"/>
  <c r="AJ140" i="13"/>
  <c r="D140" i="13"/>
  <c r="P139" i="13"/>
  <c r="AH138" i="13"/>
  <c r="W137" i="13"/>
  <c r="AK135" i="13"/>
  <c r="Y135" i="13"/>
  <c r="F134" i="13"/>
  <c r="AI133" i="13"/>
  <c r="AE133" i="13"/>
  <c r="E132" i="13"/>
  <c r="AG131" i="13"/>
  <c r="Z130" i="13"/>
  <c r="AD129" i="13"/>
  <c r="AJ128" i="13"/>
  <c r="D128" i="13"/>
  <c r="P127" i="13"/>
  <c r="AH126" i="13"/>
  <c r="W125" i="13"/>
  <c r="AK123" i="13"/>
  <c r="Y123" i="13"/>
  <c r="F122" i="13"/>
  <c r="AI121" i="13"/>
  <c r="AE121" i="13"/>
  <c r="E120" i="13"/>
  <c r="AG119" i="13"/>
  <c r="Z118" i="13"/>
  <c r="F182" i="13"/>
  <c r="AG179" i="13"/>
  <c r="P178" i="13"/>
  <c r="E177" i="13"/>
  <c r="P176" i="13"/>
  <c r="E175" i="13"/>
  <c r="W174" i="13"/>
  <c r="E173" i="13"/>
  <c r="E172" i="13"/>
  <c r="AD171" i="13"/>
  <c r="AG170" i="13"/>
  <c r="AK169" i="13"/>
  <c r="Y168" i="13"/>
  <c r="P167" i="13"/>
  <c r="AK165" i="13"/>
  <c r="D164" i="13"/>
  <c r="P163" i="13"/>
  <c r="AG162" i="13"/>
  <c r="AJ161" i="13"/>
  <c r="Y160" i="13"/>
  <c r="E159" i="13"/>
  <c r="AH158" i="13"/>
  <c r="E157" i="13"/>
  <c r="AI156" i="13"/>
  <c r="F155" i="13"/>
  <c r="Z154" i="13"/>
  <c r="AH153" i="13"/>
  <c r="F152" i="13"/>
  <c r="Z151" i="13"/>
  <c r="AG150" i="13"/>
  <c r="Z149" i="13"/>
  <c r="AD148" i="13"/>
  <c r="AJ147" i="13"/>
  <c r="D147" i="13"/>
  <c r="P146" i="13"/>
  <c r="AH145" i="13"/>
  <c r="W144" i="13"/>
  <c r="AK142" i="13"/>
  <c r="Y174" i="13"/>
  <c r="AD142" i="13"/>
  <c r="AE140" i="13"/>
  <c r="Y136" i="13"/>
  <c r="E134" i="13"/>
  <c r="AG132" i="13"/>
  <c r="P131" i="13"/>
  <c r="AE130" i="13"/>
  <c r="AG128" i="13"/>
  <c r="W127" i="13"/>
  <c r="AK125" i="13"/>
  <c r="E122" i="13"/>
  <c r="E121" i="13"/>
  <c r="W120" i="13"/>
  <c r="E119" i="13"/>
  <c r="W118" i="13"/>
  <c r="E117" i="13"/>
  <c r="P116" i="13"/>
  <c r="F115" i="13"/>
  <c r="AG114" i="13"/>
  <c r="AJ113" i="13"/>
  <c r="Y112" i="13"/>
  <c r="Z111" i="13"/>
  <c r="P110" i="13"/>
  <c r="AI108" i="13"/>
  <c r="Y107" i="13"/>
  <c r="E106" i="13"/>
  <c r="AJ104" i="13"/>
  <c r="AE104" i="13"/>
  <c r="E103" i="13"/>
  <c r="AJ101" i="13"/>
  <c r="AE101" i="13"/>
  <c r="W100" i="13"/>
  <c r="AD99" i="13"/>
  <c r="AI98" i="13"/>
  <c r="Y97" i="13"/>
  <c r="F96" i="13"/>
  <c r="AI95" i="13"/>
  <c r="AE95" i="13"/>
  <c r="E94" i="13"/>
  <c r="AG93" i="13"/>
  <c r="Z92" i="13"/>
  <c r="AD91" i="13"/>
  <c r="AJ90" i="13"/>
  <c r="D90" i="13"/>
  <c r="P89" i="13"/>
  <c r="AH88" i="13"/>
  <c r="W87" i="13"/>
  <c r="AK85" i="13"/>
  <c r="Y85" i="13"/>
  <c r="F84" i="13"/>
  <c r="AI83" i="13"/>
  <c r="AE83" i="13"/>
  <c r="E82" i="13"/>
  <c r="AG81" i="13"/>
  <c r="Z80" i="13"/>
  <c r="AD79" i="13"/>
  <c r="E163" i="13"/>
  <c r="F148" i="13"/>
  <c r="E145" i="13"/>
  <c r="Y142" i="13"/>
  <c r="AK137" i="13"/>
  <c r="AJ135" i="13"/>
  <c r="Z134" i="13"/>
  <c r="Z131" i="13"/>
  <c r="Z127" i="13"/>
  <c r="AJ125" i="13"/>
  <c r="AD124" i="13"/>
  <c r="F123" i="13"/>
  <c r="W122" i="13"/>
  <c r="Y121" i="13"/>
  <c r="Z120" i="13"/>
  <c r="Z119" i="13"/>
  <c r="Y118" i="13"/>
  <c r="W117" i="13"/>
  <c r="Z116" i="13"/>
  <c r="P115" i="13"/>
  <c r="AI113" i="13"/>
  <c r="Y111" i="13"/>
  <c r="E110" i="13"/>
  <c r="AD109" i="13"/>
  <c r="AH108" i="13"/>
  <c r="AE107" i="13"/>
  <c r="W106" i="13"/>
  <c r="AD105" i="13"/>
  <c r="AI104" i="13"/>
  <c r="W103" i="13"/>
  <c r="AD102" i="13"/>
  <c r="AI101" i="13"/>
  <c r="Z100" i="13"/>
  <c r="F99" i="13"/>
  <c r="AH98" i="13"/>
  <c r="AK97" i="13"/>
  <c r="D97" i="13"/>
  <c r="P96" i="13"/>
  <c r="AH95" i="13"/>
  <c r="W94" i="13"/>
  <c r="AK92" i="13"/>
  <c r="Y92" i="13"/>
  <c r="F91" i="13"/>
  <c r="AI90" i="13"/>
  <c r="AE90" i="13"/>
  <c r="E89" i="13"/>
  <c r="AG88" i="13"/>
  <c r="Z87" i="13"/>
  <c r="AD86" i="13"/>
  <c r="AJ85" i="13"/>
  <c r="D85" i="13"/>
  <c r="P84" i="13"/>
  <c r="AH83" i="13"/>
  <c r="W82" i="13"/>
  <c r="AK80" i="13"/>
  <c r="Y80" i="13"/>
  <c r="F79" i="13"/>
  <c r="AI78" i="13"/>
  <c r="AE78" i="13"/>
  <c r="E77" i="13"/>
  <c r="D168" i="13"/>
  <c r="W157" i="13"/>
  <c r="Y148" i="13"/>
  <c r="D142" i="13"/>
  <c r="AH139" i="13"/>
  <c r="AI137" i="13"/>
  <c r="AI135" i="13"/>
  <c r="AE134" i="13"/>
  <c r="P132" i="13"/>
  <c r="AJ129" i="13"/>
  <c r="P128" i="13"/>
  <c r="Y127" i="13"/>
  <c r="AI125" i="13"/>
  <c r="F124" i="13"/>
  <c r="Z123" i="13"/>
  <c r="Z122" i="13"/>
  <c r="D121" i="13"/>
  <c r="Y120" i="13"/>
  <c r="AE119" i="13"/>
  <c r="D118" i="13"/>
  <c r="Z117" i="13"/>
  <c r="Y116" i="13"/>
  <c r="E115" i="13"/>
  <c r="AD114" i="13"/>
  <c r="AH113" i="13"/>
  <c r="AK112" i="13"/>
  <c r="D111" i="13"/>
  <c r="W110" i="13"/>
  <c r="F109" i="13"/>
  <c r="AG108" i="13"/>
  <c r="AI107" i="13"/>
  <c r="Z106" i="13"/>
  <c r="F105" i="13"/>
  <c r="AH104" i="13"/>
  <c r="Z103" i="13"/>
  <c r="F102" i="13"/>
  <c r="AH101" i="13"/>
  <c r="Y100" i="13"/>
  <c r="P99" i="13"/>
  <c r="AJ97" i="13"/>
  <c r="AE97" i="13"/>
  <c r="E96" i="13"/>
  <c r="AG95" i="13"/>
  <c r="Z94" i="13"/>
  <c r="AD93" i="13"/>
  <c r="AJ92" i="13"/>
  <c r="D92" i="13"/>
  <c r="P91" i="13"/>
  <c r="E178" i="13"/>
  <c r="D173" i="13"/>
  <c r="AI161" i="13"/>
  <c r="AH156" i="13"/>
  <c r="P152" i="13"/>
  <c r="AI147" i="13"/>
  <c r="AG144" i="13"/>
  <c r="AJ141" i="13"/>
  <c r="AG135" i="13"/>
  <c r="AH133" i="13"/>
  <c r="W132" i="13"/>
  <c r="AK130" i="13"/>
  <c r="Y128" i="13"/>
  <c r="P124" i="13"/>
  <c r="D123" i="13"/>
  <c r="Y122" i="13"/>
  <c r="D120" i="13"/>
  <c r="AE118" i="13"/>
  <c r="D117" i="13"/>
  <c r="D116" i="13"/>
  <c r="W115" i="13"/>
  <c r="F114" i="13"/>
  <c r="AG113" i="13"/>
  <c r="AH112" i="13"/>
  <c r="AK111" i="13"/>
  <c r="AE111" i="13"/>
  <c r="Z110" i="13"/>
  <c r="P109" i="13"/>
  <c r="AH107" i="13"/>
  <c r="Y106" i="13"/>
  <c r="P105" i="13"/>
  <c r="AG104" i="13"/>
  <c r="AK103" i="13"/>
  <c r="Y103" i="13"/>
  <c r="P102" i="13"/>
  <c r="AG101" i="13"/>
  <c r="AK100" i="13"/>
  <c r="D100" i="13"/>
  <c r="W99" i="13"/>
  <c r="AD98" i="13"/>
  <c r="AI97" i="13"/>
  <c r="W96" i="13"/>
  <c r="AK94" i="13"/>
  <c r="Y94" i="13"/>
  <c r="F93" i="13"/>
  <c r="AI92" i="13"/>
  <c r="AE92" i="13"/>
  <c r="E91" i="13"/>
  <c r="AG90" i="13"/>
  <c r="Z89" i="13"/>
  <c r="AD88" i="13"/>
  <c r="AJ87" i="13"/>
  <c r="D87" i="13"/>
  <c r="P86" i="13"/>
  <c r="AH85" i="13"/>
  <c r="W84" i="13"/>
  <c r="AK82" i="13"/>
  <c r="Y82" i="13"/>
  <c r="F81" i="13"/>
  <c r="AI80" i="13"/>
  <c r="AE80" i="13"/>
  <c r="E79" i="13"/>
  <c r="AG78" i="13"/>
  <c r="Z77" i="13"/>
  <c r="AD76" i="13"/>
  <c r="AJ75" i="13"/>
  <c r="D75" i="13"/>
  <c r="P74" i="13"/>
  <c r="AH73" i="13"/>
  <c r="W72" i="13"/>
  <c r="E167" i="13"/>
  <c r="E139" i="13"/>
  <c r="Z137" i="13"/>
  <c r="AG133" i="13"/>
  <c r="Z132" i="13"/>
  <c r="AJ130" i="13"/>
  <c r="F129" i="13"/>
  <c r="AE128" i="13"/>
  <c r="AI126" i="13"/>
  <c r="E125" i="13"/>
  <c r="E124" i="13"/>
  <c r="AE123" i="13"/>
  <c r="AE122" i="13"/>
  <c r="AE120" i="13"/>
  <c r="AK118" i="13"/>
  <c r="AE116" i="13"/>
  <c r="Z115" i="13"/>
  <c r="P114" i="13"/>
  <c r="AG112" i="13"/>
  <c r="AJ111" i="13"/>
  <c r="Y110" i="13"/>
  <c r="E109" i="13"/>
  <c r="F108" i="13"/>
  <c r="AG107" i="13"/>
  <c r="AK106" i="13"/>
  <c r="D106" i="13"/>
  <c r="E105" i="13"/>
  <c r="AJ103" i="13"/>
  <c r="D103" i="13"/>
  <c r="E102" i="13"/>
  <c r="AJ100" i="13"/>
  <c r="Z99" i="13"/>
  <c r="F98" i="13"/>
  <c r="AH97" i="13"/>
  <c r="Z96" i="13"/>
  <c r="AD95" i="13"/>
  <c r="AJ94" i="13"/>
  <c r="D94" i="13"/>
  <c r="P93" i="13"/>
  <c r="AH92" i="13"/>
  <c r="W91" i="13"/>
  <c r="AK89" i="13"/>
  <c r="Y89" i="13"/>
  <c r="F88" i="13"/>
  <c r="AI87" i="13"/>
  <c r="AE87" i="13"/>
  <c r="E86" i="13"/>
  <c r="AG85" i="13"/>
  <c r="Z84" i="13"/>
  <c r="AD83" i="13"/>
  <c r="AJ82" i="13"/>
  <c r="D82" i="13"/>
  <c r="P81" i="13"/>
  <c r="AH80" i="13"/>
  <c r="W79" i="13"/>
  <c r="AK77" i="13"/>
  <c r="Y77" i="13"/>
  <c r="F76" i="13"/>
  <c r="AI75" i="13"/>
  <c r="AE75" i="13"/>
  <c r="E74" i="13"/>
  <c r="AG73" i="13"/>
  <c r="Z72" i="13"/>
  <c r="AD71" i="13"/>
  <c r="AJ70" i="13"/>
  <c r="D70" i="13"/>
  <c r="P69" i="13"/>
  <c r="AH68" i="13"/>
  <c r="W67" i="13"/>
  <c r="AK65" i="13"/>
  <c r="Y65" i="13"/>
  <c r="F64" i="13"/>
  <c r="AI63" i="13"/>
  <c r="AE63" i="13"/>
  <c r="Z172" i="13"/>
  <c r="AK151" i="13"/>
  <c r="F147" i="13"/>
  <c r="Z144" i="13"/>
  <c r="F141" i="13"/>
  <c r="W139" i="13"/>
  <c r="Y137" i="13"/>
  <c r="F135" i="13"/>
  <c r="Y132" i="13"/>
  <c r="AI130" i="13"/>
  <c r="P129" i="13"/>
  <c r="AG126" i="13"/>
  <c r="Z125" i="13"/>
  <c r="W124" i="13"/>
  <c r="AK121" i="13"/>
  <c r="AK120" i="13"/>
  <c r="AJ118" i="13"/>
  <c r="AK116" i="13"/>
  <c r="Y115" i="13"/>
  <c r="E114" i="13"/>
  <c r="P113" i="13"/>
  <c r="AI111" i="13"/>
  <c r="D110" i="13"/>
  <c r="Y109" i="13"/>
  <c r="P108" i="13"/>
  <c r="AJ106" i="13"/>
  <c r="AE106" i="13"/>
  <c r="W105" i="13"/>
  <c r="AD104" i="13"/>
  <c r="AI103" i="13"/>
  <c r="AE103" i="13"/>
  <c r="W102" i="13"/>
  <c r="AD101" i="13"/>
  <c r="AH100" i="13"/>
  <c r="Y99" i="13"/>
  <c r="P98" i="13"/>
  <c r="AG97" i="13"/>
  <c r="AK96" i="13"/>
  <c r="Y96" i="13"/>
  <c r="F95" i="13"/>
  <c r="AI94" i="13"/>
  <c r="AE94" i="13"/>
  <c r="E93" i="13"/>
  <c r="AG92" i="13"/>
  <c r="Z91" i="13"/>
  <c r="AD90" i="13"/>
  <c r="AJ89" i="13"/>
  <c r="D89" i="13"/>
  <c r="P88" i="13"/>
  <c r="AH87" i="13"/>
  <c r="W86" i="13"/>
  <c r="AK84" i="13"/>
  <c r="Y84" i="13"/>
  <c r="F83" i="13"/>
  <c r="AI82" i="13"/>
  <c r="AE82" i="13"/>
  <c r="E81" i="13"/>
  <c r="AG80" i="13"/>
  <c r="Z79" i="13"/>
  <c r="AD78" i="13"/>
  <c r="AJ77" i="13"/>
  <c r="D77" i="13"/>
  <c r="P76" i="13"/>
  <c r="AH75" i="13"/>
  <c r="W74" i="13"/>
  <c r="AK72" i="13"/>
  <c r="Y72" i="13"/>
  <c r="F71" i="13"/>
  <c r="AI70" i="13"/>
  <c r="AE70" i="13"/>
  <c r="E69" i="13"/>
  <c r="AG68" i="13"/>
  <c r="Z67" i="13"/>
  <c r="AD66" i="13"/>
  <c r="E171" i="13"/>
  <c r="AJ165" i="13"/>
  <c r="D160" i="13"/>
  <c r="P155" i="13"/>
  <c r="Y151" i="13"/>
  <c r="AI146" i="13"/>
  <c r="D141" i="13"/>
  <c r="AK136" i="13"/>
  <c r="AE135" i="13"/>
  <c r="E133" i="13"/>
  <c r="W129" i="13"/>
  <c r="AK127" i="13"/>
  <c r="AD126" i="13"/>
  <c r="D125" i="13"/>
  <c r="AK122" i="13"/>
  <c r="AH121" i="13"/>
  <c r="AI120" i="13"/>
  <c r="AH119" i="13"/>
  <c r="AH118" i="13"/>
  <c r="AG117" i="13"/>
  <c r="AI116" i="13"/>
  <c r="AK115" i="13"/>
  <c r="AE115" i="13"/>
  <c r="D114" i="13"/>
  <c r="W113" i="13"/>
  <c r="F112" i="13"/>
  <c r="AG111" i="13"/>
  <c r="AJ110" i="13"/>
  <c r="AK109" i="13"/>
  <c r="AE109" i="13"/>
  <c r="W108" i="13"/>
  <c r="F107" i="13"/>
  <c r="AH106" i="13"/>
  <c r="Y105" i="13"/>
  <c r="P104" i="13"/>
  <c r="AG103" i="13"/>
  <c r="D102" i="13"/>
  <c r="E101" i="13"/>
  <c r="AJ99" i="13"/>
  <c r="AE99" i="13"/>
  <c r="W98" i="13"/>
  <c r="AD97" i="13"/>
  <c r="AI96" i="13"/>
  <c r="AE96" i="13"/>
  <c r="E95" i="13"/>
  <c r="AG94" i="13"/>
  <c r="Z93" i="13"/>
  <c r="AD92" i="13"/>
  <c r="AJ91" i="13"/>
  <c r="D91" i="13"/>
  <c r="P90" i="13"/>
  <c r="AH89" i="13"/>
  <c r="W88" i="13"/>
  <c r="AK86" i="13"/>
  <c r="Y86" i="13"/>
  <c r="F85" i="13"/>
  <c r="AI84" i="13"/>
  <c r="AE84" i="13"/>
  <c r="E83" i="13"/>
  <c r="AG82" i="13"/>
  <c r="Z81" i="13"/>
  <c r="AD80" i="13"/>
  <c r="AJ79" i="13"/>
  <c r="D79" i="13"/>
  <c r="P78" i="13"/>
  <c r="AH77" i="13"/>
  <c r="W76" i="13"/>
  <c r="E176" i="13"/>
  <c r="AK154" i="13"/>
  <c r="AD143" i="13"/>
  <c r="AI140" i="13"/>
  <c r="AG138" i="13"/>
  <c r="D133" i="13"/>
  <c r="AH131" i="13"/>
  <c r="AD130" i="13"/>
  <c r="D129" i="13"/>
  <c r="AH127" i="13"/>
  <c r="F126" i="13"/>
  <c r="AE125" i="13"/>
  <c r="AJ123" i="13"/>
  <c r="AI122" i="13"/>
  <c r="AG121" i="13"/>
  <c r="AG120" i="13"/>
  <c r="AG118" i="13"/>
  <c r="AH116" i="13"/>
  <c r="AJ115" i="13"/>
  <c r="AE114" i="13"/>
  <c r="Z113" i="13"/>
  <c r="P112" i="13"/>
  <c r="AI110" i="13"/>
  <c r="AJ109" i="13"/>
  <c r="Z108" i="13"/>
  <c r="P107" i="13"/>
  <c r="AG106" i="13"/>
  <c r="AK105" i="13"/>
  <c r="D105" i="13"/>
  <c r="E104" i="13"/>
  <c r="AJ102" i="13"/>
  <c r="AE102" i="13"/>
  <c r="W101" i="13"/>
  <c r="AD100" i="13"/>
  <c r="AI99" i="13"/>
  <c r="Z98" i="13"/>
  <c r="F97" i="13"/>
  <c r="AH96" i="13"/>
  <c r="W95" i="13"/>
  <c r="AK93" i="13"/>
  <c r="Y93" i="13"/>
  <c r="F92" i="13"/>
  <c r="AI91" i="13"/>
  <c r="AE91" i="13"/>
  <c r="E90" i="13"/>
  <c r="AG89" i="13"/>
  <c r="Z88" i="13"/>
  <c r="AD87" i="13"/>
  <c r="AJ86" i="13"/>
  <c r="D86" i="13"/>
  <c r="P85" i="13"/>
  <c r="AH84" i="13"/>
  <c r="W83" i="13"/>
  <c r="AK81" i="13"/>
  <c r="Y81" i="13"/>
  <c r="F80" i="13"/>
  <c r="E182" i="13"/>
  <c r="W159" i="13"/>
  <c r="AK149" i="13"/>
  <c r="E146" i="13"/>
  <c r="Z143" i="13"/>
  <c r="AH140" i="13"/>
  <c r="AD136" i="13"/>
  <c r="AI134" i="13"/>
  <c r="W130" i="13"/>
  <c r="AK128" i="13"/>
  <c r="W126" i="13"/>
  <c r="AI123" i="13"/>
  <c r="AD119" i="13"/>
  <c r="AD117" i="13"/>
  <c r="AG116" i="13"/>
  <c r="AH115" i="13"/>
  <c r="AJ114" i="13"/>
  <c r="Y113" i="13"/>
  <c r="E112" i="13"/>
  <c r="AD111" i="13"/>
  <c r="AI109" i="13"/>
  <c r="Y108" i="13"/>
  <c r="E107" i="13"/>
  <c r="AJ105" i="13"/>
  <c r="AE105" i="13"/>
  <c r="Z104" i="13"/>
  <c r="AD103" i="13"/>
  <c r="AI102" i="13"/>
  <c r="Z101" i="13"/>
  <c r="F100" i="13"/>
  <c r="AH99" i="13"/>
  <c r="Y98" i="13"/>
  <c r="P97" i="13"/>
  <c r="AG96" i="13"/>
  <c r="Z95" i="13"/>
  <c r="AD94" i="13"/>
  <c r="AJ93" i="13"/>
  <c r="D93" i="13"/>
  <c r="P92" i="13"/>
  <c r="AH91" i="13"/>
  <c r="W90" i="13"/>
  <c r="Z175" i="13"/>
  <c r="AJ169" i="13"/>
  <c r="AG158" i="13"/>
  <c r="Y154" i="13"/>
  <c r="AE146" i="13"/>
  <c r="AJ142" i="13"/>
  <c r="F138" i="13"/>
  <c r="F136" i="13"/>
  <c r="AD131" i="13"/>
  <c r="Y130" i="13"/>
  <c r="AI128" i="13"/>
  <c r="F127" i="13"/>
  <c r="AE126" i="13"/>
  <c r="AK124" i="13"/>
  <c r="AH123" i="13"/>
  <c r="AD122" i="13"/>
  <c r="AD121" i="13"/>
  <c r="F120" i="13"/>
  <c r="F119" i="13"/>
  <c r="AD118" i="13"/>
  <c r="F117" i="13"/>
  <c r="AI114" i="13"/>
  <c r="D113" i="13"/>
  <c r="W112" i="13"/>
  <c r="F111" i="13"/>
  <c r="AD110" i="13"/>
  <c r="AH109" i="13"/>
  <c r="AK108" i="13"/>
  <c r="D108" i="13"/>
  <c r="W107" i="13"/>
  <c r="AD106" i="13"/>
  <c r="AI105" i="13"/>
  <c r="Y104" i="13"/>
  <c r="F103" i="13"/>
  <c r="AH102" i="13"/>
  <c r="Y101" i="13"/>
  <c r="P100" i="13"/>
  <c r="AG99" i="13"/>
  <c r="AK98" i="13"/>
  <c r="D98" i="13"/>
  <c r="E97" i="13"/>
  <c r="AK95" i="13"/>
  <c r="Y95" i="13"/>
  <c r="F94" i="13"/>
  <c r="AI93" i="13"/>
  <c r="AE93" i="13"/>
  <c r="E92" i="13"/>
  <c r="AG91" i="13"/>
  <c r="Z90" i="13"/>
  <c r="AD89" i="13"/>
  <c r="AJ88" i="13"/>
  <c r="D88" i="13"/>
  <c r="P87" i="13"/>
  <c r="AH86" i="13"/>
  <c r="W85" i="13"/>
  <c r="AK83" i="13"/>
  <c r="P140" i="13"/>
  <c r="AI183" i="13"/>
  <c r="AE168" i="13"/>
  <c r="AD167" i="13"/>
  <c r="W166" i="13"/>
  <c r="AI165" i="13"/>
  <c r="AE165" i="13"/>
  <c r="AD164" i="13"/>
  <c r="W163" i="13"/>
  <c r="AI162" i="13"/>
  <c r="AE162" i="13"/>
  <c r="AD161" i="13"/>
  <c r="W160" i="13"/>
  <c r="AI159" i="13"/>
  <c r="AG183" i="13"/>
  <c r="P182" i="13"/>
  <c r="AK181" i="13"/>
  <c r="Y181" i="13"/>
  <c r="AG180" i="13"/>
  <c r="AI181" i="13"/>
  <c r="AE181" i="13"/>
  <c r="AD180" i="13"/>
  <c r="W179" i="13"/>
  <c r="AI178" i="13"/>
  <c r="AE178" i="13"/>
  <c r="AD177" i="13"/>
  <c r="W176" i="13"/>
  <c r="AI175" i="13"/>
  <c r="AE175" i="13"/>
  <c r="AD174" i="13"/>
  <c r="W173" i="13"/>
  <c r="AH166" i="13"/>
  <c r="F165" i="13"/>
  <c r="Z164" i="13"/>
  <c r="AH163" i="13"/>
  <c r="F162" i="13"/>
  <c r="Z161" i="13"/>
  <c r="AH160" i="13"/>
  <c r="F159" i="13"/>
  <c r="Z158" i="13"/>
  <c r="AH157" i="13"/>
  <c r="F156" i="13"/>
  <c r="Y167" i="13"/>
  <c r="AG166" i="13"/>
  <c r="P165" i="13"/>
  <c r="AK164" i="13"/>
  <c r="Y164" i="13"/>
  <c r="AG163" i="13"/>
  <c r="P162" i="13"/>
  <c r="AK161" i="13"/>
  <c r="Y161" i="13"/>
  <c r="AG160" i="13"/>
  <c r="P159" i="13"/>
  <c r="AK158" i="13"/>
  <c r="W183" i="13"/>
  <c r="AI182" i="13"/>
  <c r="AE182" i="13"/>
  <c r="AD181" i="13"/>
  <c r="W180" i="13"/>
  <c r="AI179" i="13"/>
  <c r="AE179" i="13"/>
  <c r="AD178" i="13"/>
  <c r="F181" i="13"/>
  <c r="Z180" i="13"/>
  <c r="AH179" i="13"/>
  <c r="F178" i="13"/>
  <c r="Z177" i="13"/>
  <c r="AH176" i="13"/>
  <c r="F175" i="13"/>
  <c r="Z174" i="13"/>
  <c r="AH173" i="13"/>
  <c r="F172" i="13"/>
  <c r="Z171" i="13"/>
  <c r="AK183" i="13"/>
  <c r="Y183" i="13"/>
  <c r="AG182" i="13"/>
  <c r="Y158" i="13"/>
  <c r="AH159" i="13"/>
  <c r="F160" i="13"/>
  <c r="W161" i="13"/>
  <c r="AI163" i="13"/>
  <c r="F164" i="13"/>
  <c r="Z165" i="13"/>
  <c r="AE166" i="13"/>
  <c r="AH167" i="13"/>
  <c r="AD168" i="13"/>
  <c r="Z169" i="13"/>
  <c r="AJ171" i="13"/>
  <c r="AI172" i="13"/>
  <c r="AG173" i="13"/>
  <c r="AH174" i="13"/>
  <c r="AJ175" i="13"/>
  <c r="AI176" i="13"/>
  <c r="AJ177" i="13"/>
  <c r="P181" i="13"/>
  <c r="AK175" i="13"/>
  <c r="AJ176" i="13"/>
  <c r="AK177" i="13"/>
  <c r="D180" i="13"/>
  <c r="D183" i="13"/>
  <c r="W172" i="13"/>
  <c r="AH183" i="13"/>
  <c r="AH182" i="13"/>
  <c r="Z183" i="13"/>
  <c r="AK167" i="13"/>
  <c r="P168" i="13"/>
  <c r="AG169" i="13"/>
  <c r="Y170" i="13"/>
  <c r="AK170" i="13"/>
  <c r="P171" i="13"/>
  <c r="AG172" i="13"/>
  <c r="Y173" i="13"/>
  <c r="AK173" i="13"/>
  <c r="P174" i="13"/>
  <c r="AG175" i="13"/>
  <c r="Y176" i="13"/>
  <c r="AK176" i="13"/>
  <c r="P177" i="13"/>
  <c r="AG178" i="13"/>
  <c r="Y179" i="13"/>
  <c r="AK179" i="13"/>
  <c r="P180" i="13"/>
  <c r="AG181" i="13"/>
  <c r="Y182" i="13"/>
  <c r="AK182" i="13"/>
  <c r="P183" i="13"/>
  <c r="Z167" i="13"/>
  <c r="F168" i="13"/>
  <c r="AH169" i="13"/>
  <c r="Z170" i="13"/>
  <c r="F171" i="13"/>
  <c r="AH172" i="13"/>
  <c r="Z173" i="13"/>
  <c r="F174" i="13"/>
  <c r="AH175" i="13"/>
  <c r="Z176" i="13"/>
  <c r="F177" i="13"/>
  <c r="AH178" i="13"/>
  <c r="Z179" i="13"/>
  <c r="F180" i="13"/>
  <c r="AH181" i="13"/>
  <c r="Z182" i="13"/>
  <c r="F183" i="13"/>
  <c r="W182" i="13"/>
  <c r="AD183" i="13"/>
  <c r="AI168" i="13"/>
  <c r="W169" i="13"/>
  <c r="AD170" i="13"/>
  <c r="AE171" i="13"/>
  <c r="AI171" i="13"/>
  <c r="AD173" i="13"/>
  <c r="AE174" i="13"/>
  <c r="AI174" i="13"/>
  <c r="W175" i="13"/>
  <c r="AD176" i="13"/>
  <c r="AE177" i="13"/>
  <c r="AI177" i="13"/>
  <c r="W178" i="13"/>
  <c r="AD179" i="13"/>
  <c r="AE180" i="13"/>
  <c r="AI180" i="13"/>
  <c r="W181" i="13"/>
  <c r="AD182" i="13"/>
  <c r="AE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V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R207" i="13"/>
  <c r="BI208" i="13" s="1"/>
  <c r="BR208" i="13" s="1"/>
  <c r="BI209" i="13" s="1"/>
  <c r="BR209" i="13" s="1"/>
  <c r="BI210" i="13" s="1"/>
  <c r="BR210" i="13" s="1"/>
  <c r="BI211" i="13" s="1"/>
  <c r="BR211" i="13" s="1"/>
  <c r="BI212" i="13" s="1"/>
  <c r="BR212" i="13" s="1"/>
  <c r="BI213" i="13" s="1"/>
  <c r="BR213" i="13" s="1"/>
  <c r="BI214" i="13" s="1"/>
  <c r="BR214" i="13" s="1"/>
  <c r="BI215" i="13" s="1"/>
  <c r="BR215" i="13" s="1"/>
  <c r="BI216" i="13" s="1"/>
  <c r="BR216" i="13" s="1"/>
  <c r="BI217" i="13" s="1"/>
  <c r="BR217" i="13" s="1"/>
  <c r="BI218" i="13" s="1"/>
  <c r="BR218" i="13" s="1"/>
  <c r="BI219" i="13" s="1"/>
  <c r="BR219" i="13" s="1"/>
  <c r="BI220" i="13" s="1"/>
  <c r="BR220" i="13" s="1"/>
  <c r="BI221" i="13" s="1"/>
  <c r="BR221" i="13" s="1"/>
  <c r="BI222" i="13" s="1"/>
  <c r="BR222" i="13" s="1"/>
  <c r="BI223" i="13" s="1"/>
  <c r="BR223" i="13" s="1"/>
  <c r="BI224" i="13" s="1"/>
  <c r="BR224" i="13" s="1"/>
  <c r="BI225" i="13" s="1"/>
  <c r="BR225" i="13" s="1"/>
  <c r="BI226" i="13" s="1"/>
  <c r="BR226" i="13" s="1"/>
  <c r="BI227" i="13" s="1"/>
  <c r="BR227" i="13" s="1"/>
  <c r="BI228" i="13" s="1"/>
  <c r="BR228" i="13" s="1"/>
  <c r="BI229" i="13" s="1"/>
  <c r="BR229" i="13" s="1"/>
  <c r="BI230" i="13" s="1"/>
  <c r="BR230" i="13" s="1"/>
  <c r="BI231" i="13" s="1"/>
  <c r="BR231" i="13" s="1"/>
  <c r="BI232" i="13" s="1"/>
  <c r="BR232" i="13" s="1"/>
  <c r="BI233" i="13" s="1"/>
  <c r="BR233" i="13" s="1"/>
  <c r="BI234" i="13" s="1"/>
  <c r="BR234" i="13" s="1"/>
  <c r="BI235" i="13" s="1"/>
  <c r="BR235" i="13" s="1"/>
  <c r="BI236" i="13" s="1"/>
  <c r="BR236" i="13" s="1"/>
  <c r="BI237" i="13" s="1"/>
  <c r="BR237" i="13" s="1"/>
  <c r="BI238" i="13" s="1"/>
  <c r="BR238" i="13" s="1"/>
  <c r="BI239" i="13" s="1"/>
  <c r="BR239" i="13" s="1"/>
  <c r="BI240" i="13" s="1"/>
  <c r="BR240" i="13" s="1"/>
  <c r="BI241" i="13" s="1"/>
  <c r="BR241" i="13" s="1"/>
  <c r="BI242" i="13" s="1"/>
  <c r="BR242" i="13" s="1"/>
  <c r="BI243" i="13" s="1"/>
  <c r="BR243" i="13" s="1"/>
  <c r="BI244" i="13" s="1"/>
  <c r="BR244" i="13" s="1"/>
  <c r="BI245" i="13" s="1"/>
  <c r="BR245" i="13" s="1"/>
  <c r="BI246" i="13" s="1"/>
  <c r="BR246" i="13" s="1"/>
  <c r="BI247" i="13" s="1"/>
  <c r="BR247" i="13" s="1"/>
  <c r="BI248" i="13" s="1"/>
  <c r="BR248" i="13" s="1"/>
  <c r="BI249" i="13" s="1"/>
  <c r="BR249" i="13" s="1"/>
  <c r="BI250" i="13" s="1"/>
  <c r="BR250" i="13" s="1"/>
  <c r="BI251" i="13" s="1"/>
  <c r="BR251" i="13" s="1"/>
  <c r="BI252" i="13" s="1"/>
  <c r="BR252" i="13" s="1"/>
  <c r="BI253" i="13" s="1"/>
  <c r="BR253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V181" i="13"/>
  <c r="M23" i="36"/>
  <c r="M106" i="36"/>
  <c r="AV164" i="13" s="1"/>
  <c r="M126" i="36"/>
  <c r="AV167" i="13" s="1"/>
  <c r="M119" i="36"/>
  <c r="M100" i="36"/>
  <c r="AV163" i="13" s="1"/>
  <c r="M89" i="36"/>
  <c r="M144" i="36"/>
  <c r="M85" i="36"/>
  <c r="M137" i="36"/>
  <c r="M16" i="36"/>
  <c r="M182" i="36"/>
  <c r="AV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V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V176" i="13" s="1"/>
  <c r="M46" i="36"/>
  <c r="M189" i="36"/>
  <c r="AV180" i="13" s="1"/>
  <c r="M203" i="36"/>
  <c r="M13" i="36"/>
  <c r="M58" i="36"/>
  <c r="M142" i="36"/>
  <c r="M200" i="36"/>
  <c r="M52" i="36"/>
  <c r="M165" i="36"/>
  <c r="M8" i="36"/>
  <c r="AV150" i="13" s="1"/>
  <c r="BG150" i="13" s="1"/>
  <c r="AP151" i="13" s="1"/>
  <c r="BG151" i="13" s="1"/>
  <c r="AP152" i="13" s="1"/>
  <c r="M123" i="36"/>
  <c r="AV166" i="13" s="1"/>
  <c r="M193" i="36"/>
  <c r="M145" i="36"/>
  <c r="M202" i="36"/>
  <c r="M40" i="36"/>
  <c r="M43" i="36"/>
  <c r="M181" i="36"/>
  <c r="AV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V171" i="13"/>
  <c r="AV161" i="13"/>
  <c r="AV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N5" i="13"/>
  <c r="C6" i="13" s="1"/>
  <c r="AN6" i="13" s="1"/>
  <c r="C7" i="13" s="1"/>
  <c r="AN7" i="13" s="1"/>
  <c r="C8" i="13" s="1"/>
  <c r="AN8" i="13" s="1"/>
  <c r="C9" i="13" s="1"/>
  <c r="AN9" i="13" s="1"/>
  <c r="C10" i="13" s="1"/>
  <c r="AN10" i="13" s="1"/>
  <c r="C11" i="13" s="1"/>
  <c r="AN11" i="13" s="1"/>
  <c r="C12" i="13" s="1"/>
  <c r="AN12" i="13" s="1"/>
  <c r="C13" i="13" s="1"/>
  <c r="AN13" i="13" s="1"/>
  <c r="C14" i="13" s="1"/>
  <c r="AN14" i="13" s="1"/>
  <c r="C15" i="13" s="1"/>
  <c r="AN15" i="13" s="1"/>
  <c r="C16" i="13" s="1"/>
  <c r="AN16" i="13" s="1"/>
  <c r="C17" i="13" s="1"/>
  <c r="AN17" i="13" s="1"/>
  <c r="C18" i="13" s="1"/>
  <c r="AN18" i="13" s="1"/>
  <c r="C19" i="13" s="1"/>
  <c r="AN19" i="13" s="1"/>
  <c r="C20" i="13" s="1"/>
  <c r="AN20" i="13" s="1"/>
  <c r="C21" i="13" s="1"/>
  <c r="AN21" i="13" s="1"/>
  <c r="C22" i="13" s="1"/>
  <c r="AN22" i="13" s="1"/>
  <c r="C23" i="13" s="1"/>
  <c r="AN23" i="13" s="1"/>
  <c r="C24" i="13" s="1"/>
  <c r="AN24" i="13" s="1"/>
  <c r="C25" i="13" s="1"/>
  <c r="AN25" i="13" s="1"/>
  <c r="C26" i="13" s="1"/>
  <c r="AN26" i="13" s="1"/>
  <c r="C27" i="13" s="1"/>
  <c r="AN27" i="13" s="1"/>
  <c r="C28" i="13" s="1"/>
  <c r="AN28" i="13" s="1"/>
  <c r="C29" i="13" s="1"/>
  <c r="AN29" i="13" s="1"/>
  <c r="C30" i="13" s="1"/>
  <c r="AN30" i="13" s="1"/>
  <c r="C31" i="13" s="1"/>
  <c r="AN31" i="13" s="1"/>
  <c r="C32" i="13" s="1"/>
  <c r="AN32" i="13" s="1"/>
  <c r="C33" i="13" s="1"/>
  <c r="AN33" i="13" s="1"/>
  <c r="C34" i="13" s="1"/>
  <c r="AN34" i="13" s="1"/>
  <c r="C35" i="13" s="1"/>
  <c r="AN35" i="13" s="1"/>
  <c r="C36" i="13" s="1"/>
  <c r="AN36" i="13" s="1"/>
  <c r="C37" i="13" s="1"/>
  <c r="AN37" i="13" s="1"/>
  <c r="C38" i="13" s="1"/>
  <c r="AN38" i="13" s="1"/>
  <c r="C39" i="13" s="1"/>
  <c r="AN39" i="13" s="1"/>
  <c r="C40" i="13" s="1"/>
  <c r="AN40" i="13" s="1"/>
  <c r="C41" i="13" s="1"/>
  <c r="AN41" i="13" s="1"/>
  <c r="C42" i="13" s="1"/>
  <c r="AN42" i="13" s="1"/>
  <c r="C43" i="13" s="1"/>
  <c r="AN43" i="13" s="1"/>
  <c r="C44" i="13" s="1"/>
  <c r="AN44" i="13" s="1"/>
  <c r="C45" i="13" s="1"/>
  <c r="AN45" i="13" s="1"/>
  <c r="C46" i="13" s="1"/>
  <c r="AN46" i="13" s="1"/>
  <c r="C47" i="13" s="1"/>
  <c r="AN47" i="13" s="1"/>
  <c r="C48" i="13" s="1"/>
  <c r="AN48" i="13" s="1"/>
  <c r="C49" i="13" s="1"/>
  <c r="AN49" i="13" s="1"/>
  <c r="C50" i="13" s="1"/>
  <c r="AN50" i="13" s="1"/>
  <c r="C51" i="13" s="1"/>
  <c r="AN51" i="13" s="1"/>
  <c r="C52" i="13" s="1"/>
  <c r="AN52" i="13" s="1"/>
  <c r="C53" i="13" s="1"/>
  <c r="AN53" i="13" s="1"/>
  <c r="C54" i="13" s="1"/>
  <c r="AN54" i="13" s="1"/>
  <c r="C55" i="13" s="1"/>
  <c r="AN55" i="13" s="1"/>
  <c r="C56" i="13" s="1"/>
  <c r="AN56" i="13" s="1"/>
  <c r="C57" i="13" s="1"/>
  <c r="AN57" i="13" s="1"/>
  <c r="C58" i="13" s="1"/>
  <c r="AN58" i="13" s="1"/>
  <c r="C59" i="13" s="1"/>
  <c r="AN59" i="13" s="1"/>
  <c r="C60" i="13" s="1"/>
  <c r="AN60" i="13" s="1"/>
  <c r="C61" i="13" s="1"/>
  <c r="AN61" i="13" s="1"/>
  <c r="C62" i="13" s="1"/>
  <c r="AN62" i="13" s="1"/>
  <c r="C63" i="13" s="1"/>
  <c r="AN63" i="13" s="1"/>
  <c r="C64" i="13" s="1"/>
  <c r="AN64" i="13" s="1"/>
  <c r="C65" i="13" s="1"/>
  <c r="AN65" i="13" s="1"/>
  <c r="C66" i="13" s="1"/>
  <c r="AN66" i="13" s="1"/>
  <c r="C67" i="13" s="1"/>
  <c r="AN67" i="13" s="1"/>
  <c r="C68" i="13" s="1"/>
  <c r="AN68" i="13" s="1"/>
  <c r="C69" i="13" s="1"/>
  <c r="AN69" i="13" s="1"/>
  <c r="C70" i="13" s="1"/>
  <c r="AN70" i="13" s="1"/>
  <c r="C71" i="13" s="1"/>
  <c r="AN71" i="13" s="1"/>
  <c r="C72" i="13" s="1"/>
  <c r="AN72" i="13" s="1"/>
  <c r="C73" i="13" s="1"/>
  <c r="AN73" i="13" s="1"/>
  <c r="C74" i="13" s="1"/>
  <c r="AN74" i="13" s="1"/>
  <c r="C75" i="13" s="1"/>
  <c r="AN75" i="13" s="1"/>
  <c r="C76" i="13" s="1"/>
  <c r="AN76" i="13" s="1"/>
  <c r="C77" i="13" s="1"/>
  <c r="AN77" i="13" s="1"/>
  <c r="C78" i="13" s="1"/>
  <c r="AN78" i="13" s="1"/>
  <c r="C79" i="13" s="1"/>
  <c r="AN79" i="13" s="1"/>
  <c r="C80" i="13" s="1"/>
  <c r="AN80" i="13" s="1"/>
  <c r="C81" i="13" s="1"/>
  <c r="AN81" i="13" s="1"/>
  <c r="C82" i="13" s="1"/>
  <c r="AN82" i="13" s="1"/>
  <c r="C83" i="13" s="1"/>
  <c r="AN83" i="13" s="1"/>
  <c r="C84" i="13" s="1"/>
  <c r="AN84" i="13" s="1"/>
  <c r="C85" i="13" s="1"/>
  <c r="AN85" i="13" s="1"/>
  <c r="C86" i="13" s="1"/>
  <c r="AN86" i="13" s="1"/>
  <c r="C87" i="13" s="1"/>
  <c r="AN87" i="13" s="1"/>
  <c r="C88" i="13" s="1"/>
  <c r="AN88" i="13" s="1"/>
  <c r="C89" i="13" s="1"/>
  <c r="AN89" i="13" s="1"/>
  <c r="C90" i="13" s="1"/>
  <c r="AN90" i="13" s="1"/>
  <c r="C91" i="13" s="1"/>
  <c r="AN91" i="13" s="1"/>
  <c r="C92" i="13" s="1"/>
  <c r="AN92" i="13" s="1"/>
  <c r="C93" i="13" s="1"/>
  <c r="AN93" i="13" s="1"/>
  <c r="C94" i="13" s="1"/>
  <c r="AN94" i="13" s="1"/>
  <c r="C95" i="13" s="1"/>
  <c r="AN95" i="13" s="1"/>
  <c r="C96" i="13" s="1"/>
  <c r="AN96" i="13" s="1"/>
  <c r="C97" i="13" s="1"/>
  <c r="AN97" i="13" s="1"/>
  <c r="C98" i="13" s="1"/>
  <c r="AN98" i="13" s="1"/>
  <c r="C99" i="13" s="1"/>
  <c r="AN99" i="13" s="1"/>
  <c r="C100" i="13" s="1"/>
  <c r="AN100" i="13" s="1"/>
  <c r="C101" i="13" s="1"/>
  <c r="AN101" i="13" s="1"/>
  <c r="C102" i="13" s="1"/>
  <c r="AN102" i="13" s="1"/>
  <c r="C103" i="13" s="1"/>
  <c r="AN103" i="13" s="1"/>
  <c r="C104" i="13" s="1"/>
  <c r="AN104" i="13" s="1"/>
  <c r="C105" i="13" s="1"/>
  <c r="AN105" i="13" s="1"/>
  <c r="C106" i="13" s="1"/>
  <c r="AN106" i="13" s="1"/>
  <c r="C107" i="13" s="1"/>
  <c r="AN107" i="13" s="1"/>
  <c r="C108" i="13" s="1"/>
  <c r="AN108" i="13" s="1"/>
  <c r="C109" i="13" s="1"/>
  <c r="AN109" i="13" s="1"/>
  <c r="C110" i="13" s="1"/>
  <c r="AN110" i="13" s="1"/>
  <c r="C111" i="13" s="1"/>
  <c r="AN111" i="13" s="1"/>
  <c r="C112" i="13" s="1"/>
  <c r="AN112" i="13" s="1"/>
  <c r="C113" i="13" s="1"/>
  <c r="AN113" i="13" s="1"/>
  <c r="C114" i="13" s="1"/>
  <c r="AN114" i="13" s="1"/>
  <c r="C115" i="13" s="1"/>
  <c r="AN115" i="13" s="1"/>
  <c r="C116" i="13" s="1"/>
  <c r="AN116" i="13" s="1"/>
  <c r="C117" i="13" s="1"/>
  <c r="AN117" i="13" s="1"/>
  <c r="C118" i="13" s="1"/>
  <c r="AN118" i="13" s="1"/>
  <c r="C119" i="13" s="1"/>
  <c r="AN119" i="13" s="1"/>
  <c r="C120" i="13" s="1"/>
  <c r="AN120" i="13" s="1"/>
  <c r="C121" i="13" s="1"/>
  <c r="AN121" i="13" s="1"/>
  <c r="C122" i="13" s="1"/>
  <c r="AN122" i="13" s="1"/>
  <c r="C123" i="13" s="1"/>
  <c r="AN123" i="13" s="1"/>
  <c r="C124" i="13" s="1"/>
  <c r="AN124" i="13" s="1"/>
  <c r="C125" i="13" s="1"/>
  <c r="AN125" i="13" s="1"/>
  <c r="C126" i="13" s="1"/>
  <c r="AN126" i="13" s="1"/>
  <c r="C127" i="13" s="1"/>
  <c r="AN127" i="13" s="1"/>
  <c r="C128" i="13" s="1"/>
  <c r="AN128" i="13" s="1"/>
  <c r="C129" i="13" s="1"/>
  <c r="AN129" i="13" s="1"/>
  <c r="C130" i="13" s="1"/>
  <c r="AN130" i="13" s="1"/>
  <c r="C131" i="13" s="1"/>
  <c r="AN131" i="13" s="1"/>
  <c r="C132" i="13" s="1"/>
  <c r="AN132" i="13" s="1"/>
  <c r="C133" i="13" s="1"/>
  <c r="AN133" i="13" s="1"/>
  <c r="C134" i="13" s="1"/>
  <c r="AN134" i="13" s="1"/>
  <c r="C135" i="13" s="1"/>
  <c r="AN135" i="13" s="1"/>
  <c r="C136" i="13" s="1"/>
  <c r="AN136" i="13" s="1"/>
  <c r="C137" i="13" s="1"/>
  <c r="AN137" i="13" s="1"/>
  <c r="C138" i="13" s="1"/>
  <c r="AN138" i="13" s="1"/>
  <c r="C139" i="13" s="1"/>
  <c r="AN139" i="13" s="1"/>
  <c r="C140" i="13" s="1"/>
  <c r="AN140" i="13" s="1"/>
  <c r="C141" i="13" s="1"/>
  <c r="AN141" i="13" s="1"/>
  <c r="C142" i="13" s="1"/>
  <c r="AN142" i="13" s="1"/>
  <c r="C143" i="13" s="1"/>
  <c r="AN143" i="13" s="1"/>
  <c r="C144" i="13" s="1"/>
  <c r="AN144" i="13" s="1"/>
  <c r="C145" i="13" s="1"/>
  <c r="AN145" i="13" s="1"/>
  <c r="C146" i="13" s="1"/>
  <c r="AN146" i="13" s="1"/>
  <c r="C147" i="13" s="1"/>
  <c r="AN147" i="13" s="1"/>
  <c r="C148" i="13" s="1"/>
  <c r="AN148" i="13" s="1"/>
  <c r="C149" i="13" s="1"/>
  <c r="AN149" i="13" s="1"/>
  <c r="C150" i="13" s="1"/>
  <c r="AN150" i="13" s="1"/>
  <c r="C151" i="13" s="1"/>
  <c r="AN151" i="13" s="1"/>
  <c r="C152" i="13" s="1"/>
  <c r="AN152" i="13" s="1"/>
  <c r="C153" i="13" s="1"/>
  <c r="AN153" i="13" s="1"/>
  <c r="C154" i="13" s="1"/>
  <c r="AN154" i="13" s="1"/>
  <c r="C155" i="13" s="1"/>
  <c r="AN155" i="13" s="1"/>
  <c r="C156" i="13" s="1"/>
  <c r="AN156" i="13" s="1"/>
  <c r="C157" i="13" s="1"/>
  <c r="AN157" i="13" s="1"/>
  <c r="C158" i="13" s="1"/>
  <c r="AN158" i="13" s="1"/>
  <c r="C159" i="13" s="1"/>
  <c r="AN159" i="13" s="1"/>
  <c r="C160" i="13" s="1"/>
  <c r="AN160" i="13" s="1"/>
  <c r="C161" i="13" s="1"/>
  <c r="AN161" i="13" s="1"/>
  <c r="C162" i="13" s="1"/>
  <c r="AN162" i="13" s="1"/>
  <c r="C163" i="13" s="1"/>
  <c r="AN163" i="13" s="1"/>
  <c r="C164" i="13" s="1"/>
  <c r="AN164" i="13" s="1"/>
  <c r="C165" i="13" s="1"/>
  <c r="AN165" i="13" s="1"/>
  <c r="C166" i="13" s="1"/>
  <c r="AN166" i="13" s="1"/>
  <c r="C167" i="13" s="1"/>
  <c r="AN167" i="13" s="1"/>
  <c r="C168" i="13" s="1"/>
  <c r="AN168" i="13" s="1"/>
  <c r="C169" i="13" s="1"/>
  <c r="AN169" i="13" s="1"/>
  <c r="C170" i="13" s="1"/>
  <c r="AN170" i="13" s="1"/>
  <c r="C171" i="13" s="1"/>
  <c r="AN171" i="13" s="1"/>
  <c r="C172" i="13" s="1"/>
  <c r="AN172" i="13" s="1"/>
  <c r="C173" i="13" s="1"/>
  <c r="AN173" i="13" s="1"/>
  <c r="C174" i="13" s="1"/>
  <c r="AN174" i="13" s="1"/>
  <c r="C175" i="13" s="1"/>
  <c r="AN175" i="13" s="1"/>
  <c r="C176" i="13" s="1"/>
  <c r="AN176" i="13" s="1"/>
  <c r="C177" i="13" s="1"/>
  <c r="AN177" i="13" s="1"/>
  <c r="C178" i="13" s="1"/>
  <c r="AN178" i="13" s="1"/>
  <c r="C179" i="13" s="1"/>
  <c r="AN179" i="13" s="1"/>
  <c r="C180" i="13" s="1"/>
  <c r="AN180" i="13" s="1"/>
  <c r="C181" i="13" s="1"/>
  <c r="AN181" i="13" s="1"/>
  <c r="C182" i="13" s="1"/>
  <c r="AN182" i="13" s="1"/>
  <c r="C183" i="13" s="1"/>
  <c r="AN183" i="13" s="1"/>
  <c r="C184" i="13" s="1"/>
  <c r="AN184" i="13" s="1"/>
  <c r="C185" i="13" s="1"/>
  <c r="AN185" i="13" s="1"/>
  <c r="C186" i="13" s="1"/>
  <c r="AN186" i="13" s="1"/>
  <c r="C187" i="13" s="1"/>
  <c r="AN187" i="13" s="1"/>
  <c r="C188" i="13" s="1"/>
  <c r="AN188" i="13" s="1"/>
  <c r="C189" i="13" s="1"/>
  <c r="AN189" i="13" s="1"/>
  <c r="C190" i="13" s="1"/>
  <c r="AN190" i="13" s="1"/>
  <c r="C191" i="13" s="1"/>
  <c r="AN191" i="13" s="1"/>
  <c r="C192" i="13" s="1"/>
  <c r="AN192" i="13" s="1"/>
  <c r="C193" i="13" s="1"/>
  <c r="AN193" i="13" s="1"/>
  <c r="C194" i="13" s="1"/>
  <c r="AN194" i="13" s="1"/>
  <c r="C195" i="13" s="1"/>
  <c r="AN195" i="13" s="1"/>
  <c r="C196" i="13" s="1"/>
  <c r="AN196" i="13" s="1"/>
  <c r="C197" i="13" s="1"/>
  <c r="AN197" i="13" s="1"/>
  <c r="C198" i="13" s="1"/>
  <c r="AN198" i="13" s="1"/>
  <c r="C199" i="13" s="1"/>
  <c r="AN199" i="13" s="1"/>
  <c r="C200" i="13" s="1"/>
  <c r="AN200" i="13" s="1"/>
  <c r="C201" i="13" s="1"/>
  <c r="AN201" i="13" s="1"/>
  <c r="C202" i="13" s="1"/>
  <c r="AN202" i="13" s="1"/>
  <c r="C203" i="13" s="1"/>
  <c r="AN203" i="13" s="1"/>
  <c r="C204" i="13" s="1"/>
  <c r="AN204" i="13" s="1"/>
  <c r="C205" i="13" s="1"/>
  <c r="AN205" i="13" s="1"/>
  <c r="C206" i="13" s="1"/>
  <c r="AN206" i="13" s="1"/>
  <c r="C207" i="13" s="1"/>
  <c r="AN207" i="13" s="1"/>
  <c r="C208" i="13" s="1"/>
  <c r="AN208" i="13" s="1"/>
  <c r="C209" i="13" s="1"/>
  <c r="AN209" i="13" s="1"/>
  <c r="C210" i="13" s="1"/>
  <c r="AN210" i="13" s="1"/>
  <c r="C211" i="13" s="1"/>
  <c r="AN211" i="13" s="1"/>
  <c r="C212" i="13" s="1"/>
  <c r="AN212" i="13" s="1"/>
  <c r="C213" i="13" s="1"/>
  <c r="AN213" i="13" s="1"/>
  <c r="C214" i="13" s="1"/>
  <c r="AN214" i="13" s="1"/>
  <c r="C215" i="13" s="1"/>
  <c r="AN215" i="13" s="1"/>
  <c r="C216" i="13" s="1"/>
  <c r="AN216" i="13" s="1"/>
  <c r="C217" i="13" s="1"/>
  <c r="AN217" i="13" s="1"/>
  <c r="C218" i="13" s="1"/>
  <c r="AN218" i="13" s="1"/>
  <c r="C219" i="13" s="1"/>
  <c r="AN219" i="13" s="1"/>
  <c r="C220" i="13" s="1"/>
  <c r="AN220" i="13" s="1"/>
  <c r="C221" i="13" s="1"/>
  <c r="AN221" i="13" s="1"/>
  <c r="C222" i="13" s="1"/>
  <c r="AN222" i="13" s="1"/>
  <c r="C223" i="13" s="1"/>
  <c r="AN223" i="13" s="1"/>
  <c r="C224" i="13" s="1"/>
  <c r="AN224" i="13" s="1"/>
  <c r="C225" i="13" s="1"/>
  <c r="AN225" i="13" s="1"/>
  <c r="C226" i="13" s="1"/>
  <c r="AN226" i="13" s="1"/>
  <c r="C227" i="13" s="1"/>
  <c r="AN227" i="13" s="1"/>
  <c r="C228" i="13" s="1"/>
  <c r="AN228" i="13" s="1"/>
  <c r="C229" i="13" s="1"/>
  <c r="AN229" i="13" s="1"/>
  <c r="C230" i="13" s="1"/>
  <c r="AN230" i="13" s="1"/>
  <c r="C231" i="13" s="1"/>
  <c r="AN231" i="13" s="1"/>
  <c r="C232" i="13" s="1"/>
  <c r="AN232" i="13" s="1"/>
  <c r="C233" i="13" s="1"/>
  <c r="AN233" i="13" s="1"/>
  <c r="C234" i="13" s="1"/>
  <c r="AN234" i="13" s="1"/>
  <c r="C235" i="13" s="1"/>
  <c r="AN235" i="13" s="1"/>
  <c r="C236" i="13" s="1"/>
  <c r="AN236" i="13" s="1"/>
  <c r="C237" i="13" s="1"/>
  <c r="AN237" i="13" s="1"/>
  <c r="C238" i="13" s="1"/>
  <c r="AN238" i="13" s="1"/>
  <c r="C239" i="13" s="1"/>
  <c r="AN239" i="13" s="1"/>
  <c r="C240" i="13" s="1"/>
  <c r="AN240" i="13" s="1"/>
  <c r="C241" i="13" s="1"/>
  <c r="AN241" i="13" s="1"/>
  <c r="C242" i="13" s="1"/>
  <c r="AN242" i="13" s="1"/>
  <c r="C243" i="13" s="1"/>
  <c r="AN243" i="13" s="1"/>
  <c r="C244" i="13" s="1"/>
  <c r="AN244" i="13" s="1"/>
  <c r="C245" i="13" s="1"/>
  <c r="AN245" i="13" s="1"/>
  <c r="C246" i="13" s="1"/>
  <c r="AN246" i="13" s="1"/>
  <c r="C247" i="13" s="1"/>
  <c r="AN247" i="13" s="1"/>
  <c r="C248" i="13" s="1"/>
  <c r="AN248" i="13" s="1"/>
  <c r="C249" i="13" s="1"/>
  <c r="AN249" i="13" s="1"/>
  <c r="C250" i="13" s="1"/>
  <c r="AN250" i="13" s="1"/>
  <c r="C251" i="13" s="1"/>
  <c r="AN251" i="13" s="1"/>
  <c r="C252" i="13" s="1"/>
  <c r="AN252" i="13" s="1"/>
  <c r="C253" i="13" s="1"/>
  <c r="AN253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V183" i="13" l="1"/>
  <c r="AV159" i="13"/>
  <c r="AV182" i="13"/>
  <c r="AV153" i="13"/>
  <c r="AV160" i="13"/>
  <c r="AV175" i="13"/>
  <c r="AV156" i="13"/>
  <c r="AV165" i="13"/>
  <c r="AV168" i="13"/>
  <c r="AV152" i="13"/>
  <c r="BG152" i="13" s="1"/>
  <c r="AP153" i="13" s="1"/>
  <c r="AV174" i="13"/>
  <c r="AV162" i="13"/>
  <c r="AV157" i="13"/>
  <c r="AV158" i="13"/>
  <c r="AV155" i="13"/>
  <c r="AV154" i="13"/>
  <c r="M7" i="22"/>
  <c r="P7" i="22" s="1"/>
  <c r="I7" i="22"/>
  <c r="L7" i="22" s="1"/>
  <c r="E7" i="22"/>
  <c r="H7" i="22" s="1"/>
  <c r="Q7" i="22"/>
  <c r="T7" i="22" s="1"/>
  <c r="E11" i="37"/>
  <c r="BG153" i="13" l="1"/>
  <c r="AP154" i="13" s="1"/>
  <c r="BG154" i="13" s="1"/>
  <c r="AP155" i="13" s="1"/>
  <c r="BG155" i="13" s="1"/>
  <c r="AP156" i="13" s="1"/>
  <c r="BG156" i="13" s="1"/>
  <c r="AP157" i="13" s="1"/>
  <c r="BG157" i="13" s="1"/>
  <c r="AP158" i="13" s="1"/>
  <c r="BG158" i="13" s="1"/>
  <c r="AP159" i="13" s="1"/>
  <c r="BG159" i="13" s="1"/>
  <c r="AP160" i="13" s="1"/>
  <c r="BG160" i="13" s="1"/>
  <c r="AP161" i="13" s="1"/>
  <c r="BG161" i="13" s="1"/>
  <c r="AP162" i="13" s="1"/>
  <c r="BG162" i="13" s="1"/>
  <c r="AP163" i="13" s="1"/>
  <c r="BG163" i="13" s="1"/>
  <c r="AP164" i="13" s="1"/>
  <c r="BG164" i="13" s="1"/>
  <c r="AP165" i="13" s="1"/>
  <c r="BG165" i="13" s="1"/>
  <c r="AP166" i="13" s="1"/>
  <c r="BG166" i="13" s="1"/>
  <c r="AP167" i="13" s="1"/>
  <c r="BG167" i="13" s="1"/>
  <c r="AP168" i="13" s="1"/>
  <c r="BG168" i="13" s="1"/>
  <c r="AP169" i="13" s="1"/>
  <c r="BG169" i="13" s="1"/>
  <c r="AP170" i="13" s="1"/>
  <c r="BG170" i="13" s="1"/>
  <c r="AP171" i="13" s="1"/>
  <c r="BG171" i="13" s="1"/>
  <c r="AP172" i="13" s="1"/>
  <c r="BG172" i="13" s="1"/>
  <c r="AP173" i="13" s="1"/>
  <c r="BG173" i="13" s="1"/>
  <c r="AP174" i="13" s="1"/>
  <c r="BG174" i="13" s="1"/>
  <c r="AP175" i="13" s="1"/>
  <c r="BG175" i="13" s="1"/>
  <c r="AP176" i="13" s="1"/>
  <c r="BG176" i="13" s="1"/>
  <c r="AP177" i="13" s="1"/>
  <c r="BG177" i="13" s="1"/>
  <c r="AP178" i="13" s="1"/>
  <c r="BG178" i="13" s="1"/>
  <c r="AP179" i="13" s="1"/>
  <c r="BG179" i="13" s="1"/>
  <c r="AP180" i="13" s="1"/>
  <c r="BG180" i="13" s="1"/>
  <c r="AP181" i="13" s="1"/>
  <c r="BG181" i="13" s="1"/>
  <c r="AP182" i="13" s="1"/>
  <c r="BG182" i="13" s="1"/>
  <c r="AP183" i="13" s="1"/>
  <c r="BG183" i="13" s="1"/>
  <c r="AP184" i="13" s="1"/>
  <c r="BG184" i="13" s="1"/>
  <c r="AP185" i="13" s="1"/>
  <c r="BG185" i="13" s="1"/>
  <c r="AP186" i="13" s="1"/>
  <c r="BG186" i="13" s="1"/>
  <c r="AP187" i="13" s="1"/>
  <c r="BG187" i="13" s="1"/>
  <c r="AP188" i="13" s="1"/>
  <c r="BG188" i="13" s="1"/>
  <c r="AP189" i="13" s="1"/>
  <c r="BG189" i="13" s="1"/>
  <c r="AP190" i="13" s="1"/>
  <c r="BG190" i="13" s="1"/>
  <c r="AP191" i="13" s="1"/>
  <c r="BG191" i="13" s="1"/>
  <c r="AP192" i="13" s="1"/>
  <c r="BG192" i="13" s="1"/>
  <c r="AP193" i="13" s="1"/>
  <c r="BG193" i="13" s="1"/>
  <c r="AP194" i="13" s="1"/>
  <c r="BG194" i="13" s="1"/>
  <c r="AP195" i="13" s="1"/>
  <c r="BG195" i="13" s="1"/>
  <c r="AP196" i="13" s="1"/>
  <c r="BG196" i="13" s="1"/>
  <c r="AP197" i="13" s="1"/>
  <c r="BG197" i="13" s="1"/>
  <c r="AP198" i="13" s="1"/>
  <c r="BG198" i="13" s="1"/>
  <c r="AP199" i="13" s="1"/>
  <c r="BG199" i="13" s="1"/>
  <c r="AP200" i="13" s="1"/>
  <c r="BG200" i="13" s="1"/>
  <c r="AP201" i="13" s="1"/>
  <c r="BG201" i="13" s="1"/>
  <c r="AP202" i="13" s="1"/>
  <c r="BG202" i="13" s="1"/>
  <c r="AP203" i="13" s="1"/>
  <c r="BG203" i="13" s="1"/>
  <c r="AP204" i="13" s="1"/>
  <c r="BG204" i="13" s="1"/>
  <c r="AP205" i="13" s="1"/>
  <c r="BG205" i="13" s="1"/>
  <c r="AP206" i="13" s="1"/>
  <c r="BG206" i="13" s="1"/>
  <c r="AP207" i="13" s="1"/>
  <c r="BG207" i="13" s="1"/>
  <c r="AP208" i="13" s="1"/>
  <c r="BG208" i="13" s="1"/>
  <c r="AP209" i="13" s="1"/>
  <c r="BG209" i="13" s="1"/>
  <c r="AP210" i="13" s="1"/>
  <c r="BG210" i="13" s="1"/>
  <c r="AP211" i="13" s="1"/>
  <c r="BG211" i="13" s="1"/>
  <c r="AP212" i="13" s="1"/>
  <c r="BG212" i="13" s="1"/>
  <c r="AP213" i="13" s="1"/>
  <c r="BG213" i="13" s="1"/>
  <c r="AP214" i="13" s="1"/>
  <c r="BG214" i="13" s="1"/>
  <c r="AP215" i="13" s="1"/>
  <c r="BG215" i="13" s="1"/>
  <c r="AP216" i="13" s="1"/>
  <c r="BG216" i="13" s="1"/>
  <c r="AP217" i="13" s="1"/>
  <c r="BG217" i="13" s="1"/>
  <c r="AP218" i="13" s="1"/>
  <c r="BG218" i="13" s="1"/>
  <c r="AP219" i="13" s="1"/>
  <c r="BG219" i="13" s="1"/>
  <c r="AP220" i="13" s="1"/>
  <c r="BG220" i="13" s="1"/>
  <c r="AP221" i="13" s="1"/>
  <c r="BG221" i="13" s="1"/>
  <c r="AP222" i="13" s="1"/>
  <c r="BG222" i="13" s="1"/>
  <c r="AP223" i="13" s="1"/>
  <c r="BG223" i="13" s="1"/>
  <c r="AP224" i="13" s="1"/>
  <c r="BG224" i="13" s="1"/>
  <c r="AP225" i="13" s="1"/>
  <c r="BG225" i="13" s="1"/>
  <c r="AP226" i="13" s="1"/>
  <c r="BG226" i="13" s="1"/>
  <c r="AP227" i="13" s="1"/>
  <c r="BG227" i="13" s="1"/>
  <c r="AP228" i="13" s="1"/>
  <c r="BG228" i="13" s="1"/>
  <c r="AP229" i="13" s="1"/>
  <c r="BG229" i="13" s="1"/>
  <c r="AP230" i="13" s="1"/>
  <c r="BG230" i="13" s="1"/>
  <c r="AP231" i="13" s="1"/>
  <c r="BG231" i="13" s="1"/>
  <c r="AP232" i="13" s="1"/>
  <c r="BG232" i="13" s="1"/>
  <c r="AP233" i="13" s="1"/>
  <c r="BG233" i="13" s="1"/>
  <c r="AP234" i="13" s="1"/>
  <c r="BG234" i="13" s="1"/>
  <c r="AP235" i="13" s="1"/>
  <c r="BG235" i="13" s="1"/>
  <c r="AP236" i="13" s="1"/>
  <c r="BG236" i="13" s="1"/>
  <c r="AP237" i="13" s="1"/>
  <c r="BG237" i="13" s="1"/>
  <c r="AP238" i="13" s="1"/>
  <c r="BG238" i="13" s="1"/>
  <c r="AP239" i="13" s="1"/>
  <c r="BG239" i="13" s="1"/>
  <c r="AP240" i="13" s="1"/>
  <c r="BG240" i="13" s="1"/>
  <c r="AP241" i="13" s="1"/>
  <c r="BG241" i="13" s="1"/>
  <c r="AP242" i="13" s="1"/>
  <c r="BG242" i="13" s="1"/>
  <c r="AP243" i="13" s="1"/>
  <c r="BG243" i="13" s="1"/>
  <c r="AP244" i="13" s="1"/>
  <c r="BG244" i="13" s="1"/>
  <c r="AP245" i="13" s="1"/>
  <c r="BG245" i="13" s="1"/>
  <c r="AP246" i="13" s="1"/>
  <c r="BG246" i="13" s="1"/>
  <c r="AP247" i="13" s="1"/>
  <c r="BG247" i="13" s="1"/>
  <c r="AP248" i="13" s="1"/>
  <c r="BG248" i="13" s="1"/>
  <c r="AP249" i="13" s="1"/>
  <c r="BG249" i="13" s="1"/>
  <c r="AP250" i="13" s="1"/>
  <c r="BG250" i="13" s="1"/>
  <c r="AP251" i="13" s="1"/>
  <c r="BG251" i="13" s="1"/>
  <c r="AP252" i="13" s="1"/>
  <c r="BG252" i="13" s="1"/>
  <c r="AP253" i="13" s="1"/>
  <c r="BG253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<sst xmlns="http://schemas.openxmlformats.org/spreadsheetml/2006/main" count="18961" uniqueCount="4369">
  <si>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</si>
  <si>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</si>
  <si>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</si>
  <si>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</si>
  <si>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</si>
  <si>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</si>
  <si>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</si>
  <si>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</si>
  <si>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</si>
  <si>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</si>
  <si>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</si>
  <si>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</si>
  <si>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</si>
  <si>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</si>
  <si>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</si>
  <si>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</si>
  <si>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</si>
  <si>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</si>
  <si>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</si>
  <si>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</si>
  <si>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</si>
  <si>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</si>
  <si>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</si>
  <si>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</si>
  <si>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</si>
  <si>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</si>
  <si>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</si>
  <si>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</si>
  <si>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</si>
  <si>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</si>
  <si>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</si>
  <si>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</si>
  <si>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</si>
  <si>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</si>
  <si>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</si>
  <si>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</si>
  <si>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</si>
  <si>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</si>
  <si>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</si>
  <si>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</si>
  <si>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</si>
  <si>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</si>
  <si>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</si>
  <si>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</si>
  <si>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</si>
  <si>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</si>
  <si>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</si>
  <si>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</si>
  <si>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</si>
  <si>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</si>
  <si>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</si>
  <si>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</si>
  <si>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</si>
  <si>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</si>
  <si>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</si>
  <si>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</si>
  <si>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</si>
  <si>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</si>
  <si>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</si>
  <si>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</si>
  <si>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</si>
  <si>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</si>
  <si>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</si>
  <si>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</si>
  <si>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</si>
  <si>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</si>
  <si>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</si>
  <si>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</si>
  <si>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</si>
  <si>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</si>
  <si>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</si>
  <si>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</si>
  <si>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</si>
  <si>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</si>
  <si>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</si>
  <si>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</si>
  <si>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</si>
  <si>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</si>
  <si>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</si>
  <si>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</si>
  <si>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</si>
  <si>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</si>
  <si>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</si>
  <si>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</si>
  <si>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</si>
  <si>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</si>
  <si>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</si>
  <si>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</si>
  <si>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</si>
  <si>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</si>
  <si>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</si>
  <si>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</si>
  <si>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</si>
  <si>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</si>
  <si>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</si>
  <si>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</si>
  <si>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</si>
  <si>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</si>
  <si>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</si>
  <si>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</si>
  <si>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</si>
  <si>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</si>
  <si>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</si>
  <si>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</si>
  <si>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</si>
  <si>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</si>
  <si>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</si>
  <si>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</si>
  <si>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</si>
  <si>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</si>
  <si>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</si>
  <si>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</si>
  <si>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</si>
  <si>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</si>
  <si>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</si>
  <si>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</si>
  <si>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</si>
  <si>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</si>
  <si>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</si>
  <si>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</si>
  <si>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</si>
  <si>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</si>
  <si>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</si>
  <si>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</si>
  <si>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</si>
  <si>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</si>
  <si>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</si>
  <si>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</si>
  <si>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</si>
  <si>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</si>
  <si>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</si>
  <si>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</si>
  <si>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</si>
  <si>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</si>
  <si>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</si>
  <si>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</si>
  <si>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</si>
  <si>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</si>
  <si>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</si>
  <si>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</si>
  <si>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</si>
  <si>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</si>
  <si>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</si>
  <si>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</si>
  <si>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</si>
  <si>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</si>
  <si>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</si>
  <si>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</si>
  <si>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</si>
  <si>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</si>
  <si>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</si>
  <si>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</si>
  <si>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</si>
  <si>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</si>
  <si>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</si>
  <si>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</si>
  <si>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</si>
  <si>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</si>
  <si>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</si>
  <si>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</si>
  <si>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</si>
  <si>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</si>
  <si>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</si>
  <si>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</si>
  <si>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</si>
  <si>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</si>
  <si>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</si>
  <si>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</si>
  <si>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</si>
  <si>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</si>
  <si>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</si>
  <si>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</si>
  <si>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</si>
  <si>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</si>
  <si>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</si>
  <si>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</si>
  <si>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</si>
  <si>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</si>
  <si>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</si>
  <si>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</si>
  <si>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</si>
  <si>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</si>
  <si>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</si>
  <si>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</si>
  <si>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</si>
  <si>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</si>
  <si>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</si>
  <si>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</si>
  <si>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</si>
  <si>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</si>
  <si>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</si>
  <si>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</si>
  <si>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</si>
  <si>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</si>
  <si>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</si>
  <si>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</si>
  <si>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</si>
  <si>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</si>
  <si>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</si>
  <si>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</si>
  <si>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</si>
  <si>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</si>
  <si>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</si>
  <si>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</si>
  <si>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</si>
  <si>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</si>
  <si>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</si>
  <si>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</si>
  <si>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</si>
  <si>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</si>
  <si>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</si>
  <si>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</si>
  <si>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</si>
  <si>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</si>
  <si>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</si>
  <si>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</si>
  <si>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</si>
  <si>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</si>
  <si>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</si>
  <si>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</si>
  <si>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</si>
  <si>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</si>
  <si>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</si>
  <si>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</si>
  <si>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</si>
  <si>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</si>
  <si>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</si>
  <si>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</si>
  <si>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</si>
  <si>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</si>
  <si>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</si>
  <si>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</si>
  <si>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</si>
  <si>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</si>
  <si>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</si>
  <si>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</si>
  <si>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</si>
  <si>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</si>
  <si>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</si>
  <si>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</si>
  <si>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</si>
  <si>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</si>
  <si>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</si>
  <si>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</si>
  <si>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</si>
  <si>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</si>
  <si>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</si>
  <si>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</si>
  <si>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</si>
  <si>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</si>
  <si>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</si>
  <si>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</si>
  <si>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</si>
  <si>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</si>
  <si>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</si>
  <si>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</si>
  <si>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</si>
  <si>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</si>
  <si>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</si>
  <si>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</si>
  <si>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</si>
  <si>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</si>
  <si>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</si>
  <si>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</si>
  <si>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</si>
  <si>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</si>
  <si>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</si>
  <si>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</si>
  <si>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</si>
  <si>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</si>
  <si>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</si>
  <si>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</si>
  <si>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</si>
  <si>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</si>
  <si>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</si>
  <si>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</si>
  <si>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</si>
  <si>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</si>
  <si>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</si>
  <si>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</si>
  <si>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</si>
  <si>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</si>
  <si>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</si>
  <si>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</si>
  <si>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</si>
  <si>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</si>
  <si>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</si>
  <si>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</si>
  <si>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</si>
  <si>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</si>
  <si>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</si>
  <si>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</si>
  <si>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</si>
  <si>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</si>
  <si>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</si>
  <si>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</si>
  <si>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</si>
  <si>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</si>
  <si>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</si>
  <si>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</si>
  <si>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</si>
  <si>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</si>
  <si>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</si>
  <si>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</si>
  <si>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</si>
  <si>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</si>
  <si>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</si>
  <si>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</si>
  <si>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</si>
  <si>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</si>
  <si>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</si>
  <si>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</si>
  <si>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</si>
  <si>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</si>
  <si>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</si>
  <si>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</si>
  <si>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</si>
  <si>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</si>
  <si>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</si>
  <si>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</si>
  <si>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</si>
  <si>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</si>
  <si>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</si>
  <si>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</si>
  <si>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</si>
  <si>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</si>
  <si>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</si>
  <si>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</si>
  <si>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</si>
  <si>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</si>
  <si>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</si>
  <si>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</si>
  <si>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</si>
  <si>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</si>
  <si>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</si>
  <si>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</si>
  <si>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</si>
  <si>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</si>
  <si>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</si>
  <si>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</si>
  <si>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</si>
  <si>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</si>
  <si>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</si>
  <si>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</si>
  <si>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</si>
  <si>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</si>
  <si>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</si>
  <si>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</si>
  <si>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</si>
  <si>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</si>
  <si>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</si>
  <si>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0X0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</si>
  <si>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</si>
  <si>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</si>
  <si>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</si>
  <si>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</si>
  <si>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</si>
  <si>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</si>
  <si>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</si>
  <si>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</si>
  <si>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</si>
  <si>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</si>
  <si>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</si>
  <si>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</si>
  <si>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</si>
  <si>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</si>
  <si>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</si>
  <si>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</si>
  <si>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</si>
  <si>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</si>
  <si>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</si>
  <si>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</si>
  <si>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</si>
  <si>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</si>
  <si>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</si>
  <si>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</si>
  <si>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</si>
  <si>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</si>
  <si>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</si>
  <si>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</si>
  <si>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</si>
  <si>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</si>
  <si>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</si>
  <si>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</si>
  <si>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</si>
  <si>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</si>
  <si>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</si>
  <si>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</si>
  <si>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</si>
  <si>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</si>
  <si>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</si>
  <si>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</si>
  <si>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</si>
  <si>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</si>
  <si>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</si>
  <si>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</si>
  <si>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</si>
  <si>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</si>
  <si>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</si>
  <si>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</si>
  <si>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</si>
  <si>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</si>
  <si>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</si>
  <si>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</si>
  <si>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</si>
  <si>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</si>
  <si>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</si>
  <si>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</si>
  <si>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</si>
  <si>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</si>
  <si>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</si>
  <si>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</si>
  <si>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</si>
  <si>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</si>
  <si>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</si>
  <si>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</si>
  <si>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</si>
  <si>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</si>
  <si>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</si>
  <si>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</si>
  <si>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</si>
  <si>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</si>
  <si>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</si>
  <si>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</si>
  <si>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</si>
  <si>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</si>
  <si>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</si>
  <si>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</si>
  <si>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</si>
  <si>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</si>
  <si>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</si>
  <si>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</si>
  <si>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</si>
  <si>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</si>
  <si>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</si>
  <si>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</si>
  <si>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</si>
  <si>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</si>
  <si>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</si>
  <si>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</si>
  <si>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</si>
  <si>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</si>
  <si>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</si>
  <si>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</si>
  <si>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</si>
  <si>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</si>
  <si>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</si>
  <si>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</si>
  <si>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</si>
  <si>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</si>
  <si>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</si>
  <si>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</si>
  <si>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</si>
  <si>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</si>
  <si>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</si>
  <si>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</si>
  <si>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</si>
  <si>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</si>
  <si>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</si>
  <si>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</si>
  <si>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</si>
  <si>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</si>
  <si>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</si>
  <si>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</si>
  <si>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</si>
  <si>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</si>
  <si>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</si>
  <si>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</si>
  <si>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</si>
  <si>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</si>
  <si>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</si>
  <si>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</si>
  <si>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</si>
  <si>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</si>
  <si>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</si>
  <si>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</si>
  <si>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</si>
  <si>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</si>
  <si>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</si>
  <si>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</si>
  <si>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</si>
  <si>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</si>
  <si>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</si>
  <si>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</si>
  <si>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</si>
  <si>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</si>
  <si>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</si>
  <si>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</si>
  <si>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</si>
  <si>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</si>
  <si>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</si>
  <si>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</si>
  <si>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</si>
  <si>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</si>
  <si>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</si>
  <si>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</si>
  <si>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</si>
  <si>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</si>
  <si>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</si>
  <si>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</si>
  <si>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</si>
  <si>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</si>
  <si>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</si>
  <si>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</si>
  <si>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</si>
  <si>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</si>
  <si>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</si>
  <si>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</si>
  <si>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</si>
  <si>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</si>
  <si>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</si>
  <si>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</si>
  <si>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</si>
  <si>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</si>
  <si>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</si>
  <si>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</si>
  <si>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</si>
  <si>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</si>
  <si>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</si>
  <si>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</si>
  <si>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</si>
  <si>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</si>
  <si>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</si>
  <si>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</si>
  <si>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</si>
  <si>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</si>
  <si>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</si>
  <si>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</si>
  <si>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</si>
  <si>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</si>
  <si>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</si>
  <si>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</si>
  <si>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</si>
  <si>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</si>
  <si>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</si>
  <si>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</si>
  <si>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</si>
  <si>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</si>
  <si>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</si>
  <si>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</si>
  <si>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</si>
  <si>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</si>
  <si>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</si>
  <si>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</si>
  <si>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</si>
  <si>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</si>
  <si>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</si>
  <si>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</si>
  <si>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</si>
  <si>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</si>
  <si>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</si>
  <si>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</si>
  <si>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</si>
  <si>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</si>
  <si>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</si>
  <si>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</si>
  <si>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</si>
  <si>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</si>
  <si>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</si>
  <si>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</si>
  <si>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</si>
  <si>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</si>
  <si>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</si>
  <si>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</si>
  <si>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</si>
  <si>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</si>
  <si>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</si>
  <si>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</si>
  <si>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</si>
  <si>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</si>
  <si>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</si>
  <si>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</si>
  <si>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</si>
  <si>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</si>
  <si>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</si>
  <si>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</si>
  <si>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</si>
  <si>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</si>
  <si>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</si>
  <si>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</si>
  <si>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</si>
  <si>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</si>
  <si>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</si>
  <si>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</si>
  <si>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</si>
  <si>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</si>
  <si>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</si>
  <si>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</si>
  <si>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</si>
  <si>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</si>
  <si>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</si>
  <si>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</si>
  <si>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</si>
  <si>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</si>
  <si>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</si>
  <si>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</si>
  <si>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</si>
  <si>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</si>
  <si>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</si>
  <si>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</si>
  <si>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</si>
  <si>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</si>
  <si>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</si>
  <si>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</si>
  <si>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</si>
  <si>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</si>
  <si>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</si>
  <si>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</si>
  <si>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</si>
  <si>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</si>
  <si>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</si>
  <si>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</si>
  <si>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</si>
  <si>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</si>
  <si>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</si>
  <si>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</si>
  <si>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</si>
  <si>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</si>
  <si>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</si>
  <si>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</si>
  <si>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</si>
  <si>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</si>
  <si>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</si>
  <si>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</si>
  <si>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</si>
  <si>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</si>
  <si>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</si>
  <si>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</si>
  <si>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</si>
  <si>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</si>
  <si>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</si>
  <si>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</si>
  <si>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</si>
  <si>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</si>
  <si>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</si>
  <si>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</si>
  <si>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</si>
  <si>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</si>
  <si>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</si>
  <si>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</si>
  <si>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</si>
  <si>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</si>
  <si>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</si>
  <si>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</si>
  <si>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</si>
  <si>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</si>
  <si>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</si>
  <si>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</si>
  <si>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</si>
  <si>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</si>
  <si>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</si>
  <si>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</si>
  <si>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</si>
  <si>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</si>
  <si>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</si>
  <si>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</si>
  <si>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</si>
  <si>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</si>
  <si>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</si>
  <si>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</si>
  <si>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</si>
  <si>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</si>
  <si>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</si>
  <si>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</si>
  <si>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</si>
  <si>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</si>
  <si>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</si>
  <si>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</si>
  <si>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</si>
  <si>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</si>
  <si>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</si>
  <si>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</si>
  <si>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</si>
  <si>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</si>
  <si>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</si>
  <si>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</si>
  <si>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</si>
  <si>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</si>
  <si>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</si>
  <si>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</si>
  <si>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</si>
  <si>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</si>
  <si>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</si>
  <si>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</si>
  <si>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</si>
  <si>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</si>
  <si>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</si>
  <si>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</si>
  <si>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</si>
  <si>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</si>
  <si>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</si>
  <si>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</si>
  <si>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</si>
  <si>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</si>
  <si>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</si>
  <si>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</si>
  <si>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</si>
  <si>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</si>
  <si>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</si>
  <si>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</si>
  <si>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</si>
  <si>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</si>
  <si>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</si>
  <si>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</si>
  <si>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</si>
  <si>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</si>
  <si>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</si>
  <si>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</si>
  <si>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</si>
  <si>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</si>
  <si>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</si>
  <si>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</si>
  <si>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</si>
  <si>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</si>
  <si>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</si>
  <si>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</si>
  <si>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</si>
  <si>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</si>
  <si>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</si>
  <si>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</si>
  <si>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</si>
  <si>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</si>
  <si>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</si>
  <si>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</si>
  <si>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</si>
  <si>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</si>
  <si>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</si>
  <si>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</si>
  <si>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</si>
  <si>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</si>
  <si>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</si>
  <si>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</si>
  <si>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</si>
  <si>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</si>
  <si>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</si>
  <si>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</si>
  <si>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</si>
  <si>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</si>
  <si>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</si>
  <si>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</si>
  <si>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</si>
  <si>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</si>
  <si>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</si>
  <si>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</si>
  <si>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</si>
  <si>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</si>
  <si>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</si>
  <si>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</si>
  <si>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</si>
  <si>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</si>
  <si>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</si>
  <si>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</si>
  <si>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</si>
  <si>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</si>
  <si>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</si>
  <si>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</si>
  <si>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</si>
  <si>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</si>
  <si>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</si>
  <si>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</si>
  <si>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</si>
  <si>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</si>
  <si>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</si>
  <si>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</si>
  <si>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</si>
  <si>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</si>
  <si>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</si>
  <si>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</si>
  <si>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</si>
  <si>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</si>
  <si>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</si>
  <si>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</si>
  <si>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</si>
  <si>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</si>
  <si>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</si>
  <si>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</si>
  <si>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</si>
  <si>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</si>
  <si>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</si>
  <si>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</si>
  <si>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</si>
  <si>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</si>
  <si>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</si>
  <si>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</si>
  <si>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</si>
  <si>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</si>
  <si>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</si>
  <si>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</si>
  <si>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</si>
  <si>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</si>
  <si>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</si>
  <si>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</si>
  <si>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</si>
  <si>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</si>
  <si>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</si>
  <si>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</si>
  <si>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</si>
  <si>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</si>
  <si>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</si>
  <si>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</si>
  <si>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</si>
  <si>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</si>
  <si>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</si>
  <si>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</si>
  <si>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</si>
  <si>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</si>
  <si>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</si>
  <si>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</si>
  <si>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</si>
  <si>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</si>
  <si>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</si>
  <si>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</si>
  <si>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</si>
  <si>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</si>
  <si>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</si>
  <si>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</si>
  <si>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</si>
  <si>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</si>
  <si>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</si>
  <si>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</si>
  <si>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</si>
  <si>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</si>
  <si>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</si>
  <si>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</si>
  <si>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</si>
  <si>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</si>
  <si>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</si>
  <si>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</si>
  <si>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</si>
  <si>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</si>
  <si>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</si>
  <si>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</si>
  <si>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</si>
  <si>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</si>
  <si>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</si>
  <si>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</si>
  <si>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</si>
  <si>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</si>
  <si>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</si>
  <si>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</si>
  <si>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</si>
  <si>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</si>
  <si>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</si>
  <si>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</si>
  <si>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</si>
  <si>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</si>
  <si>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</si>
  <si>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</si>
  <si>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</si>
  <si>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</si>
  <si>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</si>
  <si>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</si>
  <si>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</si>
  <si>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</si>
  <si>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</si>
  <si>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</si>
  <si>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</si>
  <si>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</si>
  <si>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</si>
  <si>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</si>
  <si>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</si>
  <si>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</si>
  <si>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</si>
  <si>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</si>
  <si>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</si>
  <si>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</si>
  <si>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</si>
  <si>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</si>
  <si>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</si>
  <si>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</si>
  <si>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</si>
  <si>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</si>
  <si>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</si>
  <si>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</si>
  <si>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</si>
  <si>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</si>
  <si>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</si>
  <si>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</si>
  <si>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</si>
  <si>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</si>
  <si>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</si>
  <si>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</si>
  <si>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</si>
  <si>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</si>
  <si>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</si>
  <si>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</si>
  <si>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</si>
  <si>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</si>
  <si>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</si>
  <si>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</si>
  <si>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</si>
  <si>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</si>
  <si>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</si>
  <si>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</si>
  <si>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</si>
  <si>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</si>
  <si>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</si>
  <si>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</si>
  <si>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</si>
  <si>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</si>
  <si>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</si>
  <si>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</si>
  <si>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</si>
  <si>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</si>
  <si>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</si>
  <si>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</si>
  <si>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</si>
  <si>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</si>
  <si>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</si>
  <si>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</si>
  <si>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</si>
  <si>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</si>
  <si>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</si>
  <si>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</si>
  <si>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</si>
  <si>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</si>
  <si>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</si>
  <si>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</si>
  <si>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</si>
  <si>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</si>
  <si>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</si>
  <si>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</si>
  <si>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</si>
  <si>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</si>
  <si>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</si>
  <si>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</si>
  <si>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</si>
  <si>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</si>
  <si>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</si>
  <si>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</si>
  <si>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</si>
  <si>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</si>
  <si>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</si>
  <si>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</si>
  <si>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</si>
  <si>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</si>
  <si>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</si>
  <si>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</si>
  <si>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</si>
  <si>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</si>
  <si>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</si>
  <si>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</si>
  <si>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</si>
  <si>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</si>
  <si>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</si>
  <si>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</si>
  <si>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</si>
  <si>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</si>
  <si>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</si>
  <si>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</si>
  <si>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</si>
  <si>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</si>
  <si>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</si>
  <si>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</si>
  <si>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</si>
  <si>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</si>
  <si>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</si>
  <si>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</si>
  <si>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</si>
  <si>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</si>
  <si>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</si>
  <si>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</si>
  <si>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</si>
  <si>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</si>
  <si>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</si>
  <si>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</si>
  <si>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</si>
  <si>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</si>
  <si>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</si>
  <si>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</si>
  <si>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</si>
  <si>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</si>
  <si>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</si>
  <si>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</si>
  <si>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</si>
  <si>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</si>
  <si>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</si>
  <si>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</si>
  <si>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</si>
  <si>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</si>
  <si>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</si>
  <si>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</si>
  <si>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</si>
  <si>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</si>
  <si>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</si>
  <si>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</si>
  <si>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</si>
  <si>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</si>
  <si>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</si>
  <si>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</si>
  <si>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</si>
  <si>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</si>
  <si>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</si>
  <si>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</si>
  <si>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</si>
  <si>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</si>
  <si>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</si>
  <si>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</si>
  <si>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</si>
  <si>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</si>
  <si>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</si>
  <si>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</si>
  <si>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</si>
  <si>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</si>
  <si>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</si>
  <si>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</si>
  <si>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</si>
  <si>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</si>
  <si>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</si>
  <si>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</si>
  <si>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</si>
  <si>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</si>
  <si>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</si>
  <si>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</si>
  <si>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</si>
  <si>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</si>
  <si>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</si>
  <si>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</si>
  <si>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</si>
  <si>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</si>
  <si>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</si>
  <si>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</si>
  <si>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</si>
  <si>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</si>
  <si>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</si>
  <si>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</si>
  <si>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</si>
  <si>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</si>
  <si>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</si>
  <si>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</si>
  <si>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</si>
  <si>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</si>
  <si>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</si>
  <si>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</si>
  <si>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</si>
  <si>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</si>
  <si>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</si>
  <si>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</si>
  <si>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</si>
  <si>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</si>
  <si>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</si>
  <si>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</si>
  <si>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</si>
  <si>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</si>
  <si>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</si>
  <si>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</si>
  <si>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</si>
  <si>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</si>
  <si>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</si>
  <si>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</si>
  <si>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</si>
  <si>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</si>
  <si>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</si>
  <si>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</si>
  <si>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</si>
  <si>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</si>
  <si>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</si>
  <si>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</si>
  <si>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</si>
  <si>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</si>
  <si>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</si>
  <si>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</si>
  <si>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</si>
  <si>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</si>
  <si>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</si>
  <si>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</si>
  <si>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</si>
  <si>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</si>
  <si>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</si>
  <si>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</si>
  <si>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</si>
  <si>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</si>
  <si>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</si>
  <si>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</si>
  <si>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</si>
  <si>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</si>
  <si>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</si>
  <si>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</si>
  <si>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</si>
  <si>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</si>
  <si>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</si>
  <si>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</si>
  <si>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</si>
  <si>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</si>
  <si>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</si>
  <si>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</si>
  <si>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</si>
  <si>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</si>
  <si>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</si>
  <si>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</si>
  <si>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</si>
  <si>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</si>
  <si>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</si>
  <si>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</si>
  <si>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</si>
  <si>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</si>
  <si>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</si>
  <si>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</si>
  <si>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</si>
  <si>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</si>
  <si>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</si>
  <si>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</si>
  <si>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</si>
  <si>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</si>
  <si>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</si>
  <si>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</si>
  <si>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</si>
  <si>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</si>
  <si>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</si>
  <si>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</si>
  <si>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</si>
  <si>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</si>
  <si>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</si>
  <si>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</si>
  <si>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</si>
  <si>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</si>
  <si>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</si>
  <si>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</si>
  <si>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</si>
  <si>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</si>
  <si>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</si>
  <si>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</si>
  <si>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</si>
  <si>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</si>
  <si>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</si>
  <si>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</si>
  <si>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</si>
  <si>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</si>
  <si>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</si>
  <si>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</si>
  <si>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</si>
  <si>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</si>
  <si>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</si>
  <si>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</si>
  <si>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</si>
  <si>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</si>
  <si>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</si>
  <si>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</si>
  <si>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</si>
  <si>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</si>
  <si>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</si>
  <si>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</si>
  <si>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</si>
  <si>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</si>
  <si>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</si>
  <si>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</si>
  <si>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</si>
  <si>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</si>
  <si>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</si>
  <si>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</si>
  <si>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</si>
  <si>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</si>
  <si>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</si>
  <si>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</si>
  <si>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</si>
  <si>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</si>
  <si>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</si>
  <si>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</si>
  <si>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</si>
  <si>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</si>
  <si>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</si>
  <si>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</si>
  <si>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</si>
  <si>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</si>
  <si>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</si>
  <si>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</si>
  <si>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</si>
  <si>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</si>
  <si>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</si>
  <si>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</si>
  <si>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</si>
  <si>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</si>
  <si>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</si>
  <si>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</si>
  <si>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</si>
  <si>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</si>
  <si>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</si>
  <si>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</si>
  <si>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</si>
  <si>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</si>
  <si>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</si>
  <si>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</si>
  <si>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</si>
  <si>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</si>
  <si>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</si>
  <si>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</si>
  <si>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</si>
  <si>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</si>
  <si>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</si>
  <si>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</si>
  <si>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</si>
  <si>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</si>
  <si>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</si>
  <si>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</si>
  <si>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</si>
  <si>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</si>
  <si>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</si>
  <si>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</si>
  <si>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</si>
  <si>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</si>
  <si>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</si>
  <si>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</si>
  <si>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</si>
  <si>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</si>
  <si>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</si>
  <si>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</si>
  <si>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</si>
  <si>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</si>
  <si>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</si>
  <si>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</si>
  <si>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</si>
  <si>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</si>
  <si>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</si>
  <si>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</si>
  <si>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</si>
  <si>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</si>
  <si>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</si>
  <si>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</si>
  <si>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</si>
  <si>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</si>
  <si>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</si>
  <si>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</si>
  <si>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</si>
  <si>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</si>
  <si>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Borussia Dortmund</t>
  </si>
  <si>
    <t>Celtic</t>
  </si>
  <si>
    <t>Chelsea</t>
  </si>
  <si>
    <t>FC Barcelona</t>
  </si>
  <si>
    <t>FC Bayern München</t>
  </si>
  <si>
    <t>Feyenoord</t>
  </si>
  <si>
    <t>Hearts</t>
  </si>
  <si>
    <t>Manchester City</t>
  </si>
  <si>
    <t>Napoli</t>
  </si>
  <si>
    <t>Rangers</t>
  </si>
  <si>
    <t>RB Leipzig</t>
  </si>
  <si>
    <t>Real Madrid</t>
  </si>
  <si>
    <t>Sporting CP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</si>
  <si>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</si>
  <si>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</si>
  <si>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</si>
  <si>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</si>
  <si>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</si>
  <si>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</si>
  <si>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</si>
  <si>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</si>
  <si>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</si>
  <si>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</si>
  <si>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</si>
  <si>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</si>
  <si>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</si>
  <si>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</si>
  <si>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</si>
  <si>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</si>
  <si>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</si>
  <si>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</si>
  <si>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</si>
  <si>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</si>
  <si>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Paris Saint-Germain</t>
  </si>
  <si>
    <t>Manchester United</t>
  </si>
  <si>
    <t>Olympique Marseille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</si>
  <si>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</si>
  <si>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</si>
  <si>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</si>
  <si>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</si>
  <si>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</si>
  <si>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</si>
  <si>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</si>
  <si>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</si>
  <si>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</si>
  <si>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</si>
  <si>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</si>
  <si>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</si>
  <si>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</si>
  <si>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</si>
  <si>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</si>
  <si>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</si>
  <si>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</si>
  <si>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</si>
  <si>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</si>
  <si>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</si>
  <si>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</si>
  <si>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</si>
  <si>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</si>
  <si>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</si>
  <si>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</si>
  <si>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</si>
  <si>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</si>
  <si>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</si>
  <si>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</si>
  <si>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</si>
  <si>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</si>
  <si>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</si>
  <si>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</si>
  <si>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</si>
  <si>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</si>
  <si>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</si>
  <si>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</si>
  <si>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</si>
  <si>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</si>
  <si>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</si>
  <si>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</si>
  <si>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</si>
  <si>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</si>
  <si>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</si>
  <si>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</si>
  <si>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</si>
  <si>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</si>
  <si>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</si>
  <si>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</si>
  <si>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</si>
  <si>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</si>
  <si>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</si>
  <si>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</si>
  <si>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</si>
  <si>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</si>
  <si>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</si>
  <si>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</si>
  <si>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</si>
  <si>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</si>
  <si>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</si>
  <si>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</si>
  <si>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</si>
  <si>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</si>
  <si>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</si>
  <si>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</si>
  <si>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</si>
  <si>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</si>
  <si>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</si>
  <si>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</si>
  <si>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</si>
  <si>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</si>
  <si>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</si>
  <si>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</si>
  <si>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</si>
  <si>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</si>
  <si>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</si>
  <si>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</si>
  <si>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</si>
  <si>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</si>
  <si>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</si>
  <si>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</si>
  <si>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</si>
  <si>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</si>
  <si>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</si>
  <si>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</si>
  <si>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</si>
  <si>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</si>
  <si>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</si>
  <si>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</si>
  <si>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</si>
  <si>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</si>
  <si>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</si>
  <si>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</si>
  <si>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</si>
  <si>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</si>
  <si>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</si>
  <si>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</si>
  <si>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</si>
  <si>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</si>
  <si>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</si>
  <si>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</si>
  <si>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</si>
  <si>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</si>
  <si>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</si>
  <si>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</si>
  <si>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</si>
  <si>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</si>
  <si>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</si>
  <si>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</si>
  <si>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</si>
  <si>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</si>
  <si>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</si>
  <si>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</si>
  <si>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</si>
  <si>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</si>
  <si>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</si>
  <si>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</si>
  <si>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</si>
  <si>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</si>
  <si>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</si>
  <si>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</si>
  <si>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</si>
  <si>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</si>
  <si>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</si>
  <si>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</si>
  <si>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</si>
  <si>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</si>
  <si>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</si>
  <si>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</si>
  <si>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</si>
  <si>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</si>
  <si>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</si>
  <si>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</si>
  <si>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</si>
  <si>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</si>
  <si>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</si>
  <si>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</si>
  <si>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</si>
  <si>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</si>
  <si>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</si>
  <si>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</si>
  <si>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</si>
  <si>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</si>
  <si>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</si>
  <si>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</si>
  <si>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</si>
  <si>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</si>
  <si>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</si>
  <si>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</si>
  <si>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</si>
  <si>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</si>
  <si>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</si>
  <si>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</si>
  <si>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</si>
  <si>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</si>
  <si>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</si>
  <si>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</si>
  <si>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</si>
  <si>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</si>
  <si>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</si>
  <si>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</si>
  <si>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</si>
  <si>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</si>
  <si>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</si>
  <si>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</si>
  <si>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</si>
  <si>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</si>
  <si>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</si>
  <si>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</si>
  <si>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</si>
  <si>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</si>
  <si>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</si>
  <si>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</si>
  <si>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</si>
  <si>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</si>
  <si>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</si>
  <si>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</si>
  <si>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</si>
  <si>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</si>
  <si>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</si>
  <si>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</si>
  <si>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</si>
  <si>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</si>
  <si>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</si>
  <si>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</si>
  <si>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</si>
  <si>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</si>
  <si>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Como</t>
  </si>
  <si>
    <t>Willem II</t>
  </si>
  <si>
    <t>Cruzeiro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</si>
  <si>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</si>
  <si>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</si>
  <si>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</si>
  <si>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</si>
  <si>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</si>
  <si>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</si>
  <si>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</si>
  <si>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</si>
  <si>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</si>
  <si>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</si>
  <si>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</si>
  <si>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</si>
  <si>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</si>
  <si>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</si>
  <si>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</si>
  <si>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</si>
  <si>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</si>
  <si>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</si>
  <si>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</si>
  <si>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</si>
  <si>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</si>
  <si>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</si>
  <si>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</si>
  <si>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</si>
  <si>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</si>
  <si>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</si>
  <si>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</si>
  <si>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</si>
  <si>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</si>
  <si>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</si>
  <si>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</si>
  <si>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</si>
  <si>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</si>
  <si>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</si>
  <si>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</si>
  <si>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</si>
  <si>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</si>
  <si>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</si>
  <si>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</si>
  <si>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</si>
  <si>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</si>
  <si>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</si>
  <si>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</si>
  <si>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</si>
  <si>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</si>
  <si>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</si>
  <si>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</si>
  <si>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Juventus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</si>
  <si>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</si>
  <si>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</si>
  <si>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</si>
  <si>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</si>
  <si>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</si>
  <si>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</si>
  <si>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</si>
  <si>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</si>
  <si>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</si>
  <si>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</si>
  <si>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</si>
  <si>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</si>
  <si>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</si>
  <si>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FC Vaduz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</si>
  <si>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</si>
  <si>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</si>
  <si>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</si>
  <si>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</si>
  <si>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</si>
  <si>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</si>
  <si>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</si>
  <si>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</si>
  <si>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</si>
  <si>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</si>
  <si>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</si>
  <si>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</si>
  <si>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</si>
  <si>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</si>
  <si>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</si>
  <si>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</si>
  <si>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</si>
  <si>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</si>
  <si>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</si>
  <si>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</si>
  <si>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</si>
  <si>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</si>
  <si>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</si>
  <si>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</si>
  <si>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</si>
  <si>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</si>
  <si>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</si>
  <si>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</si>
  <si>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</si>
  <si>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</si>
  <si>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</si>
  <si>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</si>
  <si>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</si>
  <si>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</si>
  <si>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</si>
  <si>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</si>
  <si>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</si>
  <si>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Galatasaray SK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</si>
  <si>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</si>
  <si>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</si>
  <si>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</si>
  <si>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</si>
  <si>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</si>
  <si>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</si>
  <si>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</si>
  <si>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</si>
  <si>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</si>
  <si>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Al-Nassr Riyadh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</si>
  <si>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</si>
  <si>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</si>
  <si>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</si>
  <si>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</si>
  <si>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</si>
  <si>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</si>
  <si>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</si>
  <si>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</si>
  <si>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</si>
  <si>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</si>
  <si>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</si>
  <si>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</si>
  <si>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</si>
  <si>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Fenerbahçe SK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</si>
  <si>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</si>
  <si>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</si>
  <si>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</si>
  <si>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</si>
  <si>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</si>
  <si>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</si>
  <si>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</si>
  <si>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</si>
  <si>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</si>
  <si>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</si>
  <si>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</si>
  <si>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</si>
  <si>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</si>
  <si>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</si>
  <si>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</si>
  <si>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</si>
  <si>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</si>
  <si>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</si>
  <si>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</si>
  <si>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</si>
  <si>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</si>
  <si>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</si>
  <si>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</si>
  <si>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</si>
  <si>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</si>
  <si>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</si>
  <si>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</si>
  <si>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</si>
  <si>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</si>
  <si>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</si>
  <si>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CA Peñarol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</si>
  <si>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</si>
  <si>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</si>
  <si>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</si>
  <si>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</si>
  <si>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</si>
  <si>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</si>
  <si>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</si>
  <si>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</si>
  <si>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</si>
  <si>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</si>
  <si>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</si>
  <si>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</si>
  <si>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</si>
  <si>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</si>
  <si>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</si>
  <si>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</si>
  <si>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</si>
  <si>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</si>
  <si>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</si>
  <si>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</si>
  <si>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</si>
  <si>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</si>
  <si>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</si>
  <si>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</si>
  <si>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</si>
  <si>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</si>
  <si>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</si>
  <si>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</si>
  <si>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</si>
  <si>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</si>
  <si>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</si>
  <si>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</si>
  <si>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</si>
  <si>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</si>
  <si>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</si>
  <si>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</si>
  <si>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</si>
  <si>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</si>
  <si>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</si>
  <si>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</si>
  <si>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</si>
  <si>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</si>
  <si>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</si>
  <si>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</si>
  <si>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</si>
  <si>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</si>
  <si>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</si>
  <si>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</si>
  <si>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</si>
  <si>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</si>
  <si>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</si>
  <si>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</si>
  <si>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</si>
  <si>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</si>
  <si>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</si>
  <si>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</si>
  <si>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</si>
  <si>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</si>
  <si>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</si>
  <si>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</si>
  <si>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</si>
  <si>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</si>
  <si>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</si>
  <si>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</si>
  <si>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</si>
  <si>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</si>
  <si>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</si>
  <si>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</si>
  <si>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</si>
  <si>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</si>
  <si>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</si>
  <si>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</si>
  <si>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</si>
  <si>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</si>
  <si>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</si>
  <si>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</si>
  <si>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</si>
  <si>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</si>
  <si>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</si>
  <si>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</si>
  <si>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</si>
  <si>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</si>
  <si>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</si>
  <si>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</si>
  <si>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</si>
  <si>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</si>
  <si>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</si>
  <si>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</si>
  <si>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</si>
  <si>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</si>
  <si>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</si>
  <si>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</si>
  <si>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</si>
  <si>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</si>
  <si>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</si>
  <si>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</si>
  <si>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</si>
  <si>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</si>
  <si>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</si>
  <si>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</si>
  <si>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</si>
  <si>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</si>
  <si>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</si>
  <si>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</si>
  <si>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</si>
  <si>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</si>
  <si>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</si>
  <si>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</si>
  <si>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</si>
  <si>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</si>
  <si>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</si>
  <si>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</si>
  <si>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</si>
  <si>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</si>
  <si>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Venezia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</si>
  <si>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</si>
  <si>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</si>
  <si>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</si>
  <si>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</si>
  <si>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</si>
  <si>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</si>
  <si>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</si>
  <si>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</si>
  <si>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</si>
  <si>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</si>
  <si>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</si>
  <si>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</si>
  <si>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</si>
  <si>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</si>
  <si>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</si>
  <si>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</si>
  <si>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</si>
  <si>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</si>
  <si>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</si>
  <si>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</si>
  <si>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</si>
  <si>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</si>
  <si>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</si>
  <si>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</si>
  <si>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</si>
  <si>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</si>
  <si>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</si>
  <si>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</si>
  <si>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</si>
  <si>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</si>
  <si>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FC Porto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</si>
  <si>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</si>
  <si>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</si>
  <si>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</si>
  <si>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</si>
  <si>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</si>
  <si>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</si>
  <si>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</si>
  <si>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</si>
  <si>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</si>
  <si>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</si>
  <si>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Besiktas JK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</si>
  <si>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</si>
  <si>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</si>
  <si>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</si>
  <si>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</si>
  <si>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</si>
  <si>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</si>
  <si>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</si>
  <si>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</si>
  <si>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</si>
  <si>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</si>
  <si>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</si>
  <si>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</si>
  <si>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</si>
  <si>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</si>
  <si>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</si>
  <si>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</si>
  <si>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</si>
  <si>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</si>
  <si>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</si>
  <si>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</si>
  <si>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</si>
  <si>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</si>
  <si>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</si>
  <si>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</si>
  <si>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</si>
  <si>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</si>
  <si>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</si>
  <si>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</si>
  <si>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</si>
  <si>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</si>
  <si>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</si>
  <si>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</si>
  <si>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</si>
  <si>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</si>
  <si>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</si>
  <si>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</si>
  <si>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</si>
  <si>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</si>
  <si>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</si>
  <si>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</si>
  <si>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</si>
  <si>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</si>
  <si>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</si>
  <si>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</si>
  <si>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</si>
  <si>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</si>
  <si>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</si>
  <si>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</si>
  <si>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</si>
  <si>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</si>
  <si>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</si>
  <si>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</si>
  <si>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</si>
  <si>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</si>
  <si>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</si>
  <si>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</si>
  <si>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</si>
  <si>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</si>
  <si>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</si>
  <si>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</si>
  <si>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</si>
  <si>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</si>
  <si>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</si>
  <si>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</si>
  <si>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</si>
  <si>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</si>
  <si>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</si>
  <si>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</si>
  <si>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</si>
  <si>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</si>
  <si>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</si>
  <si>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</si>
  <si>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</si>
  <si>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</si>
  <si>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</si>
  <si>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</si>
  <si>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</si>
  <si>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</si>
  <si>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</si>
  <si>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</si>
  <si>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</si>
  <si>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</si>
  <si>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</si>
  <si>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</si>
  <si>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</si>
  <si>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</si>
  <si>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</si>
  <si>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</si>
  <si>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</si>
  <si>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</si>
  <si>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</si>
  <si>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</si>
  <si>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</si>
  <si>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</si>
  <si>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</si>
  <si>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</si>
  <si>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</si>
  <si>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</si>
  <si>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</si>
  <si>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</si>
  <si>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</si>
  <si>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</si>
  <si>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</si>
  <si>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</si>
  <si>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</si>
  <si>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</si>
  <si>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</si>
  <si>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</si>
  <si>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</si>
  <si>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</si>
  <si>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</si>
  <si>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</si>
  <si>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</si>
  <si>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</si>
  <si>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</si>
  <si>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</si>
  <si>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</si>
  <si>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</si>
  <si>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</si>
  <si>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</si>
  <si>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</si>
  <si>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</si>
  <si>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</si>
  <si>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</si>
  <si>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</si>
  <si>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</si>
  <si>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</si>
  <si>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</si>
  <si>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</si>
  <si>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</si>
  <si>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</si>
  <si>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</si>
  <si>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</si>
  <si>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</si>
  <si>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</si>
  <si>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</si>
  <si>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</si>
  <si>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</si>
  <si>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</si>
  <si>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</si>
  <si>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</si>
  <si>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</si>
  <si>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</si>
  <si>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</si>
  <si>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</si>
  <si>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</si>
  <si>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</si>
  <si>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</si>
  <si>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</si>
  <si>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</si>
  <si>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</si>
  <si>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</si>
  <si>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</si>
  <si>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</si>
  <si>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</si>
  <si>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</si>
  <si>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</si>
  <si>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</si>
  <si>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</si>
  <si>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</si>
  <si>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</si>
  <si>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</si>
  <si>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</si>
  <si>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</si>
  <si>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</si>
  <si>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</si>
  <si>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</si>
  <si>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</si>
  <si>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</si>
  <si>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</si>
  <si>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</si>
  <si>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</si>
  <si>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</si>
  <si>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</si>
  <si>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</si>
  <si>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</si>
  <si>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</si>
  <si>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</si>
  <si>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</si>
  <si>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</si>
  <si>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</si>
  <si>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</si>
  <si>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</si>
  <si>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</si>
  <si>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</si>
  <si>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</si>
  <si>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</si>
  <si>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</si>
  <si>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</si>
  <si>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</si>
  <si>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</si>
  <si>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</si>
  <si>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</si>
  <si>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</si>
  <si>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</si>
  <si>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</si>
  <si>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</si>
  <si>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</si>
  <si>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</si>
  <si>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</si>
  <si>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</si>
  <si>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</si>
  <si>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</si>
  <si>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</si>
  <si>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</si>
  <si>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</si>
  <si>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</si>
  <si>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</si>
  <si>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</si>
  <si>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</si>
  <si>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</si>
  <si>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</si>
  <si>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</si>
  <si>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</si>
  <si>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</si>
  <si>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</si>
  <si>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</si>
  <si>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</si>
  <si>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</si>
  <si>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</si>
  <si>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</si>
  <si>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</si>
  <si>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</si>
  <si>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</si>
  <si>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</si>
  <si>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</si>
  <si>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</si>
  <si>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</si>
  <si>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</si>
  <si>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</si>
  <si>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</si>
  <si>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</si>
  <si>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</si>
  <si>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</si>
  <si>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</si>
  <si>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</si>
  <si>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</si>
  <si>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</si>
  <si>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</si>
  <si>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</si>
  <si>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</si>
  <si>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</si>
  <si>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</si>
  <si>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</si>
  <si>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</si>
  <si>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</si>
  <si>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</si>
  <si>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</si>
  <si>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</si>
  <si>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</si>
  <si>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</si>
  <si>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</si>
  <si>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</si>
  <si>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</si>
  <si>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</si>
  <si>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</si>
  <si>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</si>
  <si>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</si>
  <si>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</si>
  <si>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</si>
  <si>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</si>
  <si>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</si>
  <si>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</si>
  <si>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</si>
  <si>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</si>
  <si>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</si>
  <si>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</si>
  <si>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</si>
  <si>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</si>
  <si>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</si>
  <si>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</si>
  <si>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</si>
  <si>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</si>
  <si>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</si>
  <si>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</si>
  <si>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</si>
  <si>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</si>
  <si>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</si>
  <si>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</si>
  <si>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</si>
  <si>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</si>
  <si>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</si>
  <si>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</si>
  <si>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</si>
  <si>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</si>
  <si>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</si>
  <si>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</si>
  <si>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</si>
  <si>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</si>
  <si>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</si>
  <si>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</si>
  <si>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</si>
  <si>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</si>
  <si>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</si>
  <si>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</si>
  <si>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</si>
  <si>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</si>
  <si>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</si>
  <si>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</si>
  <si>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</si>
  <si>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</si>
  <si>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</si>
  <si>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</si>
  <si>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</si>
  <si>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</si>
  <si>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</si>
  <si>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</si>
  <si>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</si>
  <si>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</si>
  <si>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</si>
  <si>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</si>
  <si>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</si>
  <si>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</si>
  <si>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</si>
  <si>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</si>
  <si>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</si>
  <si>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</si>
  <si>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</si>
  <si>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</si>
  <si>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</si>
  <si>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</si>
  <si>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</si>
  <si>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</si>
  <si>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</si>
  <si>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</si>
  <si>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</si>
  <si>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</si>
  <si>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</si>
  <si>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</si>
  <si>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</si>
  <si>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</si>
  <si>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</si>
  <si>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</si>
  <si>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</si>
  <si>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</si>
  <si>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</si>
  <si>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</si>
  <si>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</si>
  <si>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</si>
  <si>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</si>
  <si>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</si>
  <si>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</si>
  <si>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</si>
  <si>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</si>
  <si>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</si>
  <si>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</si>
  <si>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</si>
  <si>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</si>
  <si>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</si>
  <si>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</si>
  <si>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</si>
  <si>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</si>
  <si>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</si>
  <si>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</si>
  <si>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</si>
  <si>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</si>
  <si>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</si>
  <si>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</si>
  <si>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</si>
  <si>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</si>
  <si>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</si>
  <si>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</si>
  <si>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</si>
  <si>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</si>
  <si>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</si>
  <si>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</si>
  <si>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</si>
  <si>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</si>
  <si>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</si>
  <si>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</si>
  <si>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</si>
  <si>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</si>
  <si>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</si>
  <si>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</si>
  <si>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</si>
  <si>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</si>
  <si>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</si>
  <si>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</si>
  <si>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</si>
  <si>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</si>
  <si>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</si>
  <si>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</si>
  <si>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</si>
  <si>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</si>
  <si>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</si>
  <si>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</si>
  <si>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</si>
  <si>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</si>
  <si>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</si>
  <si>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</si>
  <si>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</si>
  <si>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</si>
  <si>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</si>
  <si>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</si>
  <si>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</si>
  <si>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</si>
  <si>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</si>
  <si>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</si>
  <si>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</si>
  <si>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</si>
  <si>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</si>
  <si>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</si>
  <si>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</si>
  <si>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</si>
  <si>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</si>
  <si>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</si>
  <si>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</si>
  <si>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</si>
  <si>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</si>
  <si>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</si>
  <si>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</si>
  <si>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</si>
  <si>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</si>
  <si>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</si>
  <si>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</si>
  <si>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</si>
  <si>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</si>
  <si>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</si>
  <si>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</si>
  <si>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</si>
  <si>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</si>
  <si>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</si>
  <si>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</si>
  <si>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</si>
  <si>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</si>
  <si>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</si>
  <si>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</si>
  <si>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</si>
  <si>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</si>
  <si>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</si>
  <si>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</si>
  <si>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</si>
  <si>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</si>
  <si>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</si>
  <si>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</si>
  <si>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</si>
  <si>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</si>
  <si>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</si>
  <si>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</si>
  <si>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</si>
  <si>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</si>
  <si>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</si>
  <si>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</si>
  <si>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</si>
  <si>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</si>
  <si>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</si>
  <si>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</si>
  <si>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</si>
  <si>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</si>
  <si>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</si>
  <si>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</si>
  <si>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</si>
  <si>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</si>
  <si>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</si>
  <si>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</si>
  <si>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</si>
  <si>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</si>
  <si>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</si>
  <si>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</si>
  <si>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</si>
  <si>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</si>
  <si>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</si>
  <si>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</si>
  <si>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</si>
  <si>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</si>
  <si>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</si>
  <si>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</si>
  <si>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St. Patrick's Athletic</t>
  </si>
  <si>
    <t>Ipswich Town</t>
  </si>
  <si>
    <t>Lech Poznan</t>
  </si>
  <si>
    <t>Viking FK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</si>
  <si>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</si>
  <si>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</si>
  <si>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</si>
  <si>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</si>
  <si>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</si>
  <si>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</si>
  <si>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</si>
  <si>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</si>
  <si>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</si>
  <si>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</si>
  <si>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</si>
  <si>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</si>
  <si>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</si>
  <si>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</si>
  <si>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</si>
  <si>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</si>
  <si>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</si>
  <si>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</si>
  <si>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</si>
  <si>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</si>
  <si>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</si>
  <si>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</si>
  <si>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</si>
  <si>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</si>
  <si>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</si>
  <si>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</si>
  <si>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</si>
  <si>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</si>
  <si>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</si>
  <si>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</si>
  <si>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</si>
  <si>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</si>
  <si>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</si>
  <si>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</si>
  <si>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</si>
  <si>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</si>
  <si>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</si>
  <si>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</si>
  <si>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</si>
  <si>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</si>
  <si>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</si>
  <si>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</si>
  <si>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</si>
  <si>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</si>
  <si>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</si>
  <si>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</si>
  <si>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</si>
  <si>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</si>
  <si>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</si>
  <si>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</si>
  <si>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</si>
  <si>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</si>
  <si>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</si>
  <si>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</si>
  <si>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</si>
  <si>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</si>
  <si>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</si>
  <si>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</si>
  <si>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</si>
  <si>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</si>
  <si>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</si>
  <si>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</si>
  <si>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</si>
  <si>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</si>
  <si>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</si>
  <si>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</si>
  <si>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</si>
  <si>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</si>
  <si>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</si>
  <si>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</si>
  <si>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</si>
  <si>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</si>
  <si>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</si>
  <si>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</si>
  <si>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</si>
  <si>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</si>
  <si>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</si>
  <si>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</si>
  <si>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</si>
  <si>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</si>
  <si>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</si>
  <si>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</si>
  <si>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</si>
  <si>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</si>
  <si>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</si>
  <si>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</si>
  <si>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</si>
  <si>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</si>
  <si>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</si>
  <si>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</si>
  <si>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</si>
  <si>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</si>
  <si>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</si>
  <si>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</si>
  <si>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</si>
  <si>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</si>
  <si>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</si>
  <si>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</si>
  <si>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</si>
  <si>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IK Sirius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</si>
  <si>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</si>
  <si>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</si>
  <si>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</si>
  <si>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</si>
  <si>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</si>
  <si>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</si>
  <si>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</si>
  <si>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</si>
  <si>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</si>
  <si>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</si>
  <si>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</si>
  <si>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</si>
  <si>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</si>
  <si>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</si>
  <si>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</si>
  <si>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</si>
  <si>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</si>
  <si>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</si>
  <si>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</si>
  <si>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</si>
  <si>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</si>
  <si>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</si>
  <si>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</si>
  <si>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</si>
  <si>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</si>
  <si>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</si>
  <si>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</si>
  <si>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</si>
  <si>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</si>
  <si>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</si>
  <si>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</si>
  <si>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</si>
  <si>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</si>
  <si>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</si>
  <si>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</si>
  <si>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</si>
  <si>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</si>
  <si>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</si>
  <si>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</si>
  <si>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</si>
  <si>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</si>
  <si>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</si>
  <si>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</si>
  <si>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</si>
  <si>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</si>
  <si>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</si>
  <si>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</si>
  <si>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</si>
  <si>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</si>
  <si>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</si>
  <si>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</si>
  <si>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</si>
  <si>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</si>
  <si>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</si>
  <si>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</si>
  <si>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</si>
  <si>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</si>
  <si>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</si>
  <si>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</si>
  <si>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</si>
  <si>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</si>
  <si>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</si>
  <si>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</si>
  <si>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</si>
  <si>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</si>
  <si>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</si>
  <si>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</si>
  <si>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</si>
  <si>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</si>
  <si>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</si>
  <si>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</si>
  <si>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</si>
  <si>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</si>
  <si>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</si>
  <si>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</si>
  <si>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</si>
  <si>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</si>
  <si>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</si>
  <si>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</si>
  <si>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</si>
  <si>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</si>
  <si>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</si>
  <si>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</si>
  <si>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</si>
  <si>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</si>
  <si>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</si>
  <si>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</si>
  <si>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</si>
  <si>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</si>
  <si>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</si>
  <si>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</si>
  <si>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</si>
  <si>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</si>
  <si>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</si>
  <si>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</si>
  <si>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</si>
  <si>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</si>
  <si>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</si>
  <si>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</si>
  <si>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</si>
  <si>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</si>
  <si>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</si>
  <si>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</si>
  <si>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</si>
  <si>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</si>
  <si>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</si>
  <si>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</si>
  <si>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</si>
  <si>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</si>
  <si>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</si>
  <si>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</si>
  <si>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</si>
  <si>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</si>
  <si>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</si>
  <si>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</si>
  <si>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</si>
  <si>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</si>
  <si>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</si>
  <si>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SKN St. Pölten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</si>
  <si>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</si>
  <si>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</si>
  <si>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</si>
  <si>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</si>
  <si>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</si>
  <si>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</si>
  <si>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</si>
  <si>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</si>
  <si>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</si>
  <si>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</si>
  <si>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</si>
  <si>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</si>
  <si>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</si>
  <si>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</si>
  <si>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</si>
  <si>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</si>
  <si>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</si>
  <si>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</si>
  <si>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</si>
  <si>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</si>
  <si>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</si>
  <si>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</si>
  <si>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</si>
  <si>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</si>
  <si>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</si>
  <si>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</si>
  <si>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CD Castellon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</si>
  <si>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</si>
  <si>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</si>
  <si>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</si>
  <si>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</si>
  <si>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</si>
  <si>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</si>
  <si>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</si>
  <si>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</si>
  <si>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</si>
  <si>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</si>
  <si>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</si>
  <si>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</si>
  <si>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</si>
  <si>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</si>
  <si>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</si>
  <si>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</si>
  <si>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</si>
  <si>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</si>
  <si>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</si>
  <si>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</si>
  <si>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</si>
  <si>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</si>
  <si>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</si>
  <si>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</si>
  <si>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</si>
  <si>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</si>
  <si>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</si>
  <si>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</si>
  <si>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</si>
  <si>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</si>
  <si>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</si>
  <si>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</si>
  <si>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</si>
  <si>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</si>
  <si>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</si>
  <si>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</si>
  <si>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</si>
  <si>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</si>
  <si>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</si>
  <si>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</si>
  <si>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</si>
  <si>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</si>
  <si>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</si>
  <si>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</si>
  <si>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</si>
  <si>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</si>
  <si>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</si>
  <si>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</si>
  <si>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</si>
  <si>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</si>
  <si>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</si>
  <si>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</si>
  <si>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</si>
  <si>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</si>
  <si>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</si>
  <si>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</si>
  <si>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</si>
  <si>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</si>
  <si>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</si>
  <si>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</si>
  <si>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</si>
  <si>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</si>
  <si>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</si>
  <si>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</si>
  <si>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</si>
  <si>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</si>
  <si>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</si>
  <si>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</si>
  <si>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</si>
  <si>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</si>
  <si>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</si>
  <si>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</si>
  <si>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</si>
  <si>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</si>
  <si>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</si>
  <si>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</si>
  <si>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</si>
  <si>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</si>
  <si>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</si>
  <si>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</si>
  <si>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</si>
  <si>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</si>
  <si>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</si>
  <si>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</si>
  <si>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</si>
  <si>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</si>
  <si>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</si>
  <si>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</si>
  <si>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</si>
  <si>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</si>
  <si>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</si>
  <si>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</si>
  <si>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</si>
  <si>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</si>
  <si>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</si>
  <si>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</si>
  <si>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</si>
  <si>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</si>
  <si>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</si>
  <si>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</si>
  <si>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</si>
  <si>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</si>
  <si>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</si>
  <si>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</si>
  <si>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</si>
  <si>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</si>
  <si>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</si>
  <si>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</si>
  <si>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</si>
  <si>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</si>
  <si>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</si>
  <si>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</si>
  <si>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</si>
  <si>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</si>
  <si>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</si>
  <si>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</si>
  <si>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</si>
  <si>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</si>
  <si>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</si>
  <si>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</si>
  <si>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</si>
  <si>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</si>
  <si>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</si>
  <si>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</si>
  <si>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</si>
  <si>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</si>
  <si>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</si>
  <si>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</si>
  <si>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</si>
  <si>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</si>
  <si>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</si>
  <si>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</si>
  <si>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</si>
  <si>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</si>
  <si>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</si>
  <si>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</si>
  <si>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</si>
  <si>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</si>
  <si>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</si>
  <si>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</si>
  <si>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</si>
  <si>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</si>
  <si>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</si>
  <si>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</si>
  <si>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</si>
  <si>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</si>
  <si>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</si>
  <si>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</si>
  <si>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</si>
  <si>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</si>
  <si>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</si>
  <si>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</si>
  <si>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</si>
  <si>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</si>
  <si>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</si>
  <si>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</si>
  <si>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</si>
  <si>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</si>
  <si>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</si>
  <si>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</si>
  <si>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</si>
  <si>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</si>
  <si>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</si>
  <si>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</si>
  <si>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</si>
  <si>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</si>
  <si>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</si>
  <si>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</si>
  <si>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</si>
  <si>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</si>
  <si>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</si>
  <si>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</si>
  <si>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Hannover 96</t>
  </si>
  <si>
    <t>FC Schalke 04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</si>
  <si>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</si>
  <si>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</si>
  <si>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</si>
  <si>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</si>
  <si>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</si>
  <si>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</si>
  <si>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</si>
  <si>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</si>
  <si>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</si>
  <si>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</si>
  <si>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</si>
  <si>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</si>
  <si>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</si>
  <si>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</si>
  <si>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</si>
  <si>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</si>
  <si>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</si>
  <si>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</si>
  <si>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</si>
  <si>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</si>
  <si>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</si>
  <si>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</si>
  <si>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</si>
  <si>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</si>
  <si>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</si>
  <si>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</si>
  <si>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</si>
  <si>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</si>
  <si>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</si>
  <si>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</si>
  <si>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</si>
  <si>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</si>
  <si>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</si>
  <si>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</si>
  <si>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</si>
  <si>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</si>
  <si>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</si>
  <si>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</si>
  <si>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</si>
  <si>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</si>
  <si>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</si>
  <si>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</si>
  <si>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</si>
  <si>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</si>
  <si>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</si>
  <si>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</si>
  <si>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</si>
  <si>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</si>
  <si>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</si>
  <si>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</si>
  <si>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</si>
  <si>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</si>
  <si>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</si>
  <si>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</si>
  <si>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</si>
  <si>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</si>
  <si>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</si>
  <si>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</si>
  <si>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</si>
  <si>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</si>
  <si>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</si>
  <si>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</si>
  <si>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</si>
  <si>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</si>
  <si>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</si>
  <si>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</si>
  <si>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</si>
  <si>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</si>
  <si>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</si>
  <si>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</si>
  <si>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</si>
  <si>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</si>
  <si>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</si>
  <si>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</si>
  <si>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</si>
  <si>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</si>
  <si>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</si>
  <si>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</si>
  <si>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</si>
  <si>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</si>
  <si>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</si>
  <si>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</si>
  <si>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</si>
  <si>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</si>
  <si>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</si>
  <si>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</si>
  <si>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</si>
  <si>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</si>
  <si>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</si>
  <si>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</si>
  <si>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</si>
  <si>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</si>
  <si>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</si>
  <si>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</si>
  <si>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</si>
  <si>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</si>
  <si>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</si>
  <si>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</si>
  <si>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</si>
  <si>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</si>
  <si>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</si>
  <si>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</si>
  <si>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</si>
  <si>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</si>
  <si>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</si>
  <si>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</si>
  <si>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</si>
  <si>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</si>
  <si>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</si>
  <si>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</si>
  <si>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</si>
  <si>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</si>
  <si>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</si>
  <si>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</si>
  <si>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</si>
  <si>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</si>
  <si>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</si>
  <si>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</si>
  <si>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</si>
  <si>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</si>
  <si>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</si>
  <si>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</si>
  <si>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</si>
  <si>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</si>
  <si>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</si>
  <si>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</si>
  <si>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</si>
  <si>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</si>
  <si>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</si>
  <si>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</si>
  <si>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</si>
  <si>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</si>
  <si>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</si>
  <si>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</si>
  <si>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</si>
  <si>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</si>
  <si>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</si>
  <si>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</si>
  <si>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</si>
  <si>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</si>
  <si>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</si>
  <si>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</si>
  <si>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</si>
  <si>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</si>
  <si>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</si>
  <si>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</si>
  <si>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</si>
  <si>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</si>
  <si>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</si>
  <si>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</si>
  <si>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</si>
  <si>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</si>
  <si>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</si>
  <si>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</si>
  <si>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</si>
  <si>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</si>
  <si>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</si>
  <si>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</si>
  <si>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</si>
  <si>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</si>
  <si>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</si>
  <si>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</si>
  <si>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</si>
  <si>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</si>
  <si>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</si>
  <si>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</si>
  <si>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</si>
  <si>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</si>
  <si>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</si>
  <si>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</si>
  <si>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</si>
  <si>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</si>
  <si>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</si>
  <si>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</si>
  <si>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</si>
  <si>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</si>
  <si>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</si>
  <si>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</si>
  <si>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</si>
  <si>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</si>
  <si>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</si>
  <si>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</si>
  <si>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</si>
  <si>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</si>
  <si>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</si>
  <si>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</si>
  <si>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</si>
  <si>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</si>
  <si>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</si>
  <si>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</si>
  <si>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</si>
  <si>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</si>
  <si>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</si>
  <si>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</si>
  <si>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</si>
  <si>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</si>
  <si>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</si>
  <si>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</si>
  <si>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</si>
  <si>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</si>
  <si>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</si>
  <si>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</si>
  <si>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</si>
  <si>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</si>
  <si>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</si>
  <si>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</si>
  <si>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</si>
  <si>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</si>
  <si>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</si>
  <si>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</si>
  <si>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</si>
  <si>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</si>
  <si>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</si>
  <si>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</si>
  <si>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</si>
  <si>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</si>
  <si>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</si>
  <si>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</si>
  <si>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</si>
  <si>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</si>
  <si>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</si>
  <si>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</si>
  <si>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</si>
  <si>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</si>
  <si>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</si>
  <si>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</si>
  <si>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</si>
  <si>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</si>
  <si>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</si>
  <si>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</si>
  <si>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</si>
  <si>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</si>
  <si>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</si>
  <si>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</si>
  <si>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</si>
  <si>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</si>
  <si>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</si>
  <si>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</si>
  <si>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</si>
  <si>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</si>
  <si>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</si>
  <si>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</si>
  <si>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</si>
  <si>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</si>
  <si>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</si>
  <si>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</si>
  <si>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</si>
  <si>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</si>
  <si>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</si>
  <si>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</si>
  <si>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</si>
  <si>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</si>
  <si>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</si>
  <si>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</si>
  <si>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</si>
  <si>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</si>
  <si>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</si>
  <si>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</si>
  <si>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</si>
  <si>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</si>
  <si>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</si>
  <si>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</si>
  <si>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</si>
  <si>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</si>
  <si>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</si>
  <si>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</si>
  <si>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</si>
  <si>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</si>
  <si>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</si>
  <si>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</si>
  <si>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</si>
  <si>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</si>
  <si>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</si>
  <si>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</si>
  <si>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</si>
  <si>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</si>
  <si>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</si>
  <si>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</si>
  <si>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</si>
  <si>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</si>
  <si>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</si>
  <si>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</si>
  <si>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</si>
  <si>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</si>
  <si>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</si>
  <si>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</si>
  <si>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</si>
  <si>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</si>
  <si>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</si>
  <si>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</si>
  <si>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</si>
  <si>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</si>
  <si>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</si>
  <si>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</si>
  <si>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</si>
  <si>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Víkingur</t>
  </si>
  <si>
    <t>Shamrock Rovers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</si>
  <si>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</si>
  <si>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</si>
  <si>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</si>
  <si>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</si>
  <si>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</si>
  <si>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</si>
  <si>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</si>
  <si>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</si>
  <si>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</si>
  <si>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</si>
  <si>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</si>
  <si>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</si>
  <si>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</si>
  <si>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</si>
  <si>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</si>
  <si>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</si>
  <si>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</si>
  <si>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</si>
  <si>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</si>
  <si>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</si>
  <si>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</si>
  <si>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</si>
  <si>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</si>
  <si>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</si>
  <si>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</si>
  <si>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</si>
  <si>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</si>
  <si>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</si>
  <si>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</si>
  <si>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</si>
  <si>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</si>
  <si>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</si>
  <si>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</si>
  <si>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</si>
  <si>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</si>
  <si>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</si>
  <si>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</si>
  <si>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</si>
  <si>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</si>
  <si>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</si>
  <si>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</si>
  <si>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</si>
  <si>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</si>
  <si>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</si>
  <si>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</si>
  <si>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</si>
  <si>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</si>
  <si>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</si>
  <si>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</si>
  <si>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</si>
  <si>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</si>
  <si>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</si>
  <si>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</si>
  <si>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</si>
  <si>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</si>
  <si>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</si>
  <si>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</si>
  <si>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</si>
  <si>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</si>
  <si>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</si>
  <si>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</si>
  <si>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</si>
  <si>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</si>
  <si>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</si>
  <si>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</si>
  <si>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</si>
  <si>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</si>
  <si>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</si>
  <si>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</si>
  <si>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</si>
  <si>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</si>
  <si>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</si>
  <si>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</si>
  <si>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</si>
  <si>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São Paulo</t>
  </si>
  <si>
    <t>UD Las Palmas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</si>
  <si>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</si>
  <si>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</si>
  <si>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</si>
  <si>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</si>
  <si>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</si>
  <si>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</si>
  <si>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</si>
  <si>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</si>
  <si>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</si>
  <si>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</si>
  <si>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</si>
  <si>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</si>
  <si>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</si>
  <si>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</si>
  <si>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</si>
  <si>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</si>
  <si>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</si>
  <si>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</si>
  <si>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</si>
  <si>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</si>
  <si>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</si>
  <si>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</si>
  <si>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</si>
  <si>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</si>
  <si>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</si>
  <si>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</si>
  <si>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</si>
  <si>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</si>
  <si>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</si>
  <si>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</si>
  <si>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</si>
  <si>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</si>
  <si>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</si>
  <si>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</si>
  <si>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</si>
  <si>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</si>
  <si>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</si>
  <si>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</si>
  <si>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</si>
  <si>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</si>
  <si>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</si>
  <si>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</si>
  <si>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</si>
  <si>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</si>
  <si>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</si>
  <si>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</si>
  <si>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</si>
  <si>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</si>
  <si>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</si>
  <si>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</si>
  <si>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</si>
  <si>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</si>
  <si>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</si>
  <si>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</si>
  <si>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</si>
  <si>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</si>
  <si>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</si>
  <si>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</si>
  <si>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</si>
  <si>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</si>
  <si>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</si>
  <si>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</si>
  <si>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</si>
  <si>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</si>
  <si>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</si>
  <si>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</si>
  <si>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</si>
  <si>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</si>
  <si>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</si>
  <si>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</si>
  <si>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</si>
  <si>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</si>
  <si>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</si>
  <si>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</si>
  <si>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</si>
  <si>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</si>
  <si>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</si>
  <si>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</si>
  <si>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</si>
  <si>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</si>
  <si>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</si>
  <si>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</si>
  <si>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</si>
  <si>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</si>
  <si>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</si>
  <si>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</si>
  <si>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</si>
  <si>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</si>
  <si>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</si>
  <si>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</si>
  <si>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</si>
  <si>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</si>
  <si>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</si>
  <si>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</si>
  <si>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</si>
  <si>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</si>
  <si>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</si>
  <si>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</si>
  <si>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</si>
  <si>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</si>
  <si>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</si>
  <si>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</si>
  <si>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</si>
  <si>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Molde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</si>
  <si>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</si>
  <si>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</si>
  <si>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</si>
  <si>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</si>
  <si>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</si>
  <si>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</si>
  <si>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</si>
  <si>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</si>
  <si>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</si>
  <si>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</si>
  <si>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</si>
  <si>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</si>
  <si>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</si>
  <si>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</si>
  <si>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</si>
  <si>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</si>
  <si>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</si>
  <si>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</si>
  <si>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</si>
  <si>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</si>
  <si>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</si>
  <si>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</si>
  <si>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</si>
  <si>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</si>
  <si>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</si>
  <si>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</si>
  <si>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</si>
  <si>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</si>
  <si>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</si>
  <si>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</si>
  <si>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</si>
  <si>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</si>
  <si>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</si>
  <si>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</si>
  <si>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</si>
  <si>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</si>
  <si>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</si>
  <si>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</si>
  <si>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</si>
  <si>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</si>
  <si>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</si>
  <si>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</si>
  <si>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</si>
  <si>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</si>
  <si>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</si>
  <si>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Racing Santander</t>
  </si>
  <si>
    <t>Kongsvinger IL</t>
  </si>
  <si>
    <t>UD Almería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</si>
  <si>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</si>
  <si>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</si>
  <si>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</si>
  <si>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</si>
  <si>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</si>
  <si>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</si>
  <si>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</si>
  <si>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</si>
  <si>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</si>
  <si>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</si>
  <si>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</si>
  <si>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</si>
  <si>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</si>
  <si>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</si>
  <si>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</si>
  <si>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</si>
  <si>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</si>
  <si>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</si>
  <si>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</si>
  <si>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</si>
  <si>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</si>
  <si>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</si>
  <si>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</si>
  <si>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</si>
  <si>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</si>
  <si>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</si>
  <si>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</si>
  <si>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</si>
  <si>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</si>
  <si>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</si>
  <si>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</si>
  <si>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</si>
  <si>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</si>
  <si>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</si>
  <si>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</si>
  <si>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</si>
  <si>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</si>
  <si>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</si>
  <si>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</si>
  <si>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</si>
  <si>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</si>
  <si>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</si>
  <si>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</si>
  <si>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</si>
  <si>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</si>
  <si>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</si>
  <si>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</si>
  <si>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</si>
  <si>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</si>
  <si>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</si>
  <si>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</si>
  <si>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</si>
  <si>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</si>
  <si>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</si>
  <si>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</si>
  <si>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</si>
  <si>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</si>
  <si>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</si>
  <si>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</si>
  <si>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</si>
  <si>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</si>
  <si>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</si>
  <si>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</si>
  <si>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</si>
  <si>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</si>
  <si>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</si>
  <si>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</si>
  <si>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</si>
  <si>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</si>
  <si>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</si>
  <si>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</si>
  <si>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</si>
  <si>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</si>
  <si>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</si>
  <si>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</si>
  <si>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</si>
  <si>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</si>
  <si>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</si>
  <si>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</si>
  <si>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</si>
  <si>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</si>
  <si>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</si>
  <si>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</si>
  <si>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</si>
  <si>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</si>
  <si>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</si>
  <si>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</si>
  <si>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</si>
  <si>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</si>
  <si>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</si>
  <si>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</si>
  <si>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</si>
  <si>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</si>
  <si>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</si>
  <si>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</si>
  <si>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</si>
  <si>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</si>
  <si>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</si>
  <si>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</si>
  <si>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</si>
  <si>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</si>
  <si>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</si>
  <si>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</si>
  <si>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</si>
  <si>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</si>
  <si>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</si>
  <si>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</si>
  <si>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</si>
  <si>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</si>
  <si>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</si>
  <si>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</si>
  <si>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</si>
  <si>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</si>
  <si>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</si>
  <si>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</si>
  <si>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</si>
  <si>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</si>
  <si>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</si>
  <si>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</si>
  <si>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</si>
  <si>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</si>
  <si>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</si>
  <si>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</si>
  <si>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</si>
  <si>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</si>
  <si>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</si>
  <si>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</si>
  <si>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</si>
  <si>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</si>
  <si>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</si>
  <si>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</si>
  <si>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</si>
  <si>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</si>
  <si>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</si>
  <si>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</si>
  <si>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</si>
  <si>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</si>
  <si>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</si>
  <si>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</si>
  <si>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</si>
  <si>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</si>
  <si>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</si>
  <si>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</si>
  <si>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</si>
  <si>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</si>
  <si>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</si>
  <si>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</si>
  <si>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</si>
  <si>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</si>
  <si>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</si>
  <si>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</si>
  <si>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</si>
  <si>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</si>
  <si>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</si>
  <si>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</si>
  <si>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</si>
  <si>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</si>
  <si>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</si>
  <si>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</si>
  <si>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</si>
  <si>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</si>
  <si>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</si>
  <si>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</si>
  <si>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</si>
  <si>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</si>
  <si>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</si>
  <si>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</si>
  <si>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</si>
  <si>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</si>
  <si>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</si>
  <si>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</si>
  <si>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</si>
  <si>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</si>
  <si>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</si>
  <si>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</si>
  <si>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</si>
  <si>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</si>
  <si>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</si>
  <si>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</si>
  <si>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</si>
  <si>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</si>
  <si>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</si>
  <si>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</si>
  <si>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</si>
  <si>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</si>
  <si>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</si>
  <si>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</si>
  <si>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</si>
  <si>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</si>
  <si>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</si>
  <si>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</si>
  <si>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</si>
  <si>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</si>
  <si>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</si>
  <si>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</si>
  <si>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</si>
  <si>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</si>
  <si>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</si>
  <si>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</si>
  <si>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</si>
  <si>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</si>
  <si>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</si>
  <si>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</si>
  <si>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</si>
  <si>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</si>
  <si>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</si>
  <si>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</si>
  <si>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</si>
  <si>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</si>
  <si>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</si>
  <si>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</si>
  <si>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</si>
  <si>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Colo-Colo</t>
  </si>
  <si>
    <t>Universidad Católica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</si>
  <si>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</si>
  <si>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</si>
  <si>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</si>
  <si>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</si>
  <si>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</si>
  <si>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</si>
  <si>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</si>
  <si>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</si>
  <si>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</si>
  <si>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</si>
  <si>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</si>
  <si>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</si>
  <si>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</si>
  <si>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</si>
  <si>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</si>
  <si>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</si>
  <si>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</si>
  <si>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</si>
  <si>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</si>
  <si>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</si>
  <si>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</si>
  <si>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</si>
  <si>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</si>
  <si>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</si>
  <si>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</si>
  <si>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</si>
  <si>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</si>
  <si>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</si>
  <si>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</si>
  <si>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</si>
  <si>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</si>
  <si>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</si>
  <si>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</si>
  <si>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</si>
  <si>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</si>
  <si>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</si>
  <si>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</si>
  <si>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</si>
  <si>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</si>
  <si>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</si>
  <si>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</si>
  <si>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</si>
  <si>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</si>
  <si>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</si>
  <si>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</si>
  <si>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</si>
  <si>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</si>
  <si>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</si>
  <si>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</si>
  <si>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</si>
  <si>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</si>
  <si>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</si>
  <si>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</si>
  <si>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</si>
  <si>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</si>
  <si>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</si>
  <si>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</si>
  <si>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</si>
  <si>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</si>
  <si>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</si>
  <si>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</si>
  <si>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</si>
  <si>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</si>
  <si>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</si>
  <si>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</si>
  <si>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</si>
  <si>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</si>
  <si>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</si>
  <si>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</si>
  <si>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</si>
  <si>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</si>
  <si>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</si>
  <si>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</si>
  <si>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</si>
  <si>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</si>
  <si>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</si>
  <si>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</si>
  <si>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</si>
  <si>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</si>
  <si>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</si>
  <si>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</si>
  <si>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</si>
  <si>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</si>
  <si>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</si>
  <si>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</si>
  <si>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</si>
  <si>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</si>
  <si>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</si>
  <si>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</si>
  <si>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</si>
  <si>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</si>
  <si>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</si>
  <si>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</si>
  <si>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</si>
  <si>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</si>
  <si>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</si>
  <si>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</si>
  <si>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</si>
  <si>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</si>
  <si>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</si>
  <si>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</si>
  <si>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</si>
  <si>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</si>
  <si>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</si>
  <si>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</si>
  <si>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</si>
  <si>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</si>
  <si>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</si>
  <si>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</si>
  <si>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</si>
  <si>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</si>
  <si>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</si>
  <si>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</si>
  <si>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</si>
  <si>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</si>
  <si>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</si>
  <si>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</si>
  <si>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</si>
  <si>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</si>
  <si>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</si>
  <si>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</si>
  <si>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</si>
  <si>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</si>
  <si>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</si>
  <si>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</si>
  <si>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</si>
  <si>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</si>
  <si>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</si>
  <si>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</si>
  <si>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</si>
  <si>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</si>
  <si>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</si>
  <si>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</si>
  <si>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</si>
  <si>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</si>
  <si>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Cork City FC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</si>
  <si>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</si>
  <si>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</si>
  <si>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</si>
  <si>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</si>
  <si>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</si>
  <si>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</si>
  <si>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</si>
  <si>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</si>
  <si>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</si>
  <si>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</si>
  <si>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</si>
  <si>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</si>
  <si>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</si>
  <si>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</si>
  <si>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</si>
  <si>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</si>
  <si>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</si>
  <si>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</si>
  <si>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</si>
  <si>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</si>
  <si>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</si>
  <si>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</si>
  <si>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</si>
  <si>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</si>
  <si>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</si>
  <si>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</si>
  <si>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</si>
  <si>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</si>
  <si>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</si>
  <si>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</si>
  <si>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</si>
  <si>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</si>
  <si>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</si>
  <si>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</si>
  <si>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</si>
  <si>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</si>
  <si>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</si>
  <si>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</si>
  <si>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</si>
  <si>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Valida Zebra</t>
  </si>
  <si>
    <t>Ambos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</si>
  <si>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</si>
  <si>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</si>
  <si>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</si>
  <si>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</si>
  <si>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</si>
  <si>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</si>
  <si>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</si>
  <si>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</si>
  <si>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</si>
  <si>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</si>
  <si>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</si>
  <si>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</si>
  <si>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</si>
  <si>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</si>
  <si>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</si>
  <si>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</si>
  <si>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</si>
  <si>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</si>
  <si>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</si>
  <si>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</si>
  <si>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</si>
  <si>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</si>
  <si>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</si>
  <si>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</si>
  <si>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</si>
  <si>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</si>
  <si>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</si>
  <si>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</si>
  <si>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</si>
  <si>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</si>
  <si>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</si>
  <si>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</si>
  <si>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</si>
  <si>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</si>
  <si>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</si>
  <si>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</si>
  <si>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</si>
  <si>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</si>
  <si>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</si>
  <si>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</si>
  <si>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</si>
  <si>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</si>
  <si>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</si>
  <si>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</si>
  <si>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</si>
  <si>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</si>
  <si>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</si>
  <si>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</si>
  <si>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</si>
  <si>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</si>
  <si>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</si>
  <si>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</si>
  <si>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</si>
  <si>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</si>
  <si>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</si>
  <si>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</si>
  <si>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</si>
  <si>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</si>
  <si>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</si>
  <si>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</si>
  <si>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</si>
  <si>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</si>
  <si>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</si>
  <si>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</si>
  <si>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</si>
  <si>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</si>
  <si>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</si>
  <si>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</si>
  <si>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</si>
  <si>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</si>
  <si>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</si>
  <si>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</si>
  <si>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</si>
  <si>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</si>
  <si>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</si>
  <si>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</si>
  <si>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</si>
  <si>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</si>
  <si>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</si>
  <si>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</si>
  <si>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</si>
  <si>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</si>
  <si>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France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</si>
  <si>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</si>
  <si>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</si>
  <si>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</si>
  <si>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</si>
  <si>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</si>
  <si>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</si>
  <si>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</si>
  <si>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</si>
  <si>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</si>
  <si>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</si>
  <si>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</si>
  <si>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</si>
  <si>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</si>
  <si>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</si>
  <si>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</si>
  <si>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</si>
  <si>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</si>
  <si>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</si>
  <si>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</si>
  <si>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</si>
  <si>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</si>
  <si>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</si>
  <si>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</si>
  <si>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</si>
  <si>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</si>
  <si>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</si>
  <si>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</si>
  <si>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</si>
  <si>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</si>
  <si>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</si>
  <si>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</si>
  <si>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</si>
  <si>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</si>
  <si>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</si>
  <si>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</si>
  <si>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</si>
  <si>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</si>
  <si>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</si>
  <si>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</si>
  <si>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</si>
  <si>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</si>
  <si>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</si>
  <si>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</si>
  <si>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</si>
  <si>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</si>
  <si>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</si>
  <si>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</si>
  <si>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</si>
  <si>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</si>
  <si>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</si>
  <si>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</si>
  <si>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</si>
  <si>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</si>
  <si>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</si>
  <si>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</si>
  <si>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</si>
  <si>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</si>
  <si>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</si>
  <si>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</si>
  <si>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</si>
  <si>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</si>
  <si>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</si>
  <si>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</si>
  <si>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</si>
  <si>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</si>
  <si>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</si>
  <si>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</si>
  <si>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</si>
  <si>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</si>
  <si>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</si>
  <si>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</si>
  <si>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VPS</t>
  </si>
  <si>
    <t>England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</si>
  <si>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</si>
  <si>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</si>
  <si>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</si>
  <si>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</si>
  <si>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</si>
  <si>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</si>
  <si>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</si>
  <si>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</si>
  <si>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</si>
  <si>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</si>
  <si>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</si>
  <si>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</si>
  <si>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</si>
  <si>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</si>
  <si>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</si>
  <si>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</si>
  <si>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</si>
  <si>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</si>
  <si>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</si>
  <si>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</si>
  <si>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</si>
  <si>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</si>
  <si>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</si>
  <si>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</si>
  <si>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</si>
  <si>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</si>
  <si>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</si>
  <si>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</si>
  <si>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</si>
  <si>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</si>
  <si>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</si>
  <si>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</si>
  <si>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</si>
  <si>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</si>
  <si>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</si>
  <si>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</si>
  <si>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</si>
  <si>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</si>
  <si>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</si>
  <si>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</si>
  <si>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</si>
  <si>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</si>
  <si>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</si>
  <si>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</si>
  <si>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</si>
  <si>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</si>
  <si>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</si>
  <si>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</si>
  <si>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</si>
  <si>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</si>
  <si>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</si>
  <si>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</si>
  <si>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</si>
  <si>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</si>
  <si>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</si>
  <si>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</si>
  <si>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</si>
  <si>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</si>
  <si>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</si>
  <si>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</si>
  <si>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</si>
  <si>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</si>
  <si>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</si>
  <si>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</si>
  <si>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</si>
  <si>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</si>
  <si>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</si>
  <si>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</si>
  <si>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</si>
  <si>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</si>
  <si>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</si>
  <si>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</si>
  <si>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</si>
  <si>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</si>
  <si>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</si>
  <si>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</si>
  <si>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</si>
  <si>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</si>
  <si>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</si>
  <si>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</si>
  <si>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</si>
  <si>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</si>
  <si>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</si>
  <si>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</si>
  <si>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</si>
  <si>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</si>
  <si>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</si>
  <si>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</si>
  <si>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</si>
  <si>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</si>
  <si>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</si>
  <si>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</si>
  <si>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</si>
  <si>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</si>
  <si>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</si>
  <si>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</si>
  <si>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</si>
  <si>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</si>
  <si>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</si>
  <si>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</si>
  <si>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</si>
  <si>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</si>
  <si>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</si>
  <si>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</si>
  <si>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</si>
  <si>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</si>
  <si>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</si>
  <si>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</si>
  <si>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</si>
  <si>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</si>
  <si>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</si>
  <si>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</si>
  <si>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</si>
  <si>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</si>
  <si>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</si>
  <si>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</si>
  <si>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</si>
  <si>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</si>
  <si>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</si>
  <si>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</si>
  <si>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</si>
  <si>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</si>
  <si>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</si>
  <si>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</si>
  <si>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</si>
  <si>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</si>
  <si>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</si>
  <si>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</si>
  <si>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</si>
  <si>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</si>
  <si>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</si>
  <si>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</si>
  <si>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</si>
  <si>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</si>
  <si>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</si>
  <si>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</si>
  <si>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</si>
  <si>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</si>
  <si>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</si>
  <si>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</si>
  <si>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</si>
  <si>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</si>
  <si>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</si>
  <si>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</si>
  <si>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</si>
  <si>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</si>
  <si>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</si>
  <si>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</si>
  <si>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</si>
  <si>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</si>
  <si>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</si>
  <si>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</si>
  <si>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</si>
  <si>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</si>
  <si>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</si>
  <si>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</si>
  <si>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</si>
  <si>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</si>
  <si>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</si>
  <si>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</si>
  <si>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</si>
  <si>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</si>
  <si>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</si>
  <si>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</si>
  <si>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</si>
  <si>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</si>
  <si>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</si>
  <si>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</si>
  <si>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</si>
  <si>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</si>
  <si>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</si>
  <si>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</si>
  <si>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</si>
  <si>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</si>
  <si>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</si>
  <si>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</si>
  <si>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</si>
  <si>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</si>
  <si>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</si>
  <si>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</si>
  <si>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</si>
  <si>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</si>
  <si>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</si>
  <si>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</si>
  <si>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</si>
  <si>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</si>
  <si>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</si>
  <si>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</si>
  <si>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</si>
  <si>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</si>
  <si>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</si>
  <si>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</si>
  <si>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</si>
  <si>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</si>
  <si>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</si>
  <si>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</si>
  <si>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</si>
  <si>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</si>
  <si>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Alianza Lima</t>
  </si>
  <si>
    <t>Hammarby IF</t>
  </si>
  <si>
    <t>Bodø/Glimt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</si>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</sst>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70" formatCode="d/m/yy\ h:mm;@"/>
    <numFmt numFmtId="172" formatCode="[$-F400]h:mm:ss\ AM/PM"/>
  </numFmts>
  <fonts count="19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  <font>
      <sz val="6"/>
      <color rgb="FF020817"/>
      <name val="Inter"/>
    </font>
    <font>
      <sz val="6"/>
      <color rgb="FFDC2626"/>
      <name val="Inter"/>
    </font>
  </fonts>
  <fills count="17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3BE7B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80" fillId="0" borderId="0" applyFont="0" applyFill="0" applyBorder="0" applyAlignment="0" applyProtection="0"/>
    <xf numFmtId="0" fontId="94" fillId="0" borderId="0"/>
    <xf numFmtId="9" fontId="94" fillId="0" borderId="0" applyFont="0" applyFill="0" applyBorder="0" applyAlignment="0" applyProtection="0"/>
    <xf numFmtId="0" fontId="58" fillId="0" borderId="0"/>
    <xf numFmtId="9" fontId="58" fillId="0" borderId="0" applyFont="0" applyFill="0" applyBorder="0" applyAlignment="0" applyProtection="0"/>
  </cellStyleXfs>
  <cellXfs count="1421">
    <xf numFmtId="0" fontId="0" fillId="0" borderId="0" xfId="0"/>
    <xf numFmtId="0" fontId="177" fillId="0" borderId="0" xfId="0" applyFont="1" applyAlignment="1">
      <alignment horizontal="center" vertical="center"/>
    </xf>
    <xf numFmtId="4" fontId="177" fillId="0" borderId="0" xfId="0" applyNumberFormat="1" applyFont="1" applyAlignment="1">
      <alignment horizontal="center" vertical="center"/>
    </xf>
    <xf numFmtId="0" fontId="177" fillId="0" borderId="0" xfId="0" applyFont="1"/>
    <xf numFmtId="0" fontId="178" fillId="0" borderId="0" xfId="0" applyFont="1" applyAlignment="1">
      <alignment horizontal="center" vertical="center"/>
    </xf>
    <xf numFmtId="0" fontId="177" fillId="0" borderId="0" xfId="0" applyFont="1" applyBorder="1" applyAlignment="1">
      <alignment vertical="center"/>
    </xf>
    <xf numFmtId="0" fontId="179" fillId="2" borderId="1" xfId="0" applyFont="1" applyFill="1" applyBorder="1" applyAlignment="1">
      <alignment horizontal="left" vertical="center" wrapText="1"/>
    </xf>
    <xf numFmtId="0" fontId="179" fillId="2" borderId="1" xfId="0" applyFont="1" applyFill="1" applyBorder="1" applyAlignment="1">
      <alignment horizontal="center" vertical="center" wrapText="1"/>
    </xf>
    <xf numFmtId="0" fontId="179" fillId="2" borderId="0" xfId="0" applyFont="1" applyFill="1" applyAlignment="1">
      <alignment horizontal="right" vertical="center" wrapText="1"/>
    </xf>
    <xf numFmtId="0" fontId="177" fillId="0" borderId="0" xfId="0" applyFont="1" applyAlignment="1">
      <alignment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10" fontId="177" fillId="0" borderId="0" xfId="0" applyNumberFormat="1" applyFont="1" applyAlignment="1">
      <alignment vertical="center"/>
    </xf>
    <xf numFmtId="0" fontId="177" fillId="0" borderId="0" xfId="0" applyFont="1" applyFill="1" applyAlignment="1">
      <alignment vertical="center"/>
    </xf>
    <xf numFmtId="14" fontId="177" fillId="0" borderId="0" xfId="0" applyNumberFormat="1" applyFont="1" applyBorder="1" applyAlignment="1">
      <alignment vertical="center"/>
    </xf>
    <xf numFmtId="4" fontId="177" fillId="0" borderId="0" xfId="0" applyNumberFormat="1" applyFont="1" applyBorder="1" applyAlignment="1">
      <alignment vertical="center"/>
    </xf>
    <xf numFmtId="10" fontId="177" fillId="0" borderId="0" xfId="0" applyNumberFormat="1" applyFont="1" applyBorder="1" applyAlignment="1">
      <alignment vertical="center"/>
    </xf>
    <xf numFmtId="10" fontId="177" fillId="0" borderId="0" xfId="1" applyNumberFormat="1" applyFont="1" applyAlignment="1">
      <alignment horizontal="center" vertical="center"/>
    </xf>
    <xf numFmtId="9" fontId="177" fillId="0" borderId="0" xfId="0" applyNumberFormat="1" applyFont="1" applyAlignment="1">
      <alignment horizontal="center" vertical="center"/>
    </xf>
    <xf numFmtId="164" fontId="177" fillId="0" borderId="0" xfId="0" applyNumberFormat="1" applyFont="1" applyAlignment="1">
      <alignment horizontal="center" vertical="center"/>
    </xf>
    <xf numFmtId="3" fontId="177" fillId="0" borderId="0" xfId="0" applyNumberFormat="1" applyFont="1" applyAlignment="1">
      <alignment horizontal="center" vertical="center"/>
    </xf>
    <xf numFmtId="14" fontId="177" fillId="0" borderId="0" xfId="0" applyNumberFormat="1" applyFont="1" applyAlignment="1">
      <alignment horizontal="center" vertical="center"/>
    </xf>
    <xf numFmtId="0" fontId="178" fillId="0" borderId="0" xfId="0" applyFont="1" applyAlignment="1">
      <alignment horizontal="center" vertical="center" wrapText="1"/>
    </xf>
    <xf numFmtId="4" fontId="178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77" fillId="0" borderId="0" xfId="1" applyNumberFormat="1" applyFont="1" applyAlignment="1">
      <alignment horizontal="center" vertical="center"/>
    </xf>
    <xf numFmtId="14" fontId="181" fillId="0" borderId="0" xfId="0" applyNumberFormat="1" applyFont="1" applyAlignment="1">
      <alignment horizontal="center" vertical="center"/>
    </xf>
    <xf numFmtId="0" fontId="181" fillId="0" borderId="0" xfId="0" applyFont="1" applyAlignment="1">
      <alignment horizontal="center" vertical="center"/>
    </xf>
    <xf numFmtId="4" fontId="181" fillId="0" borderId="0" xfId="0" applyNumberFormat="1" applyFont="1" applyAlignment="1">
      <alignment horizontal="center" vertical="center"/>
    </xf>
    <xf numFmtId="164" fontId="181" fillId="0" borderId="0" xfId="0" applyNumberFormat="1" applyFont="1" applyAlignment="1">
      <alignment horizontal="center" vertical="center"/>
    </xf>
    <xf numFmtId="10" fontId="181" fillId="0" borderId="0" xfId="1" applyNumberFormat="1" applyFont="1" applyAlignment="1">
      <alignment horizontal="center" vertical="center"/>
    </xf>
    <xf numFmtId="3" fontId="181" fillId="0" borderId="0" xfId="0" applyNumberFormat="1" applyFont="1" applyAlignment="1">
      <alignment horizontal="center" vertical="center"/>
    </xf>
    <xf numFmtId="0" fontId="181" fillId="0" borderId="0" xfId="0" applyFont="1" applyAlignment="1">
      <alignment horizontal="center" vertical="center" wrapText="1"/>
    </xf>
    <xf numFmtId="16" fontId="178" fillId="0" borderId="0" xfId="0" applyNumberFormat="1" applyFont="1" applyAlignment="1">
      <alignment horizontal="center" vertical="center"/>
    </xf>
    <xf numFmtId="4" fontId="177" fillId="0" borderId="2" xfId="0" applyNumberFormat="1" applyFont="1" applyBorder="1" applyAlignment="1">
      <alignment horizontal="center" vertical="center"/>
    </xf>
    <xf numFmtId="165" fontId="177" fillId="0" borderId="0" xfId="1" applyNumberFormat="1" applyFont="1" applyBorder="1" applyAlignment="1">
      <alignment horizontal="center" vertical="center"/>
    </xf>
    <xf numFmtId="4" fontId="177" fillId="0" borderId="3" xfId="1" applyNumberFormat="1" applyFont="1" applyBorder="1" applyAlignment="1">
      <alignment horizontal="center" vertical="center"/>
    </xf>
    <xf numFmtId="4" fontId="177" fillId="0" borderId="0" xfId="1" applyNumberFormat="1" applyFont="1" applyBorder="1" applyAlignment="1">
      <alignment horizontal="center" vertical="center"/>
    </xf>
    <xf numFmtId="17" fontId="178" fillId="0" borderId="0" xfId="0" applyNumberFormat="1" applyFont="1" applyAlignment="1">
      <alignment horizontal="center" vertical="center"/>
    </xf>
    <xf numFmtId="0" fontId="178" fillId="0" borderId="2" xfId="0" applyFont="1" applyBorder="1" applyAlignment="1">
      <alignment horizontal="center" vertical="center"/>
    </xf>
    <xf numFmtId="0" fontId="178" fillId="0" borderId="0" xfId="0" applyFont="1" applyBorder="1" applyAlignment="1">
      <alignment horizontal="center" vertical="center"/>
    </xf>
    <xf numFmtId="0" fontId="178" fillId="0" borderId="3" xfId="0" applyFont="1" applyBorder="1" applyAlignment="1">
      <alignment horizontal="center" vertical="center"/>
    </xf>
    <xf numFmtId="0" fontId="176" fillId="0" borderId="0" xfId="0" applyFont="1"/>
    <xf numFmtId="0" fontId="176" fillId="0" borderId="0" xfId="0" applyFont="1" applyAlignment="1">
      <alignment vertical="center"/>
    </xf>
    <xf numFmtId="4" fontId="176" fillId="0" borderId="0" xfId="0" applyNumberFormat="1" applyFont="1" applyAlignment="1">
      <alignment vertical="center"/>
    </xf>
    <xf numFmtId="10" fontId="176" fillId="0" borderId="0" xfId="0" applyNumberFormat="1" applyFont="1" applyAlignment="1">
      <alignment vertical="center"/>
    </xf>
    <xf numFmtId="9" fontId="178" fillId="3" borderId="0" xfId="0" applyNumberFormat="1" applyFont="1" applyFill="1" applyBorder="1" applyAlignment="1">
      <alignment horizontal="center" vertical="center"/>
    </xf>
    <xf numFmtId="4" fontId="178" fillId="3" borderId="0" xfId="0" applyNumberFormat="1" applyFont="1" applyFill="1" applyBorder="1" applyAlignment="1">
      <alignment horizontal="center" vertical="center"/>
    </xf>
    <xf numFmtId="0" fontId="176" fillId="0" borderId="0" xfId="0" applyFont="1" applyAlignment="1">
      <alignment horizontal="center" vertical="center"/>
    </xf>
    <xf numFmtId="4" fontId="176" fillId="0" borderId="0" xfId="0" applyNumberFormat="1" applyFont="1" applyAlignment="1">
      <alignment horizontal="center" vertical="center"/>
    </xf>
    <xf numFmtId="9" fontId="176" fillId="0" borderId="0" xfId="0" applyNumberFormat="1" applyFont="1" applyAlignment="1">
      <alignment horizontal="center" vertical="center"/>
    </xf>
    <xf numFmtId="166" fontId="176" fillId="0" borderId="0" xfId="0" applyNumberFormat="1" applyFont="1" applyAlignment="1">
      <alignment horizontal="center" vertical="center"/>
    </xf>
    <xf numFmtId="4" fontId="176" fillId="3" borderId="0" xfId="0" applyNumberFormat="1" applyFont="1" applyFill="1" applyAlignment="1">
      <alignment horizontal="center" vertical="center"/>
    </xf>
    <xf numFmtId="9" fontId="176" fillId="3" borderId="0" xfId="0" applyNumberFormat="1" applyFont="1" applyFill="1" applyAlignment="1">
      <alignment horizontal="center" vertical="center"/>
    </xf>
    <xf numFmtId="3" fontId="176" fillId="3" borderId="0" xfId="0" applyNumberFormat="1" applyFont="1" applyFill="1" applyAlignment="1">
      <alignment horizontal="center" vertical="center"/>
    </xf>
    <xf numFmtId="0" fontId="176" fillId="3" borderId="0" xfId="0" applyFont="1" applyFill="1" applyAlignment="1">
      <alignment horizontal="center" vertical="center"/>
    </xf>
    <xf numFmtId="0" fontId="176" fillId="0" borderId="4" xfId="0" applyFont="1" applyBorder="1" applyAlignment="1">
      <alignment horizontal="center" vertical="center"/>
    </xf>
    <xf numFmtId="0" fontId="176" fillId="0" borderId="5" xfId="0" applyFont="1" applyBorder="1" applyAlignment="1">
      <alignment horizontal="center" vertical="center"/>
    </xf>
    <xf numFmtId="0" fontId="176" fillId="0" borderId="6" xfId="0" applyFont="1" applyBorder="1" applyAlignment="1">
      <alignment horizontal="center" vertical="center"/>
    </xf>
    <xf numFmtId="0" fontId="176" fillId="0" borderId="0" xfId="0" applyFont="1" applyAlignment="1">
      <alignment horizontal="center" vertical="center" wrapText="1"/>
    </xf>
    <xf numFmtId="0" fontId="181" fillId="0" borderId="0" xfId="0" applyFont="1" applyAlignment="1">
      <alignment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14" fontId="176" fillId="0" borderId="0" xfId="0" applyNumberFormat="1" applyFont="1" applyAlignment="1">
      <alignment vertical="center"/>
    </xf>
    <xf numFmtId="0" fontId="175" fillId="0" borderId="0" xfId="0" applyFont="1" applyAlignment="1">
      <alignment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10" fontId="175" fillId="0" borderId="0" xfId="0" applyNumberFormat="1" applyFont="1" applyAlignment="1">
      <alignment vertical="center"/>
    </xf>
    <xf numFmtId="0" fontId="174" fillId="0" borderId="0" xfId="0" applyFont="1" applyAlignment="1">
      <alignment vertical="center"/>
    </xf>
    <xf numFmtId="0" fontId="174" fillId="0" borderId="0" xfId="0" applyFont="1" applyAlignment="1">
      <alignment horizontal="center" vertical="center"/>
    </xf>
    <xf numFmtId="16" fontId="174" fillId="0" borderId="0" xfId="0" applyNumberFormat="1" applyFont="1" applyAlignment="1">
      <alignment horizontal="center" vertical="center"/>
    </xf>
    <xf numFmtId="4" fontId="174" fillId="0" borderId="0" xfId="0" applyNumberFormat="1" applyFont="1" applyAlignment="1">
      <alignment horizontal="center" vertical="center"/>
    </xf>
    <xf numFmtId="4" fontId="174" fillId="0" borderId="0" xfId="0" applyNumberFormat="1" applyFont="1" applyAlignment="1">
      <alignment vertical="center"/>
    </xf>
    <xf numFmtId="10" fontId="174" fillId="0" borderId="0" xfId="1" applyNumberFormat="1" applyFont="1" applyAlignment="1">
      <alignment vertical="center"/>
    </xf>
    <xf numFmtId="0" fontId="174" fillId="0" borderId="0" xfId="0" applyFont="1"/>
    <xf numFmtId="16" fontId="174" fillId="0" borderId="0" xfId="0" applyNumberFormat="1" applyFont="1" applyAlignment="1">
      <alignment vertical="center"/>
    </xf>
    <xf numFmtId="10" fontId="174" fillId="0" borderId="0" xfId="1" applyNumberFormat="1" applyFont="1" applyAlignment="1">
      <alignment horizontal="center" vertical="center"/>
    </xf>
    <xf numFmtId="165" fontId="174" fillId="0" borderId="0" xfId="1" applyNumberFormat="1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10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horizontal="center" vertical="center"/>
    </xf>
    <xf numFmtId="0" fontId="173" fillId="0" borderId="0" xfId="0" applyFont="1" applyAlignment="1">
      <alignment horizontal="center" vertical="center"/>
    </xf>
    <xf numFmtId="14" fontId="174" fillId="0" borderId="0" xfId="0" applyNumberFormat="1" applyFont="1" applyAlignment="1">
      <alignment vertical="center"/>
    </xf>
    <xf numFmtId="0" fontId="178" fillId="0" borderId="2" xfId="0" applyFont="1" applyBorder="1" applyAlignment="1">
      <alignment horizontal="center" vertical="center"/>
    </xf>
    <xf numFmtId="0" fontId="178" fillId="0" borderId="0" xfId="0" applyFont="1" applyBorder="1" applyAlignment="1">
      <alignment horizontal="center" vertical="center"/>
    </xf>
    <xf numFmtId="0" fontId="178" fillId="0" borderId="3" xfId="0" applyFont="1" applyBorder="1" applyAlignment="1">
      <alignment horizontal="center" vertical="center"/>
    </xf>
    <xf numFmtId="3" fontId="181" fillId="0" borderId="0" xfId="0" applyNumberFormat="1" applyFont="1" applyAlignment="1">
      <alignment vertical="center"/>
    </xf>
    <xf numFmtId="3" fontId="181" fillId="0" borderId="0" xfId="0" applyNumberFormat="1" applyFont="1" applyBorder="1" applyAlignment="1">
      <alignment vertical="center"/>
    </xf>
    <xf numFmtId="0" fontId="172" fillId="0" borderId="0" xfId="0" applyFont="1" applyAlignment="1">
      <alignment horizontal="center" vertical="center"/>
    </xf>
    <xf numFmtId="0" fontId="172" fillId="0" borderId="0" xfId="0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4" fontId="172" fillId="0" borderId="0" xfId="0" applyNumberFormat="1" applyFont="1" applyAlignment="1">
      <alignment horizontal="center" vertical="center"/>
    </xf>
    <xf numFmtId="4" fontId="172" fillId="0" borderId="0" xfId="0" applyNumberFormat="1" applyFont="1" applyAlignment="1">
      <alignment horizontal="center" vertical="center"/>
    </xf>
    <xf numFmtId="164" fontId="172" fillId="0" borderId="0" xfId="0" applyNumberFormat="1" applyFont="1" applyAlignment="1">
      <alignment horizontal="center" vertical="center"/>
    </xf>
    <xf numFmtId="10" fontId="172" fillId="0" borderId="0" xfId="1" applyNumberFormat="1" applyFont="1" applyAlignment="1">
      <alignment horizontal="center" vertical="center"/>
    </xf>
    <xf numFmtId="3" fontId="172" fillId="0" borderId="0" xfId="0" applyNumberFormat="1" applyFont="1" applyAlignment="1">
      <alignment horizontal="center" vertical="center"/>
    </xf>
    <xf numFmtId="0" fontId="171" fillId="0" borderId="0" xfId="0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0" fontId="170" fillId="0" borderId="0" xfId="0" applyFont="1" applyAlignment="1">
      <alignment horizontal="center" vertical="center"/>
    </xf>
    <xf numFmtId="0" fontId="169" fillId="0" borderId="0" xfId="0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16" fontId="181" fillId="0" borderId="0" xfId="0" applyNumberFormat="1" applyFont="1" applyAlignment="1">
      <alignment horizontal="center"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0" fontId="168" fillId="0" borderId="0" xfId="0" applyFont="1" applyAlignment="1">
      <alignment horizontal="center" vertical="center"/>
    </xf>
    <xf numFmtId="0" fontId="167" fillId="0" borderId="0" xfId="0" applyFont="1" applyAlignment="1">
      <alignment horizontal="center" vertical="center"/>
    </xf>
    <xf numFmtId="4" fontId="176" fillId="0" borderId="0" xfId="0" applyNumberFormat="1" applyFont="1" applyFill="1" applyAlignment="1">
      <alignment horizontal="center"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0" fontId="166" fillId="0" borderId="0" xfId="0" applyFont="1" applyAlignment="1">
      <alignment horizontal="center" vertical="center"/>
    </xf>
    <xf numFmtId="14" fontId="166" fillId="0" borderId="0" xfId="0" applyNumberFormat="1" applyFont="1" applyAlignment="1">
      <alignment horizontal="center" vertical="center"/>
    </xf>
    <xf numFmtId="4" fontId="166" fillId="0" borderId="0" xfId="0" applyNumberFormat="1" applyFont="1" applyAlignment="1">
      <alignment horizontal="center" vertical="center"/>
    </xf>
    <xf numFmtId="164" fontId="166" fillId="0" borderId="0" xfId="0" applyNumberFormat="1" applyFont="1" applyAlignment="1">
      <alignment horizontal="center" vertical="center"/>
    </xf>
    <xf numFmtId="10" fontId="166" fillId="0" borderId="0" xfId="1" applyNumberFormat="1" applyFont="1" applyAlignment="1">
      <alignment horizontal="center" vertical="center"/>
    </xf>
    <xf numFmtId="3" fontId="166" fillId="0" borderId="0" xfId="0" applyNumberFormat="1" applyFont="1" applyAlignment="1">
      <alignment horizontal="center" vertical="center"/>
    </xf>
    <xf numFmtId="0" fontId="176" fillId="4" borderId="0" xfId="0" applyFont="1" applyFill="1" applyAlignment="1">
      <alignment horizontal="center" vertical="center"/>
    </xf>
    <xf numFmtId="0" fontId="176" fillId="4" borderId="5" xfId="0" applyFont="1" applyFill="1" applyBorder="1" applyAlignment="1">
      <alignment horizontal="center" vertical="center"/>
    </xf>
    <xf numFmtId="0" fontId="165" fillId="0" borderId="0" xfId="0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0" fontId="164" fillId="0" borderId="0" xfId="0" applyFont="1" applyAlignment="1">
      <alignment horizontal="center" vertical="center"/>
    </xf>
    <xf numFmtId="9" fontId="176" fillId="4" borderId="0" xfId="0" applyNumberFormat="1" applyFont="1" applyFill="1" applyAlignment="1">
      <alignment horizontal="center" vertical="center"/>
    </xf>
    <xf numFmtId="0" fontId="163" fillId="0" borderId="0" xfId="0" applyFont="1" applyAlignment="1">
      <alignment horizontal="center" vertical="center"/>
    </xf>
    <xf numFmtId="0" fontId="162" fillId="0" borderId="0" xfId="0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6" fontId="182" fillId="0" borderId="0" xfId="0" applyNumberFormat="1" applyFont="1" applyAlignment="1">
      <alignment horizontal="center" vertical="center"/>
    </xf>
    <xf numFmtId="4" fontId="182" fillId="0" borderId="0" xfId="0" applyNumberFormat="1" applyFont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61" fillId="0" borderId="0" xfId="0" applyFont="1" applyAlignment="1">
      <alignment horizontal="center" vertical="center"/>
    </xf>
    <xf numFmtId="4" fontId="176" fillId="0" borderId="11" xfId="0" applyNumberFormat="1" applyFont="1" applyBorder="1" applyAlignment="1">
      <alignment horizontal="center" vertical="center"/>
    </xf>
    <xf numFmtId="166" fontId="176" fillId="0" borderId="11" xfId="0" applyNumberFormat="1" applyFont="1" applyBorder="1" applyAlignment="1">
      <alignment horizontal="center" vertical="center"/>
    </xf>
    <xf numFmtId="0" fontId="176" fillId="0" borderId="11" xfId="0" applyFont="1" applyBorder="1" applyAlignment="1">
      <alignment horizontal="center" vertical="center"/>
    </xf>
    <xf numFmtId="165" fontId="176" fillId="0" borderId="11" xfId="1" applyNumberFormat="1" applyFont="1" applyBorder="1" applyAlignment="1">
      <alignment horizontal="center" vertical="center"/>
    </xf>
    <xf numFmtId="0" fontId="161" fillId="0" borderId="13" xfId="0" applyFont="1" applyBorder="1" applyAlignment="1">
      <alignment horizontal="center" vertical="center" wrapText="1"/>
    </xf>
    <xf numFmtId="0" fontId="176" fillId="0" borderId="0" xfId="0" applyFont="1" applyBorder="1" applyAlignment="1">
      <alignment horizontal="center" vertical="center" wrapText="1"/>
    </xf>
    <xf numFmtId="0" fontId="161" fillId="0" borderId="0" xfId="0" applyFont="1" applyBorder="1" applyAlignment="1">
      <alignment horizontal="center" vertical="center" wrapText="1"/>
    </xf>
    <xf numFmtId="0" fontId="176" fillId="0" borderId="14" xfId="0" applyFont="1" applyBorder="1" applyAlignment="1">
      <alignment horizontal="center" vertical="center" wrapText="1"/>
    </xf>
    <xf numFmtId="0" fontId="176" fillId="0" borderId="13" xfId="0" applyFont="1" applyBorder="1" applyAlignment="1">
      <alignment horizontal="center" vertical="center" wrapText="1"/>
    </xf>
    <xf numFmtId="0" fontId="161" fillId="0" borderId="14" xfId="0" applyFont="1" applyBorder="1" applyAlignment="1">
      <alignment horizontal="center" vertical="center" wrapText="1"/>
    </xf>
    <xf numFmtId="0" fontId="178" fillId="5" borderId="8" xfId="0" applyFont="1" applyFill="1" applyBorder="1" applyAlignment="1">
      <alignment horizontal="center" vertical="center" wrapText="1"/>
    </xf>
    <xf numFmtId="0" fontId="178" fillId="6" borderId="15" xfId="0" applyFont="1" applyFill="1" applyBorder="1" applyAlignment="1">
      <alignment horizontal="center" vertical="center" wrapText="1"/>
    </xf>
    <xf numFmtId="0" fontId="178" fillId="6" borderId="9" xfId="0" applyFont="1" applyFill="1" applyBorder="1" applyAlignment="1">
      <alignment horizontal="center" vertical="center" wrapText="1"/>
    </xf>
    <xf numFmtId="0" fontId="178" fillId="6" borderId="8" xfId="0" applyFont="1" applyFill="1" applyBorder="1" applyAlignment="1">
      <alignment horizontal="center" vertical="center" wrapText="1"/>
    </xf>
    <xf numFmtId="4" fontId="176" fillId="0" borderId="12" xfId="0" applyNumberFormat="1" applyFont="1" applyBorder="1" applyAlignment="1">
      <alignment horizontal="center" vertical="center"/>
    </xf>
    <xf numFmtId="0" fontId="178" fillId="0" borderId="7" xfId="0" applyFont="1" applyBorder="1" applyAlignment="1">
      <alignment horizontal="center" vertical="center" wrapText="1"/>
    </xf>
    <xf numFmtId="0" fontId="160" fillId="0" borderId="0" xfId="0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0" fontId="159" fillId="0" borderId="0" xfId="0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6" fontId="158" fillId="0" borderId="0" xfId="0" applyNumberFormat="1" applyFont="1" applyAlignment="1">
      <alignment horizontal="center" vertical="center"/>
    </xf>
    <xf numFmtId="4" fontId="158" fillId="0" borderId="0" xfId="0" applyNumberFormat="1" applyFont="1" applyAlignment="1">
      <alignment horizontal="center"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0" fontId="155" fillId="0" borderId="0" xfId="0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0" fontId="153" fillId="0" borderId="0" xfId="0" applyFont="1" applyAlignment="1">
      <alignment vertical="center"/>
    </xf>
    <xf numFmtId="2" fontId="177" fillId="0" borderId="0" xfId="0" applyNumberFormat="1" applyFont="1" applyAlignment="1">
      <alignment vertical="center"/>
    </xf>
    <xf numFmtId="2" fontId="181" fillId="0" borderId="0" xfId="0" applyNumberFormat="1" applyFont="1" applyAlignment="1">
      <alignment vertical="center"/>
    </xf>
    <xf numFmtId="2" fontId="175" fillId="0" borderId="0" xfId="0" applyNumberFormat="1" applyFont="1" applyAlignment="1">
      <alignment vertical="center"/>
    </xf>
    <xf numFmtId="2" fontId="171" fillId="0" borderId="0" xfId="0" applyNumberFormat="1" applyFont="1" applyAlignment="1">
      <alignment vertical="center"/>
    </xf>
    <xf numFmtId="2" fontId="169" fillId="0" borderId="0" xfId="0" applyNumberFormat="1" applyFont="1" applyAlignment="1">
      <alignment vertical="center"/>
    </xf>
    <xf numFmtId="2" fontId="165" fillId="0" borderId="0" xfId="0" applyNumberFormat="1" applyFont="1" applyAlignment="1">
      <alignment vertical="center"/>
    </xf>
    <xf numFmtId="2" fontId="162" fillId="0" borderId="0" xfId="0" applyNumberFormat="1" applyFont="1" applyAlignment="1">
      <alignment vertical="center"/>
    </xf>
    <xf numFmtId="2" fontId="160" fillId="0" borderId="0" xfId="0" applyNumberFormat="1" applyFont="1" applyAlignment="1">
      <alignment vertical="center"/>
    </xf>
    <xf numFmtId="2" fontId="159" fillId="0" borderId="0" xfId="0" applyNumberFormat="1" applyFont="1" applyAlignment="1">
      <alignment vertical="center"/>
    </xf>
    <xf numFmtId="2" fontId="157" fillId="0" borderId="0" xfId="0" applyNumberFormat="1" applyFont="1" applyAlignment="1">
      <alignment vertical="center"/>
    </xf>
    <xf numFmtId="2" fontId="155" fillId="0" borderId="0" xfId="0" applyNumberFormat="1" applyFont="1" applyAlignment="1">
      <alignment vertical="center"/>
    </xf>
    <xf numFmtId="0" fontId="152" fillId="0" borderId="0" xfId="0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0" fontId="152" fillId="0" borderId="0" xfId="0" applyFont="1" applyBorder="1" applyAlignment="1">
      <alignment horizontal="center" vertical="center" wrapText="1"/>
    </xf>
    <xf numFmtId="0" fontId="152" fillId="0" borderId="14" xfId="0" applyFont="1" applyBorder="1" applyAlignment="1">
      <alignment horizontal="center" vertical="center" wrapText="1"/>
    </xf>
    <xf numFmtId="16" fontId="183" fillId="0" borderId="0" xfId="0" applyNumberFormat="1" applyFont="1" applyAlignment="1">
      <alignment horizontal="center" vertical="center"/>
    </xf>
    <xf numFmtId="4" fontId="183" fillId="0" borderId="0" xfId="0" applyNumberFormat="1" applyFont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51" fillId="0" borderId="0" xfId="0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0" fontId="176" fillId="0" borderId="11" xfId="0" applyFont="1" applyFill="1" applyBorder="1" applyAlignment="1">
      <alignment horizontal="center"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0" fontId="150" fillId="0" borderId="0" xfId="0" applyFont="1" applyAlignment="1">
      <alignment horizontal="left" vertical="center"/>
    </xf>
    <xf numFmtId="0" fontId="176" fillId="0" borderId="16" xfId="0" applyFont="1" applyBorder="1" applyAlignment="1">
      <alignment horizontal="center" vertical="center"/>
    </xf>
    <xf numFmtId="0" fontId="176" fillId="0" borderId="17" xfId="0" applyFont="1" applyBorder="1" applyAlignment="1">
      <alignment horizontal="center" vertical="center"/>
    </xf>
    <xf numFmtId="0" fontId="176" fillId="0" borderId="18" xfId="0" applyFont="1" applyBorder="1" applyAlignment="1">
      <alignment horizontal="center" vertical="center"/>
    </xf>
    <xf numFmtId="0" fontId="176" fillId="0" borderId="10" xfId="0" applyFont="1" applyBorder="1" applyAlignment="1">
      <alignment horizontal="center" vertical="center"/>
    </xf>
    <xf numFmtId="0" fontId="176" fillId="0" borderId="12" xfId="0" applyFont="1" applyBorder="1" applyAlignment="1">
      <alignment horizontal="center" vertical="center"/>
    </xf>
    <xf numFmtId="0" fontId="176" fillId="0" borderId="19" xfId="0" applyFont="1" applyBorder="1" applyAlignment="1">
      <alignment horizontal="center" vertical="center"/>
    </xf>
    <xf numFmtId="0" fontId="176" fillId="0" borderId="20" xfId="0" applyFont="1" applyBorder="1" applyAlignment="1">
      <alignment horizontal="center" vertical="center"/>
    </xf>
    <xf numFmtId="0" fontId="176" fillId="0" borderId="21" xfId="0" applyFont="1" applyBorder="1" applyAlignment="1">
      <alignment horizontal="center" vertical="center"/>
    </xf>
    <xf numFmtId="166" fontId="176" fillId="0" borderId="11" xfId="0" applyNumberFormat="1" applyFont="1" applyFill="1" applyBorder="1" applyAlignment="1">
      <alignment horizontal="center" vertical="center"/>
    </xf>
    <xf numFmtId="0" fontId="149" fillId="0" borderId="0" xfId="0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4" fontId="176" fillId="0" borderId="11" xfId="0" applyNumberFormat="1" applyFont="1" applyFill="1" applyBorder="1" applyAlignment="1">
      <alignment horizontal="center" vertical="center"/>
    </xf>
    <xf numFmtId="0" fontId="178" fillId="0" borderId="8" xfId="0" applyFont="1" applyBorder="1" applyAlignment="1">
      <alignment horizontal="center" vertical="center" wrapText="1"/>
    </xf>
    <xf numFmtId="0" fontId="178" fillId="0" borderId="11" xfId="0" applyFont="1" applyBorder="1" applyAlignment="1">
      <alignment horizontal="center" vertical="center"/>
    </xf>
    <xf numFmtId="16" fontId="176" fillId="0" borderId="10" xfId="0" applyNumberFormat="1" applyFont="1" applyBorder="1" applyAlignment="1">
      <alignment horizontal="center" vertical="center"/>
    </xf>
    <xf numFmtId="0" fontId="148" fillId="0" borderId="0" xfId="0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4" fontId="147" fillId="0" borderId="11" xfId="0" applyNumberFormat="1" applyFont="1" applyBorder="1" applyAlignment="1">
      <alignment horizontal="center" vertical="center"/>
    </xf>
    <xf numFmtId="0" fontId="146" fillId="0" borderId="0" xfId="0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4" fontId="146" fillId="0" borderId="11" xfId="0" applyNumberFormat="1" applyFont="1" applyBorder="1" applyAlignment="1">
      <alignment horizontal="center" vertical="center"/>
    </xf>
    <xf numFmtId="0" fontId="145" fillId="0" borderId="0" xfId="0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10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0" fontId="144" fillId="0" borderId="0" xfId="0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0" fontId="142" fillId="0" borderId="0" xfId="0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0" fontId="141" fillId="0" borderId="0" xfId="0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0" fontId="138" fillId="0" borderId="0" xfId="0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0" fontId="136" fillId="0" borderId="0" xfId="0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0" fontId="135" fillId="0" borderId="0" xfId="0" applyFont="1" applyAlignment="1">
      <alignment vertical="center"/>
    </xf>
    <xf numFmtId="3" fontId="184" fillId="0" borderId="0" xfId="0" applyNumberFormat="1" applyFont="1" applyAlignment="1">
      <alignment vertical="center"/>
    </xf>
    <xf numFmtId="3" fontId="184" fillId="0" borderId="0" xfId="0" applyNumberFormat="1" applyFont="1" applyBorder="1" applyAlignment="1">
      <alignment vertical="center"/>
    </xf>
    <xf numFmtId="0" fontId="184" fillId="0" borderId="0" xfId="0" applyFont="1" applyAlignment="1">
      <alignment vertical="center"/>
    </xf>
    <xf numFmtId="3" fontId="135" fillId="0" borderId="0" xfId="0" applyNumberFormat="1" applyFont="1" applyAlignment="1">
      <alignment vertical="center"/>
    </xf>
    <xf numFmtId="0" fontId="134" fillId="0" borderId="0" xfId="0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0" fontId="133" fillId="0" borderId="0" xfId="0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0" fontId="131" fillId="0" borderId="0" xfId="0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0" fontId="130" fillId="0" borderId="0" xfId="0" applyFont="1" applyAlignment="1">
      <alignment horizontal="center" vertical="center"/>
    </xf>
    <xf numFmtId="9" fontId="130" fillId="0" borderId="0" xfId="1" applyFont="1" applyAlignment="1">
      <alignment horizontal="center" vertical="center"/>
    </xf>
    <xf numFmtId="4" fontId="130" fillId="0" borderId="0" xfId="0" applyNumberFormat="1" applyFont="1" applyAlignment="1">
      <alignment horizontal="center" vertical="center"/>
    </xf>
    <xf numFmtId="0" fontId="130" fillId="7" borderId="0" xfId="0" applyFont="1" applyFill="1" applyAlignment="1">
      <alignment horizontal="center" vertical="center"/>
    </xf>
    <xf numFmtId="0" fontId="178" fillId="0" borderId="0" xfId="0" applyFont="1" applyFill="1" applyAlignment="1">
      <alignment horizontal="center" vertical="center"/>
    </xf>
    <xf numFmtId="0" fontId="130" fillId="0" borderId="0" xfId="0" applyFont="1" applyFill="1" applyAlignment="1">
      <alignment horizontal="center" vertical="center"/>
    </xf>
    <xf numFmtId="9" fontId="130" fillId="0" borderId="0" xfId="0" applyNumberFormat="1" applyFont="1" applyAlignment="1">
      <alignment horizontal="center" vertical="center"/>
    </xf>
    <xf numFmtId="0" fontId="130" fillId="8" borderId="0" xfId="0" applyFont="1" applyFill="1" applyAlignment="1">
      <alignment horizontal="center" vertical="center"/>
    </xf>
    <xf numFmtId="0" fontId="129" fillId="0" borderId="0" xfId="0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0" fontId="127" fillId="0" borderId="0" xfId="0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0" fontId="123" fillId="0" borderId="0" xfId="0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0" fontId="122" fillId="0" borderId="0" xfId="0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0" fontId="121" fillId="0" borderId="0" xfId="0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19" fillId="0" borderId="0" xfId="0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0" fontId="117" fillId="0" borderId="0" xfId="0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6" fillId="0" borderId="0" xfId="0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4" fillId="0" borderId="0" xfId="0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3" fillId="0" borderId="0" xfId="0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0" fontId="111" fillId="0" borderId="0" xfId="0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0" fillId="0" borderId="0" xfId="0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0" fontId="107" fillId="0" borderId="0" xfId="0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6" fillId="0" borderId="0" xfId="0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0" fontId="135" fillId="0" borderId="0" xfId="0" applyFont="1" applyFill="1" applyAlignment="1">
      <alignment vertical="center"/>
    </xf>
    <xf numFmtId="0" fontId="0" fillId="0" borderId="0" xfId="0" applyFill="1"/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4" fillId="0" borderId="0" xfId="0" applyFont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0" fontId="103" fillId="0" borderId="0" xfId="0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0" fontId="102" fillId="0" borderId="0" xfId="0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0" fontId="101" fillId="0" borderId="0" xfId="0" applyFont="1" applyAlignment="1">
      <alignment vertical="center"/>
    </xf>
    <xf numFmtId="1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0" fontId="99" fillId="0" borderId="0" xfId="0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14" fontId="99" fillId="0" borderId="0" xfId="0" applyNumberFormat="1" applyFont="1" applyBorder="1" applyAlignment="1">
      <alignment vertical="center"/>
    </xf>
    <xf numFmtId="4" fontId="99" fillId="0" borderId="0" xfId="0" applyNumberFormat="1" applyFont="1" applyBorder="1" applyAlignment="1">
      <alignment vertical="center"/>
    </xf>
    <xf numFmtId="10" fontId="145" fillId="0" borderId="0" xfId="0" applyNumberFormat="1" applyFont="1" applyBorder="1" applyAlignment="1">
      <alignment vertical="center"/>
    </xf>
    <xf numFmtId="4" fontId="109" fillId="0" borderId="0" xfId="0" applyNumberFormat="1" applyFont="1" applyBorder="1" applyAlignment="1">
      <alignment vertical="center"/>
    </xf>
    <xf numFmtId="3" fontId="99" fillId="0" borderId="0" xfId="0" applyNumberFormat="1" applyFont="1" applyBorder="1" applyAlignment="1">
      <alignment vertical="center"/>
    </xf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97" fillId="0" borderId="0" xfId="0" applyFont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4" fontId="97" fillId="0" borderId="0" xfId="0" applyNumberFormat="1" applyFont="1" applyBorder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0" fontId="95" fillId="0" borderId="0" xfId="0" applyFont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94" fillId="0" borderId="0" xfId="2" applyFont="1" applyAlignment="1">
      <alignment vertical="center"/>
    </xf>
    <xf numFmtId="0" fontId="178" fillId="0" borderId="0" xfId="2" applyFont="1" applyAlignment="1">
      <alignment horizontal="center" vertical="center"/>
    </xf>
    <xf numFmtId="0" fontId="94" fillId="0" borderId="0" xfId="2" applyFont="1" applyAlignment="1">
      <alignment horizontal="center" vertical="center"/>
    </xf>
    <xf numFmtId="4" fontId="94" fillId="0" borderId="0" xfId="2" applyNumberFormat="1" applyFont="1" applyAlignment="1">
      <alignment horizontal="center" vertical="center"/>
    </xf>
    <xf numFmtId="165" fontId="94" fillId="0" borderId="0" xfId="2" applyNumberFormat="1" applyFont="1" applyAlignment="1">
      <alignment horizontal="center" vertical="center"/>
    </xf>
    <xf numFmtId="165" fontId="94" fillId="0" borderId="0" xfId="3" applyNumberFormat="1" applyFont="1" applyAlignment="1">
      <alignment horizontal="center" vertical="center"/>
    </xf>
    <xf numFmtId="165" fontId="94" fillId="0" borderId="0" xfId="1" applyNumberFormat="1" applyFont="1" applyAlignment="1">
      <alignment horizontal="center" vertical="center"/>
    </xf>
    <xf numFmtId="4" fontId="94" fillId="0" borderId="0" xfId="1" applyNumberFormat="1" applyFont="1" applyAlignment="1">
      <alignment horizontal="center" vertical="center"/>
    </xf>
    <xf numFmtId="0" fontId="93" fillId="0" borderId="0" xfId="0" applyFont="1" applyAlignment="1">
      <alignment vertical="center"/>
    </xf>
    <xf numFmtId="0" fontId="178" fillId="9" borderId="22" xfId="0" applyFont="1" applyFill="1" applyBorder="1" applyAlignment="1">
      <alignment horizontal="right" vertical="center"/>
    </xf>
    <xf numFmtId="4" fontId="93" fillId="0" borderId="0" xfId="0" applyNumberFormat="1" applyFont="1" applyAlignment="1">
      <alignment vertical="center"/>
    </xf>
    <xf numFmtId="165" fontId="93" fillId="0" borderId="0" xfId="0" applyNumberFormat="1" applyFont="1" applyAlignment="1">
      <alignment vertical="center"/>
    </xf>
    <xf numFmtId="4" fontId="178" fillId="9" borderId="23" xfId="0" applyNumberFormat="1" applyFont="1" applyFill="1" applyBorder="1" applyAlignment="1">
      <alignment vertical="center"/>
    </xf>
    <xf numFmtId="165" fontId="178" fillId="9" borderId="23" xfId="0" applyNumberFormat="1" applyFont="1" applyFill="1" applyBorder="1" applyAlignment="1">
      <alignment vertical="center"/>
    </xf>
    <xf numFmtId="0" fontId="92" fillId="0" borderId="0" xfId="0" applyFont="1" applyAlignment="1">
      <alignment vertical="center"/>
    </xf>
    <xf numFmtId="14" fontId="92" fillId="0" borderId="0" xfId="0" applyNumberFormat="1" applyFont="1" applyAlignment="1">
      <alignment vertical="center"/>
    </xf>
    <xf numFmtId="0" fontId="92" fillId="0" borderId="0" xfId="0" applyFont="1" applyAlignment="1">
      <alignment horizontal="center" vertical="center"/>
    </xf>
    <xf numFmtId="14" fontId="92" fillId="0" borderId="0" xfId="0" applyNumberFormat="1" applyFont="1" applyAlignment="1">
      <alignment horizontal="center" vertical="center"/>
    </xf>
    <xf numFmtId="4" fontId="92" fillId="0" borderId="0" xfId="0" applyNumberFormat="1" applyFont="1" applyAlignment="1">
      <alignment horizontal="center" vertical="center"/>
    </xf>
    <xf numFmtId="167" fontId="92" fillId="0" borderId="0" xfId="0" applyNumberFormat="1" applyFont="1" applyAlignment="1">
      <alignment horizontal="center" vertical="center"/>
    </xf>
    <xf numFmtId="165" fontId="92" fillId="0" borderId="0" xfId="1" applyNumberFormat="1" applyFont="1" applyAlignment="1">
      <alignment horizontal="center" vertical="center"/>
    </xf>
    <xf numFmtId="0" fontId="92" fillId="0" borderId="0" xfId="0" applyFont="1" applyAlignment="1">
      <alignment horizontal="center" vertical="center" wrapText="1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0" fontId="91" fillId="0" borderId="0" xfId="0" applyFont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1" fillId="0" borderId="0" xfId="0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4" fontId="92" fillId="10" borderId="0" xfId="0" applyNumberFormat="1" applyFont="1" applyFill="1" applyAlignment="1">
      <alignment horizontal="center" vertical="center"/>
    </xf>
    <xf numFmtId="0" fontId="90" fillId="0" borderId="0" xfId="0" applyFont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90" fillId="0" borderId="0" xfId="0" applyFont="1" applyAlignment="1">
      <alignment horizontal="center" vertical="center"/>
    </xf>
    <xf numFmtId="0" fontId="89" fillId="0" borderId="0" xfId="0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8" fillId="0" borderId="0" xfId="0" applyFont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8" fillId="0" borderId="0" xfId="0" applyFont="1" applyAlignment="1">
      <alignment horizontal="center" vertical="center"/>
    </xf>
    <xf numFmtId="0" fontId="87" fillId="0" borderId="0" xfId="0" applyFont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10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6" fillId="0" borderId="0" xfId="0" applyFont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6" fillId="0" borderId="0" xfId="0" applyFont="1" applyAlignment="1">
      <alignment horizontal="center" vertical="center"/>
    </xf>
    <xf numFmtId="0" fontId="85" fillId="0" borderId="0" xfId="0" applyFont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4" fillId="0" borderId="0" xfId="0" applyFont="1"/>
    <xf numFmtId="0" fontId="84" fillId="0" borderId="0" xfId="0" applyFont="1" applyAlignment="1">
      <alignment horizontal="center" vertical="center"/>
    </xf>
    <xf numFmtId="16" fontId="84" fillId="0" borderId="0" xfId="0" applyNumberFormat="1" applyFont="1" applyAlignment="1">
      <alignment horizontal="center" vertical="center"/>
    </xf>
    <xf numFmtId="4" fontId="84" fillId="0" borderId="0" xfId="0" applyNumberFormat="1" applyFont="1" applyAlignment="1">
      <alignment horizontal="center" vertical="center"/>
    </xf>
    <xf numFmtId="4" fontId="178" fillId="0" borderId="0" xfId="0" applyNumberFormat="1" applyFont="1" applyAlignment="1">
      <alignment horizontal="center" vertical="center"/>
    </xf>
    <xf numFmtId="4" fontId="83" fillId="0" borderId="0" xfId="1" applyNumberFormat="1" applyFont="1" applyAlignment="1">
      <alignment horizontal="center" vertical="center"/>
    </xf>
    <xf numFmtId="10" fontId="83" fillId="0" borderId="0" xfId="1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4" fontId="82" fillId="0" borderId="0" xfId="0" applyNumberFormat="1" applyFont="1" applyAlignment="1">
      <alignment horizontal="center" vertical="center"/>
    </xf>
    <xf numFmtId="16" fontId="82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4" fontId="82" fillId="0" borderId="0" xfId="1" applyNumberFormat="1" applyFont="1" applyAlignment="1">
      <alignment horizontal="center" vertical="center"/>
    </xf>
    <xf numFmtId="10" fontId="82" fillId="0" borderId="0" xfId="1" applyNumberFormat="1" applyFont="1" applyAlignment="1">
      <alignment horizontal="center" vertical="center"/>
    </xf>
    <xf numFmtId="4" fontId="81" fillId="0" borderId="0" xfId="0" applyNumberFormat="1" applyFont="1" applyAlignment="1">
      <alignment horizontal="center" vertical="center"/>
    </xf>
    <xf numFmtId="0" fontId="81" fillId="0" borderId="0" xfId="0" applyFont="1"/>
    <xf numFmtId="165" fontId="84" fillId="0" borderId="0" xfId="1" applyNumberFormat="1" applyFont="1"/>
    <xf numFmtId="4" fontId="84" fillId="0" borderId="0" xfId="0" applyNumberFormat="1" applyFont="1"/>
    <xf numFmtId="16" fontId="185" fillId="0" borderId="0" xfId="0" applyNumberFormat="1" applyFont="1" applyAlignment="1">
      <alignment horizontal="center" vertical="center"/>
    </xf>
    <xf numFmtId="0" fontId="185" fillId="0" borderId="0" xfId="0" applyFont="1" applyAlignment="1">
      <alignment horizontal="center" vertical="center"/>
    </xf>
    <xf numFmtId="4" fontId="185" fillId="0" borderId="0" xfId="0" applyNumberFormat="1" applyFont="1" applyAlignment="1">
      <alignment horizontal="center" vertical="center"/>
    </xf>
    <xf numFmtId="4" fontId="185" fillId="0" borderId="0" xfId="1" applyNumberFormat="1" applyFont="1" applyAlignment="1">
      <alignment horizontal="center" vertical="center"/>
    </xf>
    <xf numFmtId="10" fontId="185" fillId="0" borderId="0" xfId="1" applyNumberFormat="1" applyFont="1" applyAlignment="1">
      <alignment horizontal="center" vertical="center"/>
    </xf>
    <xf numFmtId="4" fontId="186" fillId="0" borderId="0" xfId="0" applyNumberFormat="1" applyFont="1" applyAlignment="1">
      <alignment horizontal="center" vertical="center" wrapText="1"/>
    </xf>
    <xf numFmtId="20" fontId="82" fillId="0" borderId="0" xfId="0" applyNumberFormat="1" applyFont="1" applyAlignment="1">
      <alignment horizontal="center" vertical="center"/>
    </xf>
    <xf numFmtId="20" fontId="84" fillId="0" borderId="0" xfId="0" applyNumberFormat="1" applyFont="1" applyAlignment="1">
      <alignment horizontal="center" vertical="center"/>
    </xf>
    <xf numFmtId="4" fontId="80" fillId="0" borderId="0" xfId="0" applyNumberFormat="1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20" fontId="185" fillId="0" borderId="0" xfId="0" applyNumberFormat="1" applyFont="1" applyAlignment="1">
      <alignment horizontal="center" vertical="center"/>
    </xf>
    <xf numFmtId="16" fontId="84" fillId="0" borderId="0" xfId="0" applyNumberFormat="1" applyFont="1"/>
    <xf numFmtId="16" fontId="80" fillId="0" borderId="0" xfId="0" applyNumberFormat="1" applyFont="1" applyAlignment="1">
      <alignment horizontal="center" vertical="center"/>
    </xf>
    <xf numFmtId="10" fontId="80" fillId="0" borderId="0" xfId="1" applyNumberFormat="1" applyFont="1" applyAlignment="1">
      <alignment horizontal="center" vertical="center"/>
    </xf>
    <xf numFmtId="4" fontId="80" fillId="0" borderId="0" xfId="1" applyNumberFormat="1" applyFont="1" applyAlignment="1">
      <alignment horizontal="center" vertical="center"/>
    </xf>
    <xf numFmtId="20" fontId="80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0" fontId="79" fillId="0" borderId="0" xfId="0" applyFont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4" fontId="78" fillId="0" borderId="0" xfId="0" applyNumberFormat="1" applyFont="1" applyAlignment="1">
      <alignment horizontal="center" vertical="center"/>
    </xf>
    <xf numFmtId="0" fontId="77" fillId="0" borderId="0" xfId="0" applyFont="1"/>
    <xf numFmtId="16" fontId="185" fillId="10" borderId="0" xfId="0" applyNumberFormat="1" applyFont="1" applyFill="1" applyAlignment="1">
      <alignment horizontal="center" vertical="center"/>
    </xf>
    <xf numFmtId="0" fontId="185" fillId="10" borderId="0" xfId="0" applyFont="1" applyFill="1" applyAlignment="1">
      <alignment horizontal="center" vertical="center"/>
    </xf>
    <xf numFmtId="0" fontId="84" fillId="10" borderId="0" xfId="0" applyFont="1" applyFill="1" applyAlignment="1">
      <alignment horizontal="center" vertical="center"/>
    </xf>
    <xf numFmtId="4" fontId="185" fillId="10" borderId="0" xfId="0" applyNumberFormat="1" applyFont="1" applyFill="1" applyAlignment="1">
      <alignment horizontal="center" vertical="center"/>
    </xf>
    <xf numFmtId="10" fontId="185" fillId="10" borderId="0" xfId="1" applyNumberFormat="1" applyFont="1" applyFill="1" applyAlignment="1">
      <alignment horizontal="center" vertical="center"/>
    </xf>
    <xf numFmtId="4" fontId="185" fillId="10" borderId="0" xfId="1" applyNumberFormat="1" applyFont="1" applyFill="1" applyAlignment="1">
      <alignment horizontal="center" vertical="center"/>
    </xf>
    <xf numFmtId="0" fontId="76" fillId="0" borderId="0" xfId="0" applyFont="1"/>
    <xf numFmtId="4" fontId="76" fillId="0" borderId="0" xfId="0" applyNumberFormat="1" applyFont="1" applyAlignment="1">
      <alignment horizontal="center" vertical="center"/>
    </xf>
    <xf numFmtId="4" fontId="75" fillId="0" borderId="0" xfId="0" applyNumberFormat="1" applyFont="1" applyAlignment="1">
      <alignment horizontal="center" vertical="center"/>
    </xf>
    <xf numFmtId="0" fontId="75" fillId="0" borderId="0" xfId="0" applyFont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75" fillId="0" borderId="0" xfId="0" applyFont="1" applyAlignment="1">
      <alignment horizontal="center" vertical="center"/>
    </xf>
    <xf numFmtId="164" fontId="92" fillId="0" borderId="0" xfId="0" applyNumberFormat="1" applyFon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4" fillId="0" borderId="0" xfId="0" applyFont="1" applyAlignment="1">
      <alignment horizontal="center" vertical="center"/>
    </xf>
    <xf numFmtId="10" fontId="92" fillId="0" borderId="0" xfId="0" applyNumberFormat="1" applyFont="1" applyAlignment="1">
      <alignment horizontal="center" vertical="center"/>
    </xf>
    <xf numFmtId="10" fontId="92" fillId="0" borderId="0" xfId="1" applyNumberFormat="1" applyFont="1" applyAlignment="1">
      <alignment horizontal="center" vertical="center"/>
    </xf>
    <xf numFmtId="4" fontId="92" fillId="3" borderId="0" xfId="0" applyNumberFormat="1" applyFont="1" applyFill="1" applyAlignment="1">
      <alignment horizontal="center" vertical="center"/>
    </xf>
    <xf numFmtId="10" fontId="92" fillId="3" borderId="0" xfId="0" applyNumberFormat="1" applyFont="1" applyFill="1" applyAlignment="1">
      <alignment horizontal="center" vertical="center"/>
    </xf>
    <xf numFmtId="0" fontId="73" fillId="0" borderId="0" xfId="0" applyFont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14" fontId="73" fillId="0" borderId="0" xfId="0" applyNumberFormat="1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164" fontId="73" fillId="0" borderId="0" xfId="0" applyNumberFormat="1" applyFont="1" applyAlignment="1">
      <alignment horizontal="center" vertical="center"/>
    </xf>
    <xf numFmtId="4" fontId="73" fillId="0" borderId="0" xfId="0" applyNumberFormat="1" applyFont="1" applyAlignment="1">
      <alignment horizontal="center" vertical="center"/>
    </xf>
    <xf numFmtId="0" fontId="72" fillId="0" borderId="0" xfId="0" applyFont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14" fontId="72" fillId="0" borderId="0" xfId="0" applyNumberFormat="1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72" fillId="0" borderId="0" xfId="0" applyNumberFormat="1" applyFont="1" applyAlignment="1">
      <alignment horizontal="center" vertical="center"/>
    </xf>
    <xf numFmtId="4" fontId="72" fillId="0" borderId="0" xfId="0" applyNumberFormat="1" applyFont="1" applyAlignment="1">
      <alignment horizontal="center" vertical="center"/>
    </xf>
    <xf numFmtId="165" fontId="72" fillId="0" borderId="0" xfId="1" applyNumberFormat="1" applyFont="1" applyAlignment="1">
      <alignment horizontal="center"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14" fontId="71" fillId="0" borderId="0" xfId="0" applyNumberFormat="1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4" fontId="71" fillId="0" borderId="0" xfId="0" applyNumberFormat="1" applyFont="1" applyAlignment="1">
      <alignment horizontal="center" vertical="center"/>
    </xf>
    <xf numFmtId="4" fontId="71" fillId="0" borderId="0" xfId="0" applyNumberFormat="1" applyFont="1" applyAlignment="1">
      <alignment horizontal="center" vertical="center"/>
    </xf>
    <xf numFmtId="165" fontId="71" fillId="0" borderId="0" xfId="1" applyNumberFormat="1" applyFont="1" applyAlignment="1">
      <alignment horizontal="center" vertical="center"/>
    </xf>
    <xf numFmtId="4" fontId="71" fillId="3" borderId="0" xfId="0" applyNumberFormat="1" applyFont="1" applyFill="1" applyAlignment="1">
      <alignment horizontal="center" vertical="center"/>
    </xf>
    <xf numFmtId="0" fontId="70" fillId="0" borderId="0" xfId="0" applyFont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14" fontId="70" fillId="0" borderId="0" xfId="0" applyNumberFormat="1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164" fontId="70" fillId="0" borderId="0" xfId="0" applyNumberFormat="1" applyFont="1" applyAlignment="1">
      <alignment horizontal="center" vertical="center"/>
    </xf>
    <xf numFmtId="4" fontId="70" fillId="0" borderId="0" xfId="0" applyNumberFormat="1" applyFont="1" applyAlignment="1">
      <alignment horizontal="center" vertical="center"/>
    </xf>
    <xf numFmtId="165" fontId="70" fillId="0" borderId="0" xfId="1" applyNumberFormat="1" applyFont="1" applyAlignment="1">
      <alignment horizontal="center" vertical="center"/>
    </xf>
    <xf numFmtId="0" fontId="69" fillId="0" borderId="0" xfId="0" applyFont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14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164" fontId="69" fillId="0" borderId="0" xfId="0" applyNumberFormat="1" applyFont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165" fontId="69" fillId="0" borderId="0" xfId="1" applyNumberFormat="1" applyFont="1" applyAlignment="1">
      <alignment horizontal="center" vertical="center"/>
    </xf>
    <xf numFmtId="0" fontId="68" fillId="0" borderId="0" xfId="0" applyFont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7" fillId="0" borderId="0" xfId="0" applyFont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14" fontId="67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164" fontId="67" fillId="0" borderId="0" xfId="0" applyNumberFormat="1" applyFont="1" applyAlignment="1">
      <alignment horizontal="center" vertical="center"/>
    </xf>
    <xf numFmtId="4" fontId="67" fillId="0" borderId="0" xfId="0" applyNumberFormat="1" applyFont="1" applyAlignment="1">
      <alignment horizontal="center" vertical="center"/>
    </xf>
    <xf numFmtId="165" fontId="67" fillId="0" borderId="0" xfId="1" applyNumberFormat="1" applyFont="1" applyAlignment="1">
      <alignment horizontal="center" vertical="center"/>
    </xf>
    <xf numFmtId="0" fontId="66" fillId="0" borderId="0" xfId="0" applyFont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14" fontId="65" fillId="0" borderId="0" xfId="0" applyNumberFormat="1" applyFont="1" applyAlignment="1">
      <alignment horizontal="center" vertical="center"/>
    </xf>
    <xf numFmtId="4" fontId="65" fillId="0" borderId="0" xfId="0" applyNumberFormat="1" applyFont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0" fontId="64" fillId="0" borderId="0" xfId="0" applyFont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3" fillId="0" borderId="0" xfId="0" applyFont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64" fontId="63" fillId="0" borderId="0" xfId="0" applyNumberFormat="1" applyFont="1" applyAlignment="1">
      <alignment horizontal="center" vertical="center"/>
    </xf>
    <xf numFmtId="4" fontId="63" fillId="0" borderId="0" xfId="0" applyNumberFormat="1" applyFont="1" applyAlignment="1">
      <alignment horizontal="center" vertical="center"/>
    </xf>
    <xf numFmtId="165" fontId="63" fillId="0" borderId="0" xfId="1" applyNumberFormat="1" applyFont="1" applyAlignment="1">
      <alignment horizontal="center" vertical="center"/>
    </xf>
    <xf numFmtId="0" fontId="62" fillId="0" borderId="0" xfId="0" applyFont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14" fontId="187" fillId="0" borderId="0" xfId="0" applyNumberFormat="1" applyFont="1" applyAlignment="1">
      <alignment horizontal="center" vertical="center"/>
    </xf>
    <xf numFmtId="0" fontId="187" fillId="0" borderId="0" xfId="0" applyFont="1" applyAlignment="1">
      <alignment horizontal="center" vertical="center"/>
    </xf>
    <xf numFmtId="164" fontId="187" fillId="0" borderId="0" xfId="0" applyNumberFormat="1" applyFont="1" applyAlignment="1">
      <alignment horizontal="center" vertical="center"/>
    </xf>
    <xf numFmtId="4" fontId="187" fillId="0" borderId="0" xfId="0" applyNumberFormat="1" applyFont="1" applyAlignment="1">
      <alignment horizontal="center" vertical="center"/>
    </xf>
    <xf numFmtId="165" fontId="187" fillId="0" borderId="0" xfId="1" applyNumberFormat="1" applyFont="1" applyAlignment="1">
      <alignment horizontal="center" vertical="center"/>
    </xf>
    <xf numFmtId="0" fontId="60" fillId="0" borderId="0" xfId="0" applyFont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60" fillId="0" borderId="0" xfId="0" applyFont="1" applyAlignment="1">
      <alignment horizontal="center" vertical="center"/>
    </xf>
    <xf numFmtId="0" fontId="59" fillId="0" borderId="0" xfId="0" applyFont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187" fillId="0" borderId="0" xfId="0" applyFont="1" applyAlignment="1">
      <alignment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10" fontId="187" fillId="0" borderId="0" xfId="0" applyNumberFormat="1" applyFont="1" applyBorder="1" applyAlignment="1">
      <alignment vertical="center"/>
    </xf>
    <xf numFmtId="3" fontId="187" fillId="0" borderId="0" xfId="0" applyNumberFormat="1" applyFont="1" applyAlignment="1">
      <alignment vertical="center"/>
    </xf>
    <xf numFmtId="0" fontId="59" fillId="0" borderId="0" xfId="0" applyFont="1" applyAlignment="1">
      <alignment horizontal="center" vertical="center"/>
    </xf>
    <xf numFmtId="0" fontId="187" fillId="0" borderId="0" xfId="0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0" fontId="58" fillId="0" borderId="0" xfId="0" applyFont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14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164" fontId="58" fillId="0" borderId="0" xfId="0" applyNumberFormat="1" applyFont="1" applyAlignment="1">
      <alignment horizontal="center" vertical="center"/>
    </xf>
    <xf numFmtId="4" fontId="58" fillId="0" borderId="0" xfId="0" applyNumberFormat="1" applyFont="1" applyAlignment="1">
      <alignment horizontal="center" vertical="center"/>
    </xf>
    <xf numFmtId="165" fontId="58" fillId="0" borderId="0" xfId="1" applyNumberFormat="1" applyFont="1" applyAlignment="1">
      <alignment horizontal="center" vertical="center"/>
    </xf>
    <xf numFmtId="0" fontId="59" fillId="0" borderId="0" xfId="0" applyFont="1" applyFill="1" applyAlignment="1">
      <alignment vertical="center"/>
    </xf>
    <xf numFmtId="0" fontId="58" fillId="0" borderId="0" xfId="0" applyFont="1" applyFill="1" applyAlignment="1">
      <alignment vertical="center"/>
    </xf>
    <xf numFmtId="0" fontId="58" fillId="0" borderId="0" xfId="0" applyFont="1" applyAlignment="1">
      <alignment horizontal="left" vertical="center"/>
    </xf>
    <xf numFmtId="0" fontId="65" fillId="0" borderId="0" xfId="0" applyFont="1" applyAlignment="1">
      <alignment horizontal="left" vertical="center"/>
    </xf>
    <xf numFmtId="0" fontId="58" fillId="0" borderId="0" xfId="4" applyFont="1" applyAlignment="1">
      <alignment vertical="center"/>
    </xf>
    <xf numFmtId="4" fontId="58" fillId="3" borderId="0" xfId="4" applyNumberFormat="1" applyFont="1" applyFill="1" applyAlignment="1">
      <alignment vertical="center"/>
    </xf>
    <xf numFmtId="165" fontId="58" fillId="3" borderId="0" xfId="4" applyNumberFormat="1" applyFont="1" applyFill="1" applyAlignment="1">
      <alignment vertical="center"/>
    </xf>
    <xf numFmtId="4" fontId="58" fillId="0" borderId="0" xfId="4" applyNumberFormat="1" applyFont="1" applyAlignment="1">
      <alignment vertical="center"/>
    </xf>
    <xf numFmtId="9" fontId="58" fillId="0" borderId="0" xfId="4" applyNumberFormat="1" applyFont="1" applyAlignment="1">
      <alignment vertical="center"/>
    </xf>
    <xf numFmtId="165" fontId="58" fillId="0" borderId="0" xfId="4" applyNumberFormat="1" applyFont="1" applyAlignment="1">
      <alignment vertical="center"/>
    </xf>
    <xf numFmtId="168" fontId="58" fillId="0" borderId="0" xfId="4" applyNumberFormat="1" applyFont="1" applyAlignment="1">
      <alignment vertical="center"/>
    </xf>
    <xf numFmtId="10" fontId="58" fillId="0" borderId="0" xfId="5" applyNumberFormat="1" applyFont="1" applyAlignment="1">
      <alignment vertical="center"/>
    </xf>
    <xf numFmtId="0" fontId="58" fillId="3" borderId="0" xfId="4" applyFont="1" applyFill="1" applyAlignment="1">
      <alignment vertical="center"/>
    </xf>
    <xf numFmtId="4" fontId="58" fillId="0" borderId="0" xfId="4" applyNumberFormat="1" applyFont="1" applyFill="1" applyAlignment="1">
      <alignment vertical="center"/>
    </xf>
    <xf numFmtId="165" fontId="58" fillId="0" borderId="0" xfId="5" applyNumberFormat="1" applyFont="1" applyFill="1" applyAlignment="1">
      <alignment vertical="center"/>
    </xf>
    <xf numFmtId="0" fontId="178" fillId="11" borderId="24" xfId="4" applyFont="1" applyFill="1" applyBorder="1" applyAlignment="1">
      <alignment vertical="center"/>
    </xf>
    <xf numFmtId="10" fontId="178" fillId="11" borderId="25" xfId="5" applyNumberFormat="1" applyFont="1" applyFill="1" applyBorder="1" applyAlignment="1">
      <alignment vertical="center"/>
    </xf>
    <xf numFmtId="0" fontId="178" fillId="11" borderId="26" xfId="4" applyFont="1" applyFill="1" applyBorder="1" applyAlignment="1">
      <alignment vertical="center"/>
    </xf>
    <xf numFmtId="4" fontId="178" fillId="11" borderId="27" xfId="4" applyNumberFormat="1" applyFont="1" applyFill="1" applyBorder="1" applyAlignment="1">
      <alignment vertical="center"/>
    </xf>
    <xf numFmtId="0" fontId="178" fillId="12" borderId="4" xfId="4" applyFont="1" applyFill="1" applyBorder="1" applyAlignment="1">
      <alignment vertical="center"/>
    </xf>
    <xf numFmtId="10" fontId="178" fillId="12" borderId="6" xfId="5" applyNumberFormat="1" applyFont="1" applyFill="1" applyBorder="1" applyAlignment="1">
      <alignment vertical="center"/>
    </xf>
    <xf numFmtId="0" fontId="178" fillId="13" borderId="24" xfId="4" applyFont="1" applyFill="1" applyBorder="1" applyAlignment="1">
      <alignment vertical="center"/>
    </xf>
    <xf numFmtId="10" fontId="178" fillId="13" borderId="25" xfId="5" applyNumberFormat="1" applyFont="1" applyFill="1" applyBorder="1" applyAlignment="1">
      <alignment vertical="center"/>
    </xf>
    <xf numFmtId="0" fontId="178" fillId="13" borderId="26" xfId="4" applyFont="1" applyFill="1" applyBorder="1" applyAlignment="1">
      <alignment vertical="center"/>
    </xf>
    <xf numFmtId="10" fontId="178" fillId="13" borderId="27" xfId="5" applyNumberFormat="1" applyFont="1" applyFill="1" applyBorder="1" applyAlignment="1">
      <alignment vertical="center"/>
    </xf>
    <xf numFmtId="166" fontId="58" fillId="3" borderId="0" xfId="4" applyNumberFormat="1" applyFont="1" applyFill="1" applyAlignment="1">
      <alignment vertical="center"/>
    </xf>
    <xf numFmtId="0" fontId="57" fillId="0" borderId="0" xfId="4" applyFont="1" applyAlignment="1">
      <alignment vertical="center"/>
    </xf>
    <xf numFmtId="0" fontId="58" fillId="3" borderId="25" xfId="4" applyFont="1" applyFill="1" applyBorder="1" applyAlignment="1">
      <alignment vertical="center"/>
    </xf>
    <xf numFmtId="0" fontId="178" fillId="0" borderId="24" xfId="4" applyFont="1" applyBorder="1" applyAlignment="1">
      <alignment vertical="center"/>
    </xf>
    <xf numFmtId="0" fontId="178" fillId="0" borderId="26" xfId="4" applyFont="1" applyBorder="1" applyAlignment="1">
      <alignment vertical="center"/>
    </xf>
    <xf numFmtId="165" fontId="58" fillId="0" borderId="27" xfId="1" applyNumberFormat="1" applyFont="1" applyBorder="1" applyAlignment="1">
      <alignment vertical="center"/>
    </xf>
    <xf numFmtId="4" fontId="58" fillId="3" borderId="25" xfId="4" applyNumberFormat="1" applyFont="1" applyFill="1" applyBorder="1" applyAlignment="1">
      <alignment vertical="center"/>
    </xf>
    <xf numFmtId="4" fontId="58" fillId="0" borderId="27" xfId="4" applyNumberFormat="1" applyFont="1" applyBorder="1" applyAlignment="1">
      <alignment vertical="center"/>
    </xf>
    <xf numFmtId="165" fontId="58" fillId="0" borderId="0" xfId="1" applyNumberFormat="1" applyFont="1" applyAlignment="1">
      <alignment vertical="center"/>
    </xf>
    <xf numFmtId="4" fontId="58" fillId="0" borderId="0" xfId="4" applyNumberFormat="1" applyFont="1" applyBorder="1" applyAlignment="1">
      <alignment vertical="center"/>
    </xf>
    <xf numFmtId="0" fontId="56" fillId="0" borderId="0" xfId="4" applyFont="1" applyAlignment="1">
      <alignment vertical="center"/>
    </xf>
    <xf numFmtId="4" fontId="58" fillId="0" borderId="0" xfId="1" applyNumberFormat="1" applyFont="1" applyAlignment="1">
      <alignment vertical="center"/>
    </xf>
    <xf numFmtId="4" fontId="56" fillId="0" borderId="0" xfId="4" applyNumberFormat="1" applyFont="1" applyAlignment="1">
      <alignment vertical="center"/>
    </xf>
    <xf numFmtId="165" fontId="58" fillId="3" borderId="0" xfId="1" applyNumberFormat="1" applyFont="1" applyFill="1" applyAlignment="1">
      <alignment vertical="center"/>
    </xf>
    <xf numFmtId="0" fontId="178" fillId="0" borderId="0" xfId="4" applyFont="1" applyBorder="1" applyAlignment="1">
      <alignment vertical="center"/>
    </xf>
    <xf numFmtId="165" fontId="55" fillId="3" borderId="0" xfId="4" applyNumberFormat="1" applyFont="1" applyFill="1" applyAlignment="1">
      <alignment vertical="center"/>
    </xf>
    <xf numFmtId="0" fontId="54" fillId="0" borderId="0" xfId="0" applyFont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4" fillId="0" borderId="0" xfId="0" applyFont="1"/>
    <xf numFmtId="0" fontId="54" fillId="0" borderId="0" xfId="0" applyFont="1" applyFill="1" applyAlignment="1">
      <alignment vertical="center"/>
    </xf>
    <xf numFmtId="4" fontId="54" fillId="0" borderId="0" xfId="0" applyNumberFormat="1" applyFont="1" applyFill="1" applyAlignment="1">
      <alignment vertical="center"/>
    </xf>
    <xf numFmtId="0" fontId="54" fillId="0" borderId="0" xfId="0" applyFont="1" applyAlignment="1">
      <alignment horizontal="center" vertical="center"/>
    </xf>
    <xf numFmtId="0" fontId="177" fillId="0" borderId="0" xfId="0" applyFont="1" applyFill="1" applyBorder="1" applyAlignment="1">
      <alignment vertical="center"/>
    </xf>
    <xf numFmtId="0" fontId="176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9" fillId="0" borderId="0" xfId="0" applyFont="1" applyFill="1" applyBorder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79" fillId="0" borderId="0" xfId="0" applyFont="1" applyFill="1" applyAlignment="1">
      <alignment vertical="center"/>
    </xf>
    <xf numFmtId="0" fontId="75" fillId="0" borderId="0" xfId="0" applyFont="1" applyFill="1" applyAlignment="1">
      <alignment vertical="center"/>
    </xf>
    <xf numFmtId="0" fontId="73" fillId="0" borderId="0" xfId="0" applyFont="1" applyFill="1" applyAlignment="1">
      <alignment vertical="center"/>
    </xf>
    <xf numFmtId="0" fontId="72" fillId="0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0" fontId="70" fillId="0" borderId="0" xfId="0" applyFont="1" applyFill="1" applyAlignment="1">
      <alignment vertical="center"/>
    </xf>
    <xf numFmtId="0" fontId="69" fillId="0" borderId="0" xfId="0" applyFont="1" applyFill="1" applyAlignment="1">
      <alignment vertical="center"/>
    </xf>
    <xf numFmtId="0" fontId="68" fillId="0" borderId="0" xfId="0" applyFont="1" applyFill="1" applyAlignment="1">
      <alignment vertical="center"/>
    </xf>
    <xf numFmtId="0" fontId="67" fillId="0" borderId="0" xfId="0" applyFont="1" applyFill="1" applyAlignment="1">
      <alignment vertical="center"/>
    </xf>
    <xf numFmtId="0" fontId="66" fillId="0" borderId="0" xfId="0" applyFont="1" applyFill="1" applyAlignment="1">
      <alignment vertical="center"/>
    </xf>
    <xf numFmtId="0" fontId="64" fillId="0" borderId="0" xfId="0" applyFont="1" applyFill="1" applyAlignment="1">
      <alignment vertical="center"/>
    </xf>
    <xf numFmtId="0" fontId="63" fillId="0" borderId="0" xfId="0" applyFont="1" applyFill="1" applyAlignment="1">
      <alignment vertical="center"/>
    </xf>
    <xf numFmtId="0" fontId="62" fillId="0" borderId="0" xfId="0" applyFont="1" applyFill="1" applyAlignment="1">
      <alignment vertical="center"/>
    </xf>
    <xf numFmtId="0" fontId="61" fillId="0" borderId="0" xfId="0" applyFont="1" applyFill="1" applyAlignment="1">
      <alignment vertical="center"/>
    </xf>
    <xf numFmtId="0" fontId="60" fillId="0" borderId="0" xfId="0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7" fillId="0" borderId="0" xfId="0" applyNumberFormat="1" applyFont="1" applyFill="1" applyBorder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9" fillId="0" borderId="0" xfId="0" applyNumberFormat="1" applyFont="1" applyFill="1" applyBorder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8" fillId="0" borderId="0" xfId="0" applyNumberFormat="1" applyFont="1" applyFill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177" fillId="0" borderId="0" xfId="0" applyFont="1" applyAlignment="1">
      <alignment horizontal="center" vertical="center" wrapText="1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2" fillId="0" borderId="0" xfId="0" applyFont="1" applyAlignment="1">
      <alignment horizontal="center" vertical="center"/>
    </xf>
    <xf numFmtId="16" fontId="178" fillId="0" borderId="0" xfId="0" applyNumberFormat="1" applyFont="1" applyFill="1" applyAlignment="1">
      <alignment horizontal="center" vertical="center"/>
    </xf>
    <xf numFmtId="4" fontId="177" fillId="0" borderId="0" xfId="0" applyNumberFormat="1" applyFont="1" applyFill="1" applyAlignment="1">
      <alignment horizontal="center" vertical="center"/>
    </xf>
    <xf numFmtId="0" fontId="177" fillId="0" borderId="0" xfId="0" applyFont="1" applyFill="1" applyAlignment="1">
      <alignment horizontal="center" vertical="center"/>
    </xf>
    <xf numFmtId="0" fontId="52" fillId="0" borderId="0" xfId="4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177" fillId="3" borderId="0" xfId="0" applyFont="1" applyFill="1"/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14" fontId="49" fillId="0" borderId="0" xfId="0" applyNumberFormat="1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4" fontId="49" fillId="0" borderId="0" xfId="0" applyNumberFormat="1" applyFont="1" applyAlignment="1">
      <alignment horizontal="center" vertical="center"/>
    </xf>
    <xf numFmtId="4" fontId="49" fillId="0" borderId="0" xfId="0" applyNumberFormat="1" applyFont="1" applyAlignment="1">
      <alignment horizontal="center" vertical="center"/>
    </xf>
    <xf numFmtId="165" fontId="49" fillId="0" borderId="0" xfId="1" applyNumberFormat="1" applyFont="1" applyAlignment="1">
      <alignment horizontal="center" vertical="center"/>
    </xf>
    <xf numFmtId="0" fontId="178" fillId="0" borderId="0" xfId="0" applyFont="1"/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left" vertical="center"/>
    </xf>
    <xf numFmtId="4" fontId="46" fillId="0" borderId="0" xfId="0" applyNumberFormat="1" applyFont="1" applyAlignment="1">
      <alignment horizontal="center" vertical="center"/>
    </xf>
    <xf numFmtId="3" fontId="65" fillId="0" borderId="0" xfId="0" applyNumberFormat="1" applyFont="1" applyAlignment="1">
      <alignment horizontal="center"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4" fontId="43" fillId="0" borderId="0" xfId="0" applyNumberFormat="1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Alignment="1">
      <alignment horizontal="center" vertical="center"/>
    </xf>
    <xf numFmtId="4" fontId="178" fillId="0" borderId="0" xfId="0" applyNumberFormat="1" applyFont="1" applyFill="1" applyAlignment="1">
      <alignment horizontal="center"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189" fillId="15" borderId="1" xfId="0" applyFont="1" applyFill="1" applyBorder="1" applyAlignment="1">
      <alignment horizontal="center" vertical="center" wrapText="1"/>
    </xf>
    <xf numFmtId="0" fontId="189" fillId="15" borderId="1" xfId="0" applyFont="1" applyFill="1" applyBorder="1" applyAlignment="1">
      <alignment vertical="center" wrapText="1"/>
    </xf>
    <xf numFmtId="22" fontId="189" fillId="15" borderId="1" xfId="0" applyNumberFormat="1" applyFont="1" applyFill="1" applyBorder="1" applyAlignment="1">
      <alignment horizontal="center" vertical="center" wrapText="1"/>
    </xf>
    <xf numFmtId="8" fontId="190" fillId="15" borderId="1" xfId="0" applyNumberFormat="1" applyFont="1" applyFill="1" applyBorder="1" applyAlignment="1">
      <alignment horizontal="right" vertical="center" wrapText="1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39" fillId="0" borderId="0" xfId="0" applyFont="1" applyAlignment="1">
      <alignment horizontal="center" vertical="center"/>
    </xf>
    <xf numFmtId="14" fontId="39" fillId="0" borderId="0" xfId="0" applyNumberFormat="1" applyFont="1" applyAlignment="1">
      <alignment horizontal="center" vertical="center"/>
    </xf>
    <xf numFmtId="164" fontId="39" fillId="0" borderId="0" xfId="0" applyNumberFormat="1" applyFont="1" applyAlignment="1">
      <alignment horizontal="center" vertical="center"/>
    </xf>
    <xf numFmtId="4" fontId="39" fillId="0" borderId="0" xfId="0" applyNumberFormat="1" applyFont="1" applyAlignment="1">
      <alignment horizontal="center" vertical="center"/>
    </xf>
    <xf numFmtId="165" fontId="39" fillId="0" borderId="0" xfId="1" applyNumberFormat="1" applyFont="1" applyAlignment="1">
      <alignment horizontal="center"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8" fillId="0" borderId="0" xfId="0" applyFont="1" applyAlignment="1">
      <alignment horizontal="center" vertical="center"/>
    </xf>
    <xf numFmtId="4" fontId="38" fillId="0" borderId="0" xfId="0" applyNumberFormat="1" applyFont="1" applyAlignment="1">
      <alignment horizontal="center" vertical="center"/>
    </xf>
    <xf numFmtId="14" fontId="38" fillId="0" borderId="0" xfId="0" applyNumberFormat="1" applyFont="1" applyAlignment="1">
      <alignment horizontal="center" vertical="center"/>
    </xf>
    <xf numFmtId="164" fontId="38" fillId="0" borderId="0" xfId="0" applyNumberFormat="1" applyFont="1" applyAlignment="1">
      <alignment horizontal="center" vertical="center"/>
    </xf>
    <xf numFmtId="165" fontId="38" fillId="0" borderId="0" xfId="1" applyNumberFormat="1" applyFont="1" applyAlignment="1">
      <alignment horizontal="center"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14" fontId="37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4" fontId="37" fillId="0" borderId="0" xfId="0" applyNumberFormat="1" applyFont="1" applyAlignment="1">
      <alignment horizontal="center" vertical="center"/>
    </xf>
    <xf numFmtId="4" fontId="37" fillId="0" borderId="0" xfId="0" applyNumberFormat="1" applyFont="1" applyAlignment="1">
      <alignment horizontal="center" vertical="center"/>
    </xf>
    <xf numFmtId="165" fontId="37" fillId="0" borderId="0" xfId="1" applyNumberFormat="1" applyFont="1" applyAlignment="1">
      <alignment horizontal="center"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14" fontId="35" fillId="0" borderId="0" xfId="0" applyNumberFormat="1" applyFont="1" applyFill="1" applyBorder="1" applyAlignment="1">
      <alignment horizontal="center" vertical="center"/>
    </xf>
    <xf numFmtId="0" fontId="35" fillId="0" borderId="0" xfId="0" applyFont="1" applyFill="1" applyBorder="1" applyAlignment="1">
      <alignment horizontal="center" vertical="center"/>
    </xf>
    <xf numFmtId="164" fontId="35" fillId="0" borderId="0" xfId="0" applyNumberFormat="1" applyFont="1" applyFill="1" applyBorder="1" applyAlignment="1">
      <alignment horizontal="center" vertical="center"/>
    </xf>
    <xf numFmtId="4" fontId="35" fillId="0" borderId="0" xfId="0" applyNumberFormat="1" applyFont="1" applyFill="1" applyBorder="1" applyAlignment="1">
      <alignment horizontal="center" vertical="center"/>
    </xf>
    <xf numFmtId="165" fontId="35" fillId="0" borderId="0" xfId="1" applyNumberFormat="1" applyFont="1" applyFill="1" applyBorder="1" applyAlignment="1">
      <alignment horizontal="center" vertical="center"/>
    </xf>
    <xf numFmtId="14" fontId="34" fillId="0" borderId="0" xfId="0" applyNumberFormat="1" applyFont="1" applyBorder="1" applyAlignment="1">
      <alignment horizontal="center" vertical="center"/>
    </xf>
    <xf numFmtId="164" fontId="34" fillId="0" borderId="0" xfId="0" applyNumberFormat="1" applyFont="1" applyBorder="1" applyAlignment="1">
      <alignment horizontal="center" vertical="center"/>
    </xf>
    <xf numFmtId="4" fontId="34" fillId="0" borderId="0" xfId="0" applyNumberFormat="1" applyFont="1" applyBorder="1" applyAlignment="1">
      <alignment horizontal="center" vertical="center"/>
    </xf>
    <xf numFmtId="165" fontId="34" fillId="0" borderId="0" xfId="1" applyNumberFormat="1" applyFont="1" applyBorder="1" applyAlignment="1">
      <alignment horizontal="center" vertical="center"/>
    </xf>
    <xf numFmtId="0" fontId="34" fillId="0" borderId="0" xfId="0" applyFont="1" applyFill="1" applyBorder="1" applyAlignment="1">
      <alignment horizontal="center"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/>
    <xf numFmtId="0" fontId="30" fillId="0" borderId="0" xfId="0" applyFont="1" applyAlignment="1">
      <alignment horizontal="center" vertical="center"/>
    </xf>
    <xf numFmtId="165" fontId="30" fillId="0" borderId="0" xfId="1" applyNumberFormat="1" applyFont="1" applyAlignment="1">
      <alignment horizontal="center" vertical="center"/>
    </xf>
    <xf numFmtId="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vertical="center"/>
    </xf>
    <xf numFmtId="3" fontId="30" fillId="0" borderId="0" xfId="0" applyNumberFormat="1" applyFont="1" applyAlignment="1">
      <alignment horizontal="center" vertical="center"/>
    </xf>
    <xf numFmtId="165" fontId="30" fillId="0" borderId="0" xfId="0" applyNumberFormat="1" applyFont="1" applyAlignment="1">
      <alignment horizontal="center" vertical="center"/>
    </xf>
    <xf numFmtId="4" fontId="30" fillId="0" borderId="0" xfId="1" applyNumberFormat="1" applyFont="1" applyAlignment="1">
      <alignment horizontal="center" vertical="center"/>
    </xf>
    <xf numFmtId="4" fontId="30" fillId="0" borderId="0" xfId="0" applyNumberFormat="1" applyFont="1" applyAlignment="1">
      <alignment horizontal="center" vertical="top"/>
    </xf>
    <xf numFmtId="0" fontId="29" fillId="0" borderId="0" xfId="0" applyFont="1" applyAlignment="1">
      <alignment horizontal="center" vertical="center"/>
    </xf>
    <xf numFmtId="165" fontId="30" fillId="3" borderId="0" xfId="1" applyNumberFormat="1" applyFont="1" applyFill="1" applyAlignment="1">
      <alignment horizontal="center" vertical="center"/>
    </xf>
    <xf numFmtId="3" fontId="30" fillId="0" borderId="0" xfId="1" applyNumberFormat="1" applyFont="1" applyAlignment="1">
      <alignment horizontal="center"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8" fillId="0" borderId="0" xfId="0" applyFont="1"/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4" fontId="26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4" fontId="26" fillId="0" borderId="0" xfId="0" applyNumberFormat="1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vertical="center"/>
    </xf>
    <xf numFmtId="3" fontId="25" fillId="0" borderId="0" xfId="0" applyNumberFormat="1" applyFont="1" applyAlignment="1">
      <alignment vertical="center"/>
    </xf>
    <xf numFmtId="3" fontId="25" fillId="0" borderId="0" xfId="0" applyNumberFormat="1" applyFont="1" applyBorder="1" applyAlignment="1">
      <alignment vertical="center"/>
    </xf>
    <xf numFmtId="4" fontId="25" fillId="0" borderId="0" xfId="0" applyNumberFormat="1" applyFont="1" applyAlignment="1">
      <alignment vertical="center"/>
    </xf>
    <xf numFmtId="4" fontId="25" fillId="0" borderId="0" xfId="0" applyNumberFormat="1" applyFont="1" applyAlignment="1">
      <alignment horizontal="center" vertical="center"/>
    </xf>
    <xf numFmtId="0" fontId="178" fillId="3" borderId="0" xfId="0" applyFont="1" applyFill="1" applyAlignment="1">
      <alignment horizontal="center" vertical="center" wrapText="1"/>
    </xf>
    <xf numFmtId="0" fontId="178" fillId="0" borderId="0" xfId="0" applyFont="1" applyAlignment="1">
      <alignment horizontal="center" vertical="top" wrapText="1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4" fontId="24" fillId="0" borderId="0" xfId="0" applyNumberFormat="1" applyFont="1" applyAlignment="1">
      <alignment horizontal="center" vertical="center"/>
    </xf>
    <xf numFmtId="4" fontId="23" fillId="0" borderId="0" xfId="0" applyNumberFormat="1" applyFont="1" applyAlignment="1">
      <alignment horizontal="center"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3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0" fontId="21" fillId="0" borderId="0" xfId="0" applyFont="1" applyAlignment="1">
      <alignment vertical="center"/>
    </xf>
    <xf numFmtId="3" fontId="21" fillId="0" borderId="0" xfId="0" applyNumberFormat="1" applyFont="1" applyAlignment="1">
      <alignment vertical="center"/>
    </xf>
    <xf numFmtId="4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14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4" fontId="20" fillId="0" borderId="0" xfId="0" applyNumberFormat="1" applyFont="1" applyFill="1" applyAlignment="1">
      <alignment vertical="center"/>
    </xf>
    <xf numFmtId="0" fontId="19" fillId="0" borderId="0" xfId="0" applyFont="1" applyAlignment="1">
      <alignment horizontal="center"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3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3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3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3" fontId="11" fillId="0" borderId="0" xfId="0" applyNumberFormat="1" applyFont="1" applyAlignment="1">
      <alignment vertical="center"/>
    </xf>
    <xf numFmtId="4" fontId="10" fillId="0" borderId="0" xfId="0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3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8" fontId="191" fillId="15" borderId="1" xfId="0" applyNumberFormat="1" applyFont="1" applyFill="1" applyBorder="1" applyAlignment="1">
      <alignment horizontal="right" vertical="center" wrapText="1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4" fontId="4" fillId="0" borderId="0" xfId="0" applyNumberFormat="1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192" fillId="15" borderId="1" xfId="0" applyFont="1" applyFill="1" applyBorder="1" applyAlignment="1">
      <alignment horizontal="center" vertical="center" wrapText="1"/>
    </xf>
    <xf numFmtId="0" fontId="192" fillId="15" borderId="1" xfId="0" applyFont="1" applyFill="1" applyBorder="1" applyAlignment="1">
      <alignment vertical="center" wrapText="1"/>
    </xf>
    <xf numFmtId="22" fontId="192" fillId="15" borderId="1" xfId="0" applyNumberFormat="1" applyFont="1" applyFill="1" applyBorder="1" applyAlignment="1">
      <alignment horizontal="center" vertical="center" wrapText="1"/>
    </xf>
    <xf numFmtId="8" fontId="193" fillId="15" borderId="1" xfId="0" applyNumberFormat="1" applyFont="1" applyFill="1" applyBorder="1" applyAlignment="1">
      <alignment horizontal="right" vertical="center" wrapText="1"/>
    </xf>
    <xf numFmtId="0" fontId="177" fillId="16" borderId="0" xfId="0" applyFont="1" applyFill="1"/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0" fontId="2" fillId="0" borderId="0" xfId="0" pivotButton="1" applyFont="1"/>
    <xf numFmtId="0" fontId="2" fillId="0" borderId="0" xfId="0" applyFont="1"/>
    <xf numFmtId="0" fontId="2" fillId="0" borderId="0" xfId="0" applyFont="1" applyAlignment="1">
      <alignment horizontal="left"/>
    </xf>
    <xf numFmtId="4" fontId="2" fillId="0" borderId="0" xfId="0" applyNumberFormat="1" applyFont="1"/>
    <xf numFmtId="0" fontId="2" fillId="0" borderId="0" xfId="0" applyFont="1" applyAlignment="1">
      <alignment horizontal="left" indent="1"/>
    </xf>
    <xf numFmtId="14" fontId="2" fillId="0" borderId="0" xfId="0" applyNumberFormat="1" applyFont="1" applyAlignment="1">
      <alignment horizontal="left"/>
    </xf>
    <xf numFmtId="165" fontId="2" fillId="0" borderId="0" xfId="0" applyNumberFormat="1" applyFont="1"/>
    <xf numFmtId="3" fontId="2" fillId="0" borderId="0" xfId="0" applyNumberFormat="1" applyFont="1"/>
    <xf numFmtId="0" fontId="2" fillId="0" borderId="0" xfId="0" pivotButton="1" applyFont="1" applyAlignment="1">
      <alignment vertical="center"/>
    </xf>
    <xf numFmtId="0" fontId="2" fillId="0" borderId="0" xfId="0" applyFont="1" applyAlignment="1">
      <alignment horizontal="left" vertical="center"/>
    </xf>
    <xf numFmtId="4" fontId="2" fillId="0" borderId="0" xfId="0" applyNumberFormat="1" applyFont="1" applyAlignment="1">
      <alignment horizontal="left" vertical="center" indent="1"/>
    </xf>
    <xf numFmtId="165" fontId="2" fillId="0" borderId="0" xfId="0" applyNumberFormat="1" applyFont="1" applyAlignment="1">
      <alignment vertical="center"/>
    </xf>
    <xf numFmtId="0" fontId="2" fillId="0" borderId="0" xfId="0" applyFont="1" applyFill="1" applyAlignment="1">
      <alignment horizontal="left" vertical="center"/>
    </xf>
    <xf numFmtId="4" fontId="2" fillId="0" borderId="0" xfId="0" applyNumberFormat="1" applyFont="1" applyFill="1" applyAlignment="1">
      <alignment horizontal="left" vertical="center"/>
    </xf>
    <xf numFmtId="165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horizontal="left"/>
    </xf>
    <xf numFmtId="16" fontId="2" fillId="0" borderId="0" xfId="0" applyNumberFormat="1" applyFont="1"/>
    <xf numFmtId="0" fontId="178" fillId="0" borderId="4" xfId="4" applyFont="1" applyBorder="1" applyAlignment="1">
      <alignment horizontal="center" vertical="center"/>
    </xf>
    <xf numFmtId="0" fontId="178" fillId="0" borderId="6" xfId="4" applyFont="1" applyBorder="1" applyAlignment="1">
      <alignment horizontal="center" vertical="center"/>
    </xf>
    <xf numFmtId="0" fontId="188" fillId="14" borderId="4" xfId="4" applyFont="1" applyFill="1" applyBorder="1" applyAlignment="1">
      <alignment horizontal="center" vertical="center"/>
    </xf>
    <xf numFmtId="0" fontId="188" fillId="14" borderId="6" xfId="4" applyFont="1" applyFill="1" applyBorder="1" applyAlignment="1">
      <alignment horizontal="center" vertical="center"/>
    </xf>
    <xf numFmtId="0" fontId="178" fillId="0" borderId="2" xfId="0" applyFont="1" applyBorder="1" applyAlignment="1">
      <alignment horizontal="center" vertical="center"/>
    </xf>
    <xf numFmtId="0" fontId="178" fillId="0" borderId="0" xfId="0" applyFont="1" applyBorder="1" applyAlignment="1">
      <alignment horizontal="center" vertical="center"/>
    </xf>
    <xf numFmtId="0" fontId="178" fillId="0" borderId="3" xfId="0" applyFont="1" applyBorder="1" applyAlignment="1">
      <alignment horizontal="center" vertical="center"/>
    </xf>
    <xf numFmtId="0" fontId="156" fillId="0" borderId="13" xfId="0" applyFont="1" applyBorder="1" applyAlignment="1">
      <alignment horizontal="center" vertical="center"/>
    </xf>
    <xf numFmtId="0" fontId="176" fillId="0" borderId="0" xfId="0" applyFont="1" applyBorder="1" applyAlignment="1">
      <alignment horizontal="center" vertical="center"/>
    </xf>
    <xf numFmtId="0" fontId="176" fillId="0" borderId="14" xfId="0" applyFont="1" applyBorder="1" applyAlignment="1">
      <alignment horizontal="center" vertical="center"/>
    </xf>
    <xf numFmtId="0" fontId="156" fillId="0" borderId="0" xfId="0" applyFont="1" applyBorder="1" applyAlignment="1">
      <alignment horizontal="center" vertical="center"/>
    </xf>
    <xf numFmtId="0" fontId="156" fillId="0" borderId="14" xfId="0" applyFont="1" applyBorder="1" applyAlignment="1">
      <alignment horizontal="center" vertical="center"/>
    </xf>
    <xf numFmtId="170" fontId="59" fillId="0" borderId="0" xfId="0" applyNumberFormat="1" applyFont="1" applyAlignment="1">
      <alignment vertical="center"/>
    </xf>
    <xf numFmtId="170" fontId="177" fillId="0" borderId="0" xfId="0" applyNumberFormat="1" applyFont="1" applyAlignment="1">
      <alignment vertical="center"/>
    </xf>
    <xf numFmtId="170" fontId="177" fillId="0" borderId="0" xfId="0" applyNumberFormat="1" applyFont="1" applyBorder="1" applyAlignment="1">
      <alignment vertical="center"/>
    </xf>
    <xf numFmtId="170" fontId="181" fillId="0" borderId="0" xfId="0" applyNumberFormat="1" applyFont="1" applyAlignment="1">
      <alignment vertical="center"/>
    </xf>
    <xf numFmtId="170" fontId="175" fillId="0" borderId="0" xfId="0" applyNumberFormat="1" applyFont="1" applyAlignment="1">
      <alignment vertical="center"/>
    </xf>
    <xf numFmtId="170" fontId="173" fillId="0" borderId="0" xfId="0" applyNumberFormat="1" applyFont="1" applyAlignment="1">
      <alignment vertical="center"/>
    </xf>
    <xf numFmtId="170" fontId="172" fillId="0" borderId="0" xfId="0" applyNumberFormat="1" applyFont="1" applyAlignment="1">
      <alignment vertical="center"/>
    </xf>
    <xf numFmtId="170" fontId="171" fillId="0" borderId="0" xfId="0" applyNumberFormat="1" applyFont="1" applyAlignment="1">
      <alignment vertical="center"/>
    </xf>
    <xf numFmtId="170" fontId="169" fillId="0" borderId="0" xfId="0" applyNumberFormat="1" applyFont="1" applyAlignment="1">
      <alignment vertical="center"/>
    </xf>
    <xf numFmtId="170" fontId="168" fillId="0" borderId="0" xfId="0" applyNumberFormat="1" applyFont="1" applyAlignment="1">
      <alignment vertical="center"/>
    </xf>
    <xf numFmtId="170" fontId="166" fillId="0" borderId="0" xfId="0" applyNumberFormat="1" applyFont="1" applyAlignment="1">
      <alignment vertical="center"/>
    </xf>
    <xf numFmtId="170" fontId="165" fillId="0" borderId="0" xfId="0" applyNumberFormat="1" applyFont="1" applyAlignment="1">
      <alignment vertical="center"/>
    </xf>
    <xf numFmtId="170" fontId="162" fillId="0" borderId="0" xfId="0" applyNumberFormat="1" applyFont="1" applyAlignment="1">
      <alignment vertical="center"/>
    </xf>
    <xf numFmtId="170" fontId="160" fillId="0" borderId="0" xfId="0" applyNumberFormat="1" applyFont="1" applyAlignment="1">
      <alignment vertical="center"/>
    </xf>
    <xf numFmtId="170" fontId="159" fillId="0" borderId="0" xfId="0" applyNumberFormat="1" applyFont="1" applyAlignment="1">
      <alignment vertical="center"/>
    </xf>
    <xf numFmtId="170" fontId="157" fillId="0" borderId="0" xfId="0" applyNumberFormat="1" applyFont="1" applyAlignment="1">
      <alignment vertical="center"/>
    </xf>
    <xf numFmtId="170" fontId="155" fillId="0" borderId="0" xfId="0" applyNumberFormat="1" applyFont="1" applyAlignment="1">
      <alignment vertical="center"/>
    </xf>
    <xf numFmtId="170" fontId="152" fillId="0" borderId="0" xfId="0" applyNumberFormat="1" applyFont="1" applyAlignment="1">
      <alignment vertical="center"/>
    </xf>
    <xf numFmtId="170" fontId="151" fillId="0" borderId="0" xfId="0" applyNumberFormat="1" applyFont="1" applyAlignment="1">
      <alignment vertical="center"/>
    </xf>
    <xf numFmtId="170" fontId="150" fillId="0" borderId="0" xfId="0" applyNumberFormat="1" applyFont="1" applyAlignment="1">
      <alignment vertical="center"/>
    </xf>
    <xf numFmtId="170" fontId="149" fillId="0" borderId="0" xfId="0" applyNumberFormat="1" applyFont="1" applyAlignment="1">
      <alignment vertical="center"/>
    </xf>
    <xf numFmtId="170" fontId="148" fillId="0" borderId="0" xfId="0" applyNumberFormat="1" applyFont="1" applyAlignment="1">
      <alignment vertical="center"/>
    </xf>
    <xf numFmtId="170" fontId="146" fillId="0" borderId="0" xfId="0" applyNumberFormat="1" applyFont="1" applyAlignment="1">
      <alignment vertical="center"/>
    </xf>
    <xf numFmtId="170" fontId="145" fillId="0" borderId="0" xfId="0" applyNumberFormat="1" applyFont="1" applyAlignment="1">
      <alignment vertical="center"/>
    </xf>
    <xf numFmtId="170" fontId="144" fillId="0" borderId="0" xfId="0" applyNumberFormat="1" applyFont="1" applyAlignment="1">
      <alignment vertical="center"/>
    </xf>
    <xf numFmtId="170" fontId="143" fillId="0" borderId="0" xfId="0" applyNumberFormat="1" applyFont="1" applyAlignment="1">
      <alignment vertical="center"/>
    </xf>
    <xf numFmtId="170" fontId="142" fillId="0" borderId="0" xfId="0" applyNumberFormat="1" applyFont="1" applyAlignment="1">
      <alignment vertical="center"/>
    </xf>
    <xf numFmtId="170" fontId="141" fillId="0" borderId="0" xfId="0" applyNumberFormat="1" applyFont="1" applyAlignment="1">
      <alignment vertical="center"/>
    </xf>
    <xf numFmtId="170" fontId="140" fillId="0" borderId="0" xfId="0" applyNumberFormat="1" applyFont="1" applyAlignment="1">
      <alignment vertical="center"/>
    </xf>
    <xf numFmtId="170" fontId="139" fillId="0" borderId="0" xfId="0" applyNumberFormat="1" applyFont="1" applyAlignment="1">
      <alignment vertical="center"/>
    </xf>
    <xf numFmtId="170" fontId="138" fillId="0" borderId="0" xfId="0" applyNumberFormat="1" applyFont="1" applyAlignment="1">
      <alignment vertical="center"/>
    </xf>
    <xf numFmtId="170" fontId="137" fillId="0" borderId="0" xfId="0" applyNumberFormat="1" applyFont="1" applyAlignment="1">
      <alignment vertical="center"/>
    </xf>
    <xf numFmtId="170" fontId="136" fillId="0" borderId="0" xfId="0" applyNumberFormat="1" applyFont="1" applyAlignment="1">
      <alignment vertical="center"/>
    </xf>
    <xf numFmtId="170" fontId="134" fillId="0" borderId="0" xfId="0" applyNumberFormat="1" applyFont="1" applyAlignment="1">
      <alignment vertical="center"/>
    </xf>
    <xf numFmtId="170" fontId="132" fillId="0" borderId="0" xfId="0" applyNumberFormat="1" applyFont="1" applyAlignment="1">
      <alignment vertical="center"/>
    </xf>
    <xf numFmtId="170" fontId="131" fillId="0" borderId="0" xfId="0" applyNumberFormat="1" applyFont="1" applyAlignment="1">
      <alignment vertical="center"/>
    </xf>
    <xf numFmtId="170" fontId="129" fillId="0" borderId="0" xfId="0" applyNumberFormat="1" applyFont="1" applyAlignment="1">
      <alignment vertical="center"/>
    </xf>
    <xf numFmtId="170" fontId="127" fillId="0" borderId="0" xfId="0" applyNumberFormat="1" applyFont="1" applyAlignment="1">
      <alignment vertical="center"/>
    </xf>
    <xf numFmtId="170" fontId="126" fillId="0" borderId="0" xfId="0" applyNumberFormat="1" applyFont="1" applyAlignment="1">
      <alignment vertical="center"/>
    </xf>
    <xf numFmtId="170" fontId="125" fillId="0" borderId="0" xfId="0" applyNumberFormat="1" applyFont="1" applyAlignment="1">
      <alignment vertical="center"/>
    </xf>
    <xf numFmtId="170" fontId="123" fillId="0" borderId="0" xfId="0" applyNumberFormat="1" applyFont="1" applyAlignment="1">
      <alignment vertical="center"/>
    </xf>
    <xf numFmtId="170" fontId="122" fillId="0" borderId="0" xfId="0" applyNumberFormat="1" applyFont="1" applyAlignment="1">
      <alignment vertical="center"/>
    </xf>
    <xf numFmtId="170" fontId="121" fillId="0" borderId="0" xfId="0" applyNumberFormat="1" applyFont="1" applyAlignment="1">
      <alignment vertical="center"/>
    </xf>
    <xf numFmtId="170" fontId="119" fillId="0" borderId="0" xfId="0" applyNumberFormat="1" applyFont="1" applyAlignment="1">
      <alignment vertical="center"/>
    </xf>
    <xf numFmtId="170" fontId="118" fillId="0" borderId="0" xfId="0" applyNumberFormat="1" applyFont="1" applyAlignment="1">
      <alignment vertical="center"/>
    </xf>
    <xf numFmtId="170" fontId="117" fillId="0" borderId="0" xfId="0" applyNumberFormat="1" applyFont="1" applyAlignment="1">
      <alignment vertical="center"/>
    </xf>
    <xf numFmtId="170" fontId="116" fillId="0" borderId="0" xfId="0" applyNumberFormat="1" applyFont="1" applyAlignment="1">
      <alignment vertical="center"/>
    </xf>
    <xf numFmtId="170" fontId="115" fillId="0" borderId="0" xfId="0" applyNumberFormat="1" applyFont="1" applyAlignment="1">
      <alignment vertical="center"/>
    </xf>
    <xf numFmtId="170" fontId="114" fillId="0" borderId="0" xfId="0" applyNumberFormat="1" applyFont="1" applyAlignment="1">
      <alignment vertical="center"/>
    </xf>
    <xf numFmtId="170" fontId="113" fillId="0" borderId="0" xfId="0" applyNumberFormat="1" applyFont="1" applyAlignment="1">
      <alignment vertical="center"/>
    </xf>
    <xf numFmtId="170" fontId="112" fillId="0" borderId="0" xfId="0" applyNumberFormat="1" applyFont="1" applyAlignment="1">
      <alignment vertical="center"/>
    </xf>
    <xf numFmtId="170" fontId="111" fillId="0" borderId="0" xfId="0" applyNumberFormat="1" applyFont="1" applyAlignment="1">
      <alignment vertical="center"/>
    </xf>
    <xf numFmtId="170" fontId="110" fillId="0" borderId="0" xfId="0" applyNumberFormat="1" applyFont="1" applyAlignment="1">
      <alignment vertical="center"/>
    </xf>
    <xf numFmtId="170" fontId="109" fillId="0" borderId="0" xfId="0" applyNumberFormat="1" applyFont="1" applyAlignment="1">
      <alignment vertical="center"/>
    </xf>
    <xf numFmtId="170" fontId="108" fillId="0" borderId="0" xfId="0" applyNumberFormat="1" applyFont="1" applyAlignment="1">
      <alignment vertical="center"/>
    </xf>
    <xf numFmtId="170" fontId="107" fillId="0" borderId="0" xfId="0" applyNumberFormat="1" applyFont="1" applyAlignment="1">
      <alignment vertical="center"/>
    </xf>
    <xf numFmtId="170" fontId="106" fillId="0" borderId="0" xfId="0" applyNumberFormat="1" applyFont="1" applyAlignment="1">
      <alignment vertical="center"/>
    </xf>
    <xf numFmtId="170" fontId="105" fillId="0" borderId="0" xfId="0" applyNumberFormat="1" applyFont="1" applyAlignment="1">
      <alignment vertical="center"/>
    </xf>
    <xf numFmtId="170" fontId="104" fillId="0" borderId="0" xfId="0" applyNumberFormat="1" applyFont="1" applyAlignment="1">
      <alignment vertical="center"/>
    </xf>
    <xf numFmtId="170" fontId="103" fillId="0" borderId="0" xfId="0" applyNumberFormat="1" applyFont="1" applyAlignment="1">
      <alignment vertical="center"/>
    </xf>
    <xf numFmtId="170" fontId="102" fillId="0" borderId="0" xfId="0" applyNumberFormat="1" applyFont="1" applyAlignment="1">
      <alignment vertical="center"/>
    </xf>
    <xf numFmtId="170" fontId="101" fillId="0" borderId="0" xfId="0" applyNumberFormat="1" applyFont="1" applyAlignment="1">
      <alignment vertical="center"/>
    </xf>
    <xf numFmtId="170" fontId="100" fillId="0" borderId="0" xfId="0" applyNumberFormat="1" applyFont="1" applyAlignment="1">
      <alignment vertical="center"/>
    </xf>
    <xf numFmtId="170" fontId="99" fillId="0" borderId="0" xfId="0" applyNumberFormat="1" applyFont="1" applyAlignment="1">
      <alignment vertical="center"/>
    </xf>
    <xf numFmtId="170" fontId="99" fillId="0" borderId="0" xfId="0" applyNumberFormat="1" applyFont="1" applyBorder="1" applyAlignment="1">
      <alignment vertical="center"/>
    </xf>
    <xf numFmtId="170" fontId="98" fillId="0" borderId="0" xfId="0" applyNumberFormat="1" applyFont="1" applyAlignment="1">
      <alignment vertical="center"/>
    </xf>
    <xf numFmtId="170" fontId="97" fillId="0" borderId="0" xfId="0" applyNumberFormat="1" applyFont="1" applyAlignment="1">
      <alignment vertical="center"/>
    </xf>
    <xf numFmtId="170" fontId="96" fillId="0" borderId="0" xfId="0" applyNumberFormat="1" applyFont="1" applyAlignment="1">
      <alignment vertical="center"/>
    </xf>
    <xf numFmtId="170" fontId="95" fillId="0" borderId="0" xfId="0" applyNumberFormat="1" applyFont="1" applyAlignment="1">
      <alignment vertical="center"/>
    </xf>
    <xf numFmtId="170" fontId="92" fillId="0" borderId="0" xfId="0" applyNumberFormat="1" applyFont="1" applyAlignment="1">
      <alignment vertical="center"/>
    </xf>
    <xf numFmtId="170" fontId="91" fillId="0" borderId="0" xfId="0" applyNumberFormat="1" applyFont="1" applyAlignment="1">
      <alignment vertical="center"/>
    </xf>
    <xf numFmtId="170" fontId="90" fillId="0" borderId="0" xfId="0" applyNumberFormat="1" applyFont="1" applyAlignment="1">
      <alignment vertical="center"/>
    </xf>
    <xf numFmtId="170" fontId="89" fillId="0" borderId="0" xfId="0" applyNumberFormat="1" applyFont="1" applyAlignment="1">
      <alignment vertical="center"/>
    </xf>
    <xf numFmtId="170" fontId="88" fillId="0" borderId="0" xfId="0" applyNumberFormat="1" applyFont="1" applyAlignment="1">
      <alignment vertical="center"/>
    </xf>
    <xf numFmtId="170" fontId="87" fillId="0" borderId="0" xfId="0" applyNumberFormat="1" applyFont="1" applyAlignment="1">
      <alignment vertical="center"/>
    </xf>
    <xf numFmtId="170" fontId="86" fillId="0" borderId="0" xfId="0" applyNumberFormat="1" applyFont="1" applyAlignment="1">
      <alignment vertical="center"/>
    </xf>
    <xf numFmtId="170" fontId="85" fillId="0" borderId="0" xfId="0" applyNumberFormat="1" applyFont="1" applyAlignment="1">
      <alignment vertical="center"/>
    </xf>
    <xf numFmtId="170" fontId="83" fillId="0" borderId="0" xfId="0" applyNumberFormat="1" applyFont="1" applyAlignment="1">
      <alignment vertical="center"/>
    </xf>
    <xf numFmtId="170" fontId="79" fillId="0" borderId="0" xfId="0" applyNumberFormat="1" applyFont="1" applyAlignment="1">
      <alignment vertical="center"/>
    </xf>
    <xf numFmtId="170" fontId="75" fillId="0" borderId="0" xfId="0" applyNumberFormat="1" applyFont="1" applyAlignment="1">
      <alignment vertical="center"/>
    </xf>
    <xf numFmtId="170" fontId="73" fillId="0" borderId="0" xfId="0" applyNumberFormat="1" applyFont="1" applyAlignment="1">
      <alignment vertical="center"/>
    </xf>
    <xf numFmtId="170" fontId="72" fillId="0" borderId="0" xfId="0" applyNumberFormat="1" applyFont="1" applyAlignment="1">
      <alignment vertical="center"/>
    </xf>
    <xf numFmtId="170" fontId="71" fillId="0" borderId="0" xfId="0" applyNumberFormat="1" applyFont="1" applyAlignment="1">
      <alignment vertical="center"/>
    </xf>
    <xf numFmtId="170" fontId="70" fillId="0" borderId="0" xfId="0" applyNumberFormat="1" applyFont="1" applyAlignment="1">
      <alignment vertical="center"/>
    </xf>
    <xf numFmtId="170" fontId="69" fillId="0" borderId="0" xfId="0" applyNumberFormat="1" applyFont="1" applyAlignment="1">
      <alignment vertical="center"/>
    </xf>
    <xf numFmtId="170" fontId="68" fillId="0" borderId="0" xfId="0" applyNumberFormat="1" applyFont="1" applyAlignment="1">
      <alignment vertical="center"/>
    </xf>
    <xf numFmtId="170" fontId="67" fillId="0" borderId="0" xfId="0" applyNumberFormat="1" applyFont="1" applyAlignment="1">
      <alignment vertical="center"/>
    </xf>
    <xf numFmtId="170" fontId="66" fillId="0" borderId="0" xfId="0" applyNumberFormat="1" applyFont="1" applyAlignment="1">
      <alignment vertical="center"/>
    </xf>
    <xf numFmtId="170" fontId="64" fillId="0" borderId="0" xfId="0" applyNumberFormat="1" applyFont="1" applyAlignment="1">
      <alignment vertical="center"/>
    </xf>
    <xf numFmtId="170" fontId="63" fillId="0" borderId="0" xfId="0" applyNumberFormat="1" applyFont="1" applyAlignment="1">
      <alignment vertical="center"/>
    </xf>
    <xf numFmtId="170" fontId="62" fillId="0" borderId="0" xfId="0" applyNumberFormat="1" applyFont="1" applyAlignment="1">
      <alignment vertical="center"/>
    </xf>
    <xf numFmtId="170" fontId="61" fillId="0" borderId="0" xfId="0" applyNumberFormat="1" applyFont="1" applyAlignment="1">
      <alignment vertical="center"/>
    </xf>
    <xf numFmtId="170" fontId="60" fillId="0" borderId="0" xfId="0" applyNumberFormat="1" applyFont="1" applyAlignment="1">
      <alignment vertical="center"/>
    </xf>
    <xf numFmtId="170" fontId="187" fillId="0" borderId="0" xfId="0" applyNumberFormat="1" applyFont="1" applyAlignment="1">
      <alignment vertical="center"/>
    </xf>
    <xf numFmtId="170" fontId="58" fillId="0" borderId="0" xfId="0" applyNumberFormat="1" applyFont="1" applyAlignment="1">
      <alignment vertical="center"/>
    </xf>
    <xf numFmtId="170" fontId="54" fillId="0" borderId="0" xfId="0" applyNumberFormat="1" applyFont="1" applyAlignment="1">
      <alignment vertical="center"/>
    </xf>
    <xf numFmtId="170" fontId="53" fillId="0" borderId="0" xfId="0" applyNumberFormat="1" applyFont="1" applyAlignment="1">
      <alignment vertical="center"/>
    </xf>
    <xf numFmtId="170" fontId="52" fillId="0" borderId="0" xfId="0" applyNumberFormat="1" applyFont="1" applyAlignment="1">
      <alignment vertical="center"/>
    </xf>
    <xf numFmtId="170" fontId="51" fillId="0" borderId="0" xfId="0" applyNumberFormat="1" applyFont="1" applyAlignment="1">
      <alignment vertical="center"/>
    </xf>
    <xf numFmtId="170" fontId="50" fillId="0" borderId="0" xfId="0" applyNumberFormat="1" applyFont="1" applyAlignment="1">
      <alignment vertical="center"/>
    </xf>
    <xf numFmtId="170" fontId="49" fillId="0" borderId="0" xfId="0" applyNumberFormat="1" applyFont="1" applyAlignment="1">
      <alignment vertical="center"/>
    </xf>
    <xf numFmtId="170" fontId="48" fillId="0" borderId="0" xfId="0" applyNumberFormat="1" applyFont="1" applyAlignment="1">
      <alignment vertical="center"/>
    </xf>
    <xf numFmtId="170" fontId="47" fillId="0" borderId="0" xfId="0" applyNumberFormat="1" applyFont="1" applyAlignment="1">
      <alignment vertical="center"/>
    </xf>
    <xf numFmtId="170" fontId="46" fillId="0" borderId="0" xfId="0" applyNumberFormat="1" applyFont="1" applyAlignment="1">
      <alignment vertical="center"/>
    </xf>
    <xf numFmtId="170" fontId="45" fillId="0" borderId="0" xfId="0" applyNumberFormat="1" applyFont="1" applyAlignment="1">
      <alignment vertical="center"/>
    </xf>
    <xf numFmtId="170" fontId="44" fillId="0" borderId="0" xfId="0" applyNumberFormat="1" applyFont="1" applyAlignment="1">
      <alignment vertical="center"/>
    </xf>
    <xf numFmtId="170" fontId="43" fillId="0" borderId="0" xfId="0" applyNumberFormat="1" applyFont="1" applyAlignment="1">
      <alignment vertical="center"/>
    </xf>
    <xf numFmtId="170" fontId="42" fillId="0" borderId="0" xfId="0" applyNumberFormat="1" applyFont="1" applyAlignment="1">
      <alignment vertical="center"/>
    </xf>
    <xf numFmtId="170" fontId="41" fillId="0" borderId="0" xfId="0" applyNumberFormat="1" applyFont="1" applyAlignment="1">
      <alignment vertical="center"/>
    </xf>
    <xf numFmtId="170" fontId="40" fillId="0" borderId="0" xfId="0" applyNumberFormat="1" applyFont="1" applyAlignment="1">
      <alignment vertical="center"/>
    </xf>
    <xf numFmtId="170" fontId="39" fillId="0" borderId="0" xfId="0" applyNumberFormat="1" applyFont="1" applyAlignment="1">
      <alignment vertical="center"/>
    </xf>
    <xf numFmtId="170" fontId="38" fillId="0" borderId="0" xfId="0" applyNumberFormat="1" applyFont="1" applyAlignment="1">
      <alignment vertical="center"/>
    </xf>
    <xf numFmtId="170" fontId="37" fillId="0" borderId="0" xfId="0" applyNumberFormat="1" applyFont="1" applyAlignment="1">
      <alignment vertical="center"/>
    </xf>
    <xf numFmtId="170" fontId="36" fillId="0" borderId="0" xfId="0" applyNumberFormat="1" applyFont="1" applyAlignment="1">
      <alignment vertical="center"/>
    </xf>
    <xf numFmtId="170" fontId="35" fillId="0" borderId="0" xfId="0" applyNumberFormat="1" applyFont="1" applyAlignment="1">
      <alignment vertical="center"/>
    </xf>
    <xf numFmtId="170" fontId="34" fillId="0" borderId="0" xfId="0" applyNumberFormat="1" applyFont="1" applyAlignment="1">
      <alignment vertical="center"/>
    </xf>
    <xf numFmtId="170" fontId="33" fillId="0" borderId="0" xfId="0" applyNumberFormat="1" applyFont="1" applyAlignment="1">
      <alignment vertical="center"/>
    </xf>
    <xf numFmtId="170" fontId="32" fillId="0" borderId="0" xfId="0" applyNumberFormat="1" applyFont="1" applyAlignment="1">
      <alignment vertical="center"/>
    </xf>
    <xf numFmtId="170" fontId="31" fillId="0" borderId="0" xfId="0" applyNumberFormat="1" applyFont="1" applyAlignment="1">
      <alignment vertical="center"/>
    </xf>
    <xf numFmtId="170" fontId="28" fillId="0" borderId="0" xfId="0" applyNumberFormat="1" applyFont="1" applyAlignment="1">
      <alignment vertical="center"/>
    </xf>
    <xf numFmtId="170" fontId="27" fillId="0" borderId="0" xfId="0" applyNumberFormat="1" applyFont="1" applyAlignment="1">
      <alignment vertical="center"/>
    </xf>
    <xf numFmtId="170" fontId="26" fillId="0" borderId="0" xfId="0" applyNumberFormat="1" applyFont="1" applyAlignment="1">
      <alignment vertical="center"/>
    </xf>
    <xf numFmtId="170" fontId="24" fillId="0" borderId="0" xfId="0" applyNumberFormat="1" applyFont="1" applyAlignment="1">
      <alignment vertical="center"/>
    </xf>
    <xf numFmtId="170" fontId="22" fillId="0" borderId="0" xfId="0" applyNumberFormat="1" applyFont="1" applyAlignment="1">
      <alignment vertical="center"/>
    </xf>
    <xf numFmtId="170" fontId="21" fillId="0" borderId="0" xfId="0" applyNumberFormat="1" applyFont="1" applyAlignment="1">
      <alignment vertical="center"/>
    </xf>
    <xf numFmtId="170" fontId="20" fillId="0" borderId="0" xfId="0" applyNumberFormat="1" applyFont="1" applyAlignment="1">
      <alignment vertical="center"/>
    </xf>
    <xf numFmtId="170" fontId="18" fillId="0" borderId="0" xfId="0" applyNumberFormat="1" applyFont="1" applyAlignment="1">
      <alignment vertical="center"/>
    </xf>
    <xf numFmtId="170" fontId="17" fillId="0" borderId="0" xfId="0" applyNumberFormat="1" applyFont="1" applyAlignment="1">
      <alignment vertical="center"/>
    </xf>
    <xf numFmtId="170" fontId="16" fillId="0" borderId="0" xfId="0" applyNumberFormat="1" applyFont="1" applyAlignment="1">
      <alignment vertical="center"/>
    </xf>
    <xf numFmtId="170" fontId="14" fillId="0" borderId="0" xfId="0" applyNumberFormat="1" applyFont="1" applyAlignment="1">
      <alignment vertical="center"/>
    </xf>
    <xf numFmtId="170" fontId="13" fillId="0" borderId="0" xfId="0" applyNumberFormat="1" applyFont="1" applyAlignment="1">
      <alignment vertical="center"/>
    </xf>
    <xf numFmtId="170" fontId="12" fillId="0" borderId="0" xfId="0" applyNumberFormat="1" applyFont="1" applyAlignment="1">
      <alignment vertical="center"/>
    </xf>
    <xf numFmtId="170" fontId="11" fillId="0" borderId="0" xfId="0" applyNumberFormat="1" applyFont="1" applyAlignment="1">
      <alignment vertical="center"/>
    </xf>
    <xf numFmtId="170" fontId="9" fillId="0" borderId="0" xfId="0" applyNumberFormat="1" applyFont="1" applyAlignment="1">
      <alignment vertical="center"/>
    </xf>
    <xf numFmtId="170" fontId="8" fillId="0" borderId="0" xfId="0" applyNumberFormat="1" applyFont="1" applyAlignment="1">
      <alignment vertical="center"/>
    </xf>
    <xf numFmtId="170" fontId="7" fillId="0" borderId="0" xfId="0" applyNumberFormat="1" applyFont="1" applyAlignment="1">
      <alignment vertical="center"/>
    </xf>
    <xf numFmtId="170" fontId="6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0" fontId="3" fillId="0" borderId="0" xfId="0" applyNumberFormat="1" applyFont="1" applyAlignment="1">
      <alignment vertical="center"/>
    </xf>
    <xf numFmtId="170" fontId="2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72" fontId="1" fillId="0" borderId="0" xfId="0" applyNumberFormat="1" applyFont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6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72" formatCode="[$-F400]h:mm:ss\ AM/PM"/>
      <alignment horizontal="general" vertical="center" textRotation="0" wrapText="0" indent="0" justifyLastLine="0" shrinkToFit="0" readingOrder="0"/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70" formatCode="d/m/yy\ h:mm;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Tabelas!$B$3:$B$21</c:f>
              <c:strCache>
                <c:ptCount val="18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Revalida</c:v>
                </c:pt>
                <c:pt idx="4">
                  <c:v>BnR</c:v>
                </c:pt>
                <c:pt idx="5">
                  <c:v>Sniperback</c:v>
                </c:pt>
                <c:pt idx="6">
                  <c:v>Projeto +EV</c:v>
                </c:pt>
                <c:pt idx="7">
                  <c:v>LG Zebra</c:v>
                </c:pt>
                <c:pt idx="8">
                  <c:v>Under 4,5</c:v>
                </c:pt>
                <c:pt idx="9">
                  <c:v>Lay 2x2</c:v>
                </c:pt>
                <c:pt idx="10">
                  <c:v>Longo Prazo</c:v>
                </c:pt>
                <c:pt idx="11">
                  <c:v>Botbet</c:v>
                </c:pt>
                <c:pt idx="12">
                  <c:v>LTD + 1x1</c:v>
                </c:pt>
                <c:pt idx="13">
                  <c:v>Dutching</c:v>
                </c:pt>
                <c:pt idx="14">
                  <c:v>Over Limite 2ºT</c:v>
                </c:pt>
                <c:pt idx="15">
                  <c:v>LG Favorito</c:v>
                </c:pt>
                <c:pt idx="16">
                  <c:v>Scalping Under 2,5</c:v>
                </c:pt>
                <c:pt idx="17">
                  <c:v>Lay Zebra</c:v>
                </c:pt>
              </c:strCache>
            </c:strRef>
          </c:cat>
          <c:val>
            <c:numRef>
              <c:f>Tabelas!$C$3:$C$21</c:f>
              <c:numCache>
                <c:formatCode>#,##0.00</c:formatCode>
                <c:ptCount val="18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358.90999999999985</c:v>
                </c:pt>
                <c:pt idx="4">
                  <c:v>133.67000000000002</c:v>
                </c:pt>
                <c:pt idx="5">
                  <c:v>76.600000000000009</c:v>
                </c:pt>
                <c:pt idx="6">
                  <c:v>59.400000000000006</c:v>
                </c:pt>
                <c:pt idx="7">
                  <c:v>6.3999999999999844</c:v>
                </c:pt>
                <c:pt idx="8">
                  <c:v>3.5600000000000014</c:v>
                </c:pt>
                <c:pt idx="9">
                  <c:v>-30.89</c:v>
                </c:pt>
                <c:pt idx="10">
                  <c:v>-51.85</c:v>
                </c:pt>
                <c:pt idx="11">
                  <c:v>-113.37839999999994</c:v>
                </c:pt>
                <c:pt idx="12">
                  <c:v>-132.01999999999978</c:v>
                </c:pt>
                <c:pt idx="13">
                  <c:v>-167.79</c:v>
                </c:pt>
                <c:pt idx="14">
                  <c:v>-196.35</c:v>
                </c:pt>
                <c:pt idx="15">
                  <c:v>-208.82</c:v>
                </c:pt>
                <c:pt idx="16">
                  <c:v>-209.68</c:v>
                </c:pt>
                <c:pt idx="17">
                  <c:v>-472.1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Ambos Zebra</c:v>
                  </c:pt>
                  <c:pt idx="13">
                    <c:v>Back to Bahia</c:v>
                  </c:pt>
                  <c:pt idx="14">
                    <c:v>BTTS</c:v>
                  </c:pt>
                  <c:pt idx="15">
                    <c:v>BTTS Gringo Careca</c:v>
                  </c:pt>
                  <c:pt idx="16">
                    <c:v>Cachorro Manso</c:v>
                  </c:pt>
                  <c:pt idx="17">
                    <c:v>Campeão</c:v>
                  </c:pt>
                  <c:pt idx="18">
                    <c:v>Casa</c:v>
                  </c:pt>
                  <c:pt idx="19">
                    <c:v>Curupira</c:v>
                  </c:pt>
                  <c:pt idx="20">
                    <c:v>Drakito Under</c:v>
                  </c:pt>
                  <c:pt idx="21">
                    <c:v>Free Fire</c:v>
                  </c:pt>
                  <c:pt idx="22">
                    <c:v>Freebetei 0x1</c:v>
                  </c:pt>
                  <c:pt idx="23">
                    <c:v>Freebetei 1x0</c:v>
                  </c:pt>
                  <c:pt idx="24">
                    <c:v>Freebetunder</c:v>
                  </c:pt>
                  <c:pt idx="25">
                    <c:v>HT/FT Neutro</c:v>
                  </c:pt>
                  <c:pt idx="26">
                    <c:v>LG Punter</c:v>
                  </c:pt>
                  <c:pt idx="27">
                    <c:v>LTD</c:v>
                  </c:pt>
                  <c:pt idx="28">
                    <c:v>LTD Leo Farias</c:v>
                  </c:pt>
                  <c:pt idx="29">
                    <c:v>Neutro</c:v>
                  </c:pt>
                  <c:pt idx="30">
                    <c:v>Over 0,5 FT</c:v>
                  </c:pt>
                  <c:pt idx="31">
                    <c:v>Over 1,5</c:v>
                  </c:pt>
                  <c:pt idx="32">
                    <c:v>Over 2,5</c:v>
                  </c:pt>
                  <c:pt idx="33">
                    <c:v>Over HT</c:v>
                  </c:pt>
                  <c:pt idx="34">
                    <c:v>Over Limite 0.5 T1</c:v>
                  </c:pt>
                  <c:pt idx="35">
                    <c:v>Over Limite 0.5 T2</c:v>
                  </c:pt>
                  <c:pt idx="36">
                    <c:v>Papai Smurf</c:v>
                  </c:pt>
                  <c:pt idx="37">
                    <c:v>Pessoal Super Zebra</c:v>
                  </c:pt>
                  <c:pt idx="38">
                    <c:v>Pessoal Zebra</c:v>
                  </c:pt>
                  <c:pt idx="39">
                    <c:v>Rei do Mate</c:v>
                  </c:pt>
                  <c:pt idx="40">
                    <c:v>Sniperback</c:v>
                  </c:pt>
                  <c:pt idx="41">
                    <c:v>Valida Super Zebra</c:v>
                  </c:pt>
                  <c:pt idx="42">
                    <c:v>Valida Zebra</c:v>
                  </c:pt>
                  <c:pt idx="43">
                    <c:v>Visitante</c:v>
                  </c:pt>
                  <c:pt idx="44">
                    <c:v>Vovô Smurf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5.46</c:v>
                </c:pt>
                <c:pt idx="13">
                  <c:v>-2</c:v>
                </c:pt>
                <c:pt idx="14">
                  <c:v>59.400000000000006</c:v>
                </c:pt>
                <c:pt idx="15">
                  <c:v>3.2367500000000007</c:v>
                </c:pt>
                <c:pt idx="16">
                  <c:v>5.22</c:v>
                </c:pt>
                <c:pt idx="17">
                  <c:v>-51.85</c:v>
                </c:pt>
                <c:pt idx="18">
                  <c:v>36.08</c:v>
                </c:pt>
                <c:pt idx="19">
                  <c:v>-10</c:v>
                </c:pt>
                <c:pt idx="20">
                  <c:v>-4</c:v>
                </c:pt>
                <c:pt idx="21">
                  <c:v>9.6900000000000084</c:v>
                </c:pt>
                <c:pt idx="22">
                  <c:v>-44.69</c:v>
                </c:pt>
                <c:pt idx="23">
                  <c:v>-19.214749999999995</c:v>
                </c:pt>
                <c:pt idx="24">
                  <c:v>0.71</c:v>
                </c:pt>
                <c:pt idx="25">
                  <c:v>28.3</c:v>
                </c:pt>
                <c:pt idx="26">
                  <c:v>-128.77000000000001</c:v>
                </c:pt>
                <c:pt idx="27">
                  <c:v>-621.2299999999999</c:v>
                </c:pt>
                <c:pt idx="28">
                  <c:v>2.7504</c:v>
                </c:pt>
                <c:pt idx="29">
                  <c:v>-435.7</c:v>
                </c:pt>
                <c:pt idx="30">
                  <c:v>47.75</c:v>
                </c:pt>
                <c:pt idx="31">
                  <c:v>-215.75</c:v>
                </c:pt>
                <c:pt idx="32">
                  <c:v>47.75</c:v>
                </c:pt>
                <c:pt idx="33">
                  <c:v>-2</c:v>
                </c:pt>
                <c:pt idx="34">
                  <c:v>-32.620000000000005</c:v>
                </c:pt>
                <c:pt idx="35">
                  <c:v>37.729999999999997</c:v>
                </c:pt>
                <c:pt idx="36">
                  <c:v>88.024000000000015</c:v>
                </c:pt>
                <c:pt idx="37">
                  <c:v>21.23</c:v>
                </c:pt>
                <c:pt idx="38">
                  <c:v>49.19</c:v>
                </c:pt>
                <c:pt idx="39">
                  <c:v>-62.89</c:v>
                </c:pt>
                <c:pt idx="40">
                  <c:v>2.0699999999999998</c:v>
                </c:pt>
                <c:pt idx="41">
                  <c:v>16.360000000000042</c:v>
                </c:pt>
                <c:pt idx="42">
                  <c:v>266.67</c:v>
                </c:pt>
                <c:pt idx="43">
                  <c:v>-94.379999999999967</c:v>
                </c:pt>
                <c:pt idx="44">
                  <c:v>2.0099999999999998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Valida Zebra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Ambos Zebra</c:v>
                </c:pt>
                <c:pt idx="19">
                  <c:v>Cachorro Manso</c:v>
                </c:pt>
                <c:pt idx="20">
                  <c:v>BTTS Gringo Careca</c:v>
                </c:pt>
                <c:pt idx="21">
                  <c:v>Ambas Marcam Leo Farias</c:v>
                </c:pt>
                <c:pt idx="22">
                  <c:v>LTD Leo Farias</c:v>
                </c:pt>
                <c:pt idx="23">
                  <c:v>Sniperback</c:v>
                </c:pt>
                <c:pt idx="24">
                  <c:v>Vovô Smurf</c:v>
                </c:pt>
                <c:pt idx="25">
                  <c:v>Freebetunder</c:v>
                </c:pt>
                <c:pt idx="26">
                  <c:v>Over HT</c:v>
                </c:pt>
                <c:pt idx="27">
                  <c:v>Back to Bahia</c:v>
                </c:pt>
                <c:pt idx="28">
                  <c:v>Drakito Under</c:v>
                </c:pt>
                <c:pt idx="29">
                  <c:v>0x2</c:v>
                </c:pt>
                <c:pt idx="30">
                  <c:v>Curupira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266.67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5.46</c:v>
                </c:pt>
                <c:pt idx="19">
                  <c:v>5.22</c:v>
                </c:pt>
                <c:pt idx="20">
                  <c:v>3.2367500000000007</c:v>
                </c:pt>
                <c:pt idx="21">
                  <c:v>2.9294500000000001</c:v>
                </c:pt>
                <c:pt idx="22">
                  <c:v>2.7504</c:v>
                </c:pt>
                <c:pt idx="23">
                  <c:v>2.0699999999999998</c:v>
                </c:pt>
                <c:pt idx="24">
                  <c:v>2.0099999999999998</c:v>
                </c:pt>
                <c:pt idx="25">
                  <c:v>0.71</c:v>
                </c:pt>
                <c:pt idx="26">
                  <c:v>-2</c:v>
                </c:pt>
                <c:pt idx="27">
                  <c:v>-2</c:v>
                </c:pt>
                <c:pt idx="28">
                  <c:v>-4</c:v>
                </c:pt>
                <c:pt idx="29">
                  <c:v>-6.2999999999999829</c:v>
                </c:pt>
                <c:pt idx="30">
                  <c:v>-10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44.375727893515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44.375730092594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44.375731944441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44.375732870372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base].[Método].[Método]" caption="Método" numFmtId="0" hierarchy="6" level="1">
      <sharedItems count="18">
        <s v="BnR"/>
        <s v="Botbet"/>
        <s v="Dutching"/>
        <s v="Lay 2x2"/>
        <s v="Lay CS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44.375734259258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2" level="32767"/>
    <cacheField name="[base].[Placar].[Placar]" caption="Placar" numFmtId="0" hierarchy="7" level="1">
      <sharedItems count="10">
        <s v="0x1 Favorito"/>
        <s v="0x1 Zebra"/>
        <s v="1x0 Zebra"/>
        <s v="Casa"/>
        <s v="HT/FT Neutro"/>
        <s v="Neutro"/>
        <s v="Visitante"/>
        <s v="BTTS"/>
        <s v="1x0 Favorito" u="1"/>
        <s v="0x0" u="1"/>
      </sharedItems>
    </cacheField>
    <cacheField name="[Measures].[Média de Odd]" caption="Média de Odd" numFmtId="0" hierarchy="34" level="32767"/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44.375735300928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0" level="32767"/>
    <cacheField name="[Calendário].[AAAA-MM].[AAAA-MM]" caption="AAAA-MM" numFmtId="0" hierarchy="24" level="1">
      <sharedItems count="1">
        <s v="2026-07"/>
      </sharedItems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44.375736226852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44.375738194445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44.375738310184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44.375738773146" createdVersion="6" refreshedVersion="6" minRefreshableVersion="3" recordCount="3688">
  <cacheSource type="worksheet">
    <worksheetSource name="base"/>
  </cacheSource>
  <cacheFields count="19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09T22:59:00" count="3341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0">
        <s v="OMQB"/>
        <s v="Lay CS"/>
        <s v="Meta 5 Pro"/>
        <s v="Lay Zebra"/>
        <s v="AILA"/>
        <s v="Trading"/>
        <s v="Projeto +EV"/>
        <s v="SuperOdds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ay Super Zebra"/>
        <s v="Longo Prazo"/>
        <s v="Over Limite 2ºT"/>
        <s v="LG Zebra"/>
        <s v="Lay 2x2"/>
        <s v="BnR"/>
        <s v="Under 4,5"/>
        <s v="LG Favorito"/>
        <s v="Scalping Under 2,5"/>
        <s v="Over Limite Lay Fora"/>
        <m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98">
        <s v="0x1"/>
        <s v="1x0"/>
        <s v="0x1 Favorito"/>
        <s v="1x0 Favorito"/>
        <s v="0x0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Ambos Zebra"/>
        <s v="Back HT"/>
        <s v="Back FT"/>
        <s v="0x2"/>
        <s v="Valida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Over Limite 0.5 T2"/>
        <s v="Over Limite 0.5 T1"/>
        <s v="Pessoal" u="1"/>
        <s v="LG Casa Punter" u="1"/>
        <s v="LG Favorito" u="1"/>
        <s v="Valida" u="1"/>
        <s v="LG Casa Botbet" u="1"/>
        <s v="Scalping Under 2,5" u="1"/>
        <s v="Over 3,5" u="1"/>
        <s v="Lay 2x2" u="1"/>
        <s v="Ambos" u="1"/>
      </sharedItems>
    </cacheField>
    <cacheField name="Odd" numFmtId="0">
      <sharedItems containsString="0" containsBlank="1" containsNumber="1" minValue="1.03" maxValue="704" count="389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100" u="1"/>
        <n v="155" u="1"/>
        <n v="704" u="1"/>
      </sharedItems>
    </cacheField>
    <cacheField name="Stake/Responsabilidade" numFmtId="4">
      <sharedItems containsString="0" containsBlank="1" containsNumber="1" minValue="1.81" maxValue="800.4"/>
    </cacheField>
    <cacheField name="Data" numFmtId="14">
      <sharedItems containsSemiMixedTypes="0" containsNonDate="0" containsDate="1" containsString="0" minDate="2025-11-29T00:00:00" maxDate="2026-08-10T00:00:00" count="236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MixedTypes="1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06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</sharedItems>
    </cacheField>
    <cacheField name="Visitante" numFmtId="3">
      <sharedItems count="1200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44.37574016203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44.375719675925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33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44.375722685189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3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688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</r>
  <r>
    <s v="Manchester City vs Brighton &amp; Hove Albion"/>
    <s v="Fulltbet"/>
    <x v="308"/>
    <n v="25.58"/>
    <n v="4.4999999999999998E-2"/>
    <n v="26.785340314136125"/>
    <x v="3"/>
    <x v="7"/>
    <x v="85"/>
    <n v="150"/>
    <x v="32"/>
    <n v="1.2053403141361265"/>
    <n v="0.17053333333333331"/>
    <n v="1"/>
    <x v="1"/>
    <x v="155"/>
    <x v="135"/>
    <e v="#VALUE!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</r>
  <r>
    <s v="RC Lens vs AJ Auxerre"/>
    <s v="Fulltbet"/>
    <x v="393"/>
    <n v="17.059999999999999"/>
    <n v="4.4999999999999998E-2"/>
    <n v="17.863874345549739"/>
    <x v="3"/>
    <x v="7"/>
    <x v="99"/>
    <n v="99.21"/>
    <x v="42"/>
    <n v="0.80387434554974035"/>
    <n v="0.17195847192823305"/>
    <n v="1"/>
    <x v="2"/>
    <x v="147"/>
    <x v="229"/>
    <e v="#VALUE!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</r>
  <r>
    <s v="Al-Taawoun Buraidah vs Al-Akhdoud"/>
    <s v="Fulltbet"/>
    <x v="565"/>
    <n v="25.58"/>
    <n v="4.4999999999999998E-2"/>
    <n v="26.785340314136125"/>
    <x v="3"/>
    <x v="7"/>
    <x v="85"/>
    <n v="150.02000000000001"/>
    <x v="54"/>
    <n v="1.2053403141361265"/>
    <n v="0.17051059858685505"/>
    <n v="1"/>
    <x v="14"/>
    <x v="328"/>
    <x v="358"/>
    <e v="#VALUE!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</r>
  <r>
    <s v="RC Lens vs Le Havre AC"/>
    <s v="Fulltbet"/>
    <x v="586"/>
    <n v="21.07"/>
    <n v="4.4999999999999998E-2"/>
    <n v="22.062827225130892"/>
    <x v="3"/>
    <x v="7"/>
    <x v="44"/>
    <n v="150.01"/>
    <x v="54"/>
    <n v="0.99282722513089183"/>
    <n v="0.14045730284647692"/>
    <n v="1"/>
    <x v="2"/>
    <x v="147"/>
    <x v="152"/>
    <e v="#VALUE!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</r>
  <r>
    <s v="RB Leipzig vs 1. FSV Mainz 05"/>
    <s v="Fulltbet"/>
    <x v="606"/>
    <n v="-150.02000000000001"/>
    <n v="4.4999999999999998E-2"/>
    <n v="-150.02000000000001"/>
    <x v="3"/>
    <x v="7"/>
    <x v="116"/>
    <n v="150.02000000000001"/>
    <x v="55"/>
    <n v="0"/>
    <n v="-1"/>
    <n v="0"/>
    <x v="3"/>
    <x v="77"/>
    <x v="24"/>
    <e v="#VALUE!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</r>
  <r>
    <s v="Chelsea vs West Ham"/>
    <s v="Fulltbet"/>
    <x v="618"/>
    <n v="29.23"/>
    <n v="4.4999999999999998E-2"/>
    <n v="30.607329842931939"/>
    <x v="3"/>
    <x v="7"/>
    <x v="43"/>
    <n v="149.99"/>
    <x v="55"/>
    <n v="1.3773298429319389"/>
    <n v="0.19487965864390958"/>
    <n v="1"/>
    <x v="1"/>
    <x v="127"/>
    <x v="58"/>
    <e v="#VALUE!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</r>
  <r>
    <s v="Wolverhampton Wanderers vs Chelsea"/>
    <s v="Fulltbet"/>
    <x v="709"/>
    <n v="44.22"/>
    <n v="4.4999999999999998E-2"/>
    <n v="46.303664921465966"/>
    <x v="3"/>
    <x v="18"/>
    <x v="25"/>
    <n v="250.02"/>
    <x v="62"/>
    <n v="2.0836649214659673"/>
    <n v="0.17686585073194144"/>
    <n v="1"/>
    <x v="1"/>
    <x v="105"/>
    <x v="46"/>
    <e v="#VALUE!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</r>
  <r>
    <s v="RC Lens vs Stade Rennais"/>
    <s v="Fulltbet"/>
    <x v="714"/>
    <n v="48.72"/>
    <n v="4.4999999999999998E-2"/>
    <n v="51.015706806282722"/>
    <x v="3"/>
    <x v="7"/>
    <x v="43"/>
    <n v="250"/>
    <x v="62"/>
    <n v="2.2957068062827233"/>
    <n v="0.19488"/>
    <n v="1"/>
    <x v="2"/>
    <x v="147"/>
    <x v="226"/>
    <e v="#VALUE!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</r>
  <r>
    <s v="SC Freiburg vs Werder Bremen"/>
    <s v="Fulltbet"/>
    <x v="717"/>
    <n v="58.49"/>
    <n v="4.4999999999999998E-2"/>
    <n v="61.246073298429323"/>
    <x v="3"/>
    <x v="7"/>
    <x v="122"/>
    <n v="250"/>
    <x v="62"/>
    <n v="2.756073298429321"/>
    <n v="0.23396"/>
    <n v="1"/>
    <x v="3"/>
    <x v="24"/>
    <x v="266"/>
    <e v="#VALUE!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</r>
  <r>
    <s v="Caykur Rizespor vs Galatasaray SK"/>
    <s v="Fulltbet"/>
    <x v="741"/>
    <n v="45.92"/>
    <n v="4.4999999999999998E-2"/>
    <n v="48.083769633507856"/>
    <x v="3"/>
    <x v="18"/>
    <x v="116"/>
    <n v="250.02"/>
    <x v="63"/>
    <n v="2.1637696335078545"/>
    <n v="0.18366530677545798"/>
    <n v="1"/>
    <x v="11"/>
    <x v="393"/>
    <x v="346"/>
    <e v="#VALUE!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</r>
  <r>
    <s v="Atlético de Madrid vs Real Betis"/>
    <s v="Fulltbet"/>
    <x v="753"/>
    <n v="-250.01"/>
    <n v="4.4999999999999998E-2"/>
    <n v="-250.01"/>
    <x v="3"/>
    <x v="7"/>
    <x v="41"/>
    <n v="250.01"/>
    <x v="63"/>
    <n v="0"/>
    <n v="-1"/>
    <n v="0"/>
    <x v="4"/>
    <x v="231"/>
    <x v="228"/>
    <e v="#VALUE!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</r>
  <r>
    <s v="Chelsea vs Leeds United"/>
    <s v="Fulltbet"/>
    <x v="782"/>
    <n v="41.16"/>
    <n v="4.4999999999999998E-2"/>
    <n v="43.099476439790571"/>
    <x v="3"/>
    <x v="7"/>
    <x v="121"/>
    <n v="249.98"/>
    <x v="65"/>
    <n v="1.9394764397905746"/>
    <n v="0.16465317225378029"/>
    <n v="1"/>
    <x v="1"/>
    <x v="127"/>
    <x v="213"/>
    <e v="#VALUE!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</r>
  <r>
    <s v="Hearts vs Hibernian"/>
    <s v="Fulltbet"/>
    <x v="786"/>
    <n v="55.97"/>
    <n v="4.4999999999999998E-2"/>
    <n v="58.607329842931939"/>
    <x v="3"/>
    <x v="7"/>
    <x v="126"/>
    <n v="249.98"/>
    <x v="65"/>
    <n v="2.6373298429319405"/>
    <n v="0.22389791183294663"/>
    <n v="1"/>
    <x v="23"/>
    <x v="310"/>
    <x v="444"/>
    <e v="#VALUE!"/>
  </r>
  <r>
    <s v="Birmingham City vs West Bromwich Albion"/>
    <s v="Fulltbet"/>
    <x v="787"/>
    <n v="24.1"/>
    <n v="4.4999999999999998E-2"/>
    <n v="25.235602094240839"/>
    <x v="3"/>
    <x v="7"/>
    <x v="127"/>
    <n v="250.02"/>
    <x v="65"/>
    <n v="1.1356020942408378"/>
    <n v="9.6392288616910654E-2"/>
    <n v="1"/>
    <x v="12"/>
    <x v="299"/>
    <x v="445"/>
    <e v="#VALUE!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</r>
  <r>
    <s v="NEC vs FC Utrecht"/>
    <s v="Fulltbet"/>
    <x v="802"/>
    <n v="-168.9"/>
    <n v="4.4999999999999998E-2"/>
    <n v="-168.9"/>
    <x v="3"/>
    <x v="7"/>
    <x v="128"/>
    <n v="250"/>
    <x v="66"/>
    <n v="0"/>
    <n v="-0.67559999999999998"/>
    <n v="0"/>
    <x v="5"/>
    <x v="3"/>
    <x v="165"/>
    <e v="#VALUE!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</r>
  <r>
    <s v="Bayer 04 Leverkusen vs FC St. Pauli"/>
    <s v="Fulltbet"/>
    <x v="834"/>
    <n v="37.299999999999997"/>
    <n v="4.4999999999999998E-2"/>
    <n v="39.05759162303665"/>
    <x v="3"/>
    <x v="7"/>
    <x v="81"/>
    <n v="249.98"/>
    <x v="69"/>
    <n v="1.7575916230366531"/>
    <n v="0.14921193695495638"/>
    <n v="1"/>
    <x v="3"/>
    <x v="129"/>
    <x v="38"/>
    <e v="#VALUE!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</r>
  <r>
    <s v="RB Leipzig vs VfL Wolfsburg"/>
    <s v="Fulltbet"/>
    <x v="857"/>
    <n v="8.82"/>
    <n v="4.4999999999999998E-2"/>
    <n v="9.2356020942408392"/>
    <x v="3"/>
    <x v="7"/>
    <x v="25"/>
    <n v="250.02"/>
    <x v="70"/>
    <n v="0.41560209424083894"/>
    <n v="3.5277177825773935E-2"/>
    <n v="1"/>
    <x v="3"/>
    <x v="77"/>
    <x v="260"/>
    <e v="#VALUE!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</r>
  <r>
    <s v="Frosinone vs Empoli"/>
    <s v="Fulltbet"/>
    <x v="889"/>
    <n v="4.42"/>
    <n v="4.4999999999999998E-2"/>
    <n v="4.6282722513089007"/>
    <x v="3"/>
    <x v="7"/>
    <x v="135"/>
    <n v="250"/>
    <x v="75"/>
    <n v="0.20827225130890081"/>
    <n v="1.7680000000000001E-2"/>
    <n v="1"/>
    <x v="22"/>
    <x v="233"/>
    <x v="418"/>
    <e v="#VALUE!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</r>
  <r>
    <s v="SV Elversberg vs Eintracht Braunschweig"/>
    <s v="Fulltbet"/>
    <x v="899"/>
    <n v="44.92"/>
    <n v="4.4999999999999998E-2"/>
    <n v="47.03664921465969"/>
    <x v="3"/>
    <x v="7"/>
    <x v="1"/>
    <n v="249.17"/>
    <x v="76"/>
    <n v="2.116649214659688"/>
    <n v="0.1802785247020107"/>
    <n v="1"/>
    <x v="15"/>
    <x v="136"/>
    <x v="314"/>
    <e v="#VALUE!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</r>
  <r>
    <s v="RC Lens vs AS Monaco"/>
    <s v="Fulltbet"/>
    <x v="909"/>
    <n v="-139.71"/>
    <n v="4.4999999999999998E-2"/>
    <n v="-139.71"/>
    <x v="3"/>
    <x v="7"/>
    <x v="135"/>
    <n v="250"/>
    <x v="76"/>
    <n v="0"/>
    <n v="-0.55884"/>
    <n v="0"/>
    <x v="2"/>
    <x v="147"/>
    <x v="481"/>
    <e v="#VALUE!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</r>
  <r>
    <s v="Manchester City vs Newcastle United"/>
    <s v="Fulltbet"/>
    <x v="913"/>
    <n v="44.22"/>
    <n v="4.4999999999999998E-2"/>
    <n v="46.303664921465966"/>
    <x v="3"/>
    <x v="7"/>
    <x v="25"/>
    <n v="250.02"/>
    <x v="76"/>
    <n v="2.0836649214659673"/>
    <n v="0.17686585073194144"/>
    <n v="1"/>
    <x v="1"/>
    <x v="155"/>
    <x v="290"/>
    <e v="#VALUE!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</r>
  <r>
    <s v="Villarreal vs Valencia"/>
    <s v="Fulltbet"/>
    <x v="938"/>
    <n v="43.64"/>
    <n v="4.4999999999999998E-2"/>
    <n v="45.696335078534034"/>
    <x v="3"/>
    <x v="7"/>
    <x v="43"/>
    <n v="250"/>
    <x v="77"/>
    <n v="2.0563350785340333"/>
    <n v="0.17455999999999999"/>
    <n v="1"/>
    <x v="4"/>
    <x v="69"/>
    <x v="391"/>
    <e v="#VALUE!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</r>
  <r>
    <s v="Cambuur Leeuwarden vs FC Eindhoven"/>
    <s v="Fulltbet"/>
    <x v="955"/>
    <n v="-7.1"/>
    <n v="4.4999999999999998E-2"/>
    <n v="-7.1"/>
    <x v="3"/>
    <x v="7"/>
    <x v="41"/>
    <n v="250.01"/>
    <x v="79"/>
    <n v="0"/>
    <n v="-2.839886404543818E-2"/>
    <n v="0"/>
    <x v="8"/>
    <x v="63"/>
    <x v="20"/>
    <e v="#VALUE!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</r>
  <r>
    <s v="Middlesbrough vs Leicester City"/>
    <s v="Fulltbet"/>
    <x v="958"/>
    <n v="-1.31"/>
    <n v="4.4999999999999998E-2"/>
    <n v="-1.31"/>
    <x v="3"/>
    <x v="7"/>
    <x v="121"/>
    <n v="249.98"/>
    <x v="79"/>
    <n v="0"/>
    <n v="-5.2404192335386837E-3"/>
    <n v="0"/>
    <x v="12"/>
    <x v="214"/>
    <x v="190"/>
    <e v="#VALUE!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</r>
  <r>
    <s v="Monza vs Virtus Entella"/>
    <s v="Fulltbet"/>
    <x v="982"/>
    <n v="34.44"/>
    <n v="4.4999999999999998E-2"/>
    <n v="36.062827225130889"/>
    <x v="3"/>
    <x v="7"/>
    <x v="44"/>
    <n v="270.02999999999997"/>
    <x v="82"/>
    <n v="1.6228272251308908"/>
    <n v="0.12754138429063439"/>
    <n v="1"/>
    <x v="22"/>
    <x v="95"/>
    <x v="503"/>
    <e v="#VALUE!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</r>
  <r>
    <s v="1899 Hoffenheim vs FC St. Pauli"/>
    <s v="Fulltbet"/>
    <x v="993"/>
    <n v="-171"/>
    <n v="4.4999999999999998E-2"/>
    <n v="-171"/>
    <x v="3"/>
    <x v="7"/>
    <x v="28"/>
    <n v="349.99"/>
    <x v="83"/>
    <n v="0"/>
    <n v="-0.48858538815394725"/>
    <n v="0"/>
    <x v="3"/>
    <x v="125"/>
    <x v="38"/>
    <e v="#VALUE!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</r>
  <r>
    <s v="FC Barcelona vs Villarreal"/>
    <s v="Fulltbet"/>
    <x v="997"/>
    <n v="46.13"/>
    <n v="4.4999999999999998E-2"/>
    <n v="48.303664921465973"/>
    <x v="3"/>
    <x v="7"/>
    <x v="41"/>
    <n v="350"/>
    <x v="83"/>
    <n v="2.1736649214659707"/>
    <n v="0.1318"/>
    <n v="1"/>
    <x v="4"/>
    <x v="130"/>
    <x v="288"/>
    <e v="#VALUE!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</r>
  <r>
    <s v="VfB Stuttgart vs VfL Wolfsburg"/>
    <s v="Fulltbet"/>
    <x v="1009"/>
    <n v="39.72"/>
    <n v="4.4999999999999998E-2"/>
    <n v="41.591623036649217"/>
    <x v="3"/>
    <x v="7"/>
    <x v="44"/>
    <n v="300.02"/>
    <x v="84"/>
    <n v="1.8716230366492184"/>
    <n v="0.13239117392173855"/>
    <n v="1"/>
    <x v="3"/>
    <x v="71"/>
    <x v="260"/>
    <e v="#VALUE!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</r>
  <r>
    <s v="Antalyaspor vs Fenerbahçe SK"/>
    <s v="Fulltbet"/>
    <x v="1015"/>
    <n v="-226.11"/>
    <n v="4.4999999999999998E-2"/>
    <n v="-226.11"/>
    <x v="3"/>
    <x v="18"/>
    <x v="121"/>
    <n v="340"/>
    <x v="84"/>
    <n v="0"/>
    <n v="-0.66502941176470587"/>
    <n v="0"/>
    <x v="11"/>
    <x v="332"/>
    <x v="188"/>
    <e v="#VALUE!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</r>
  <r>
    <s v="SC Verl vs SSV Jahn Regensburg"/>
    <s v="Fulltbet"/>
    <x v="1021"/>
    <n v="-206.58"/>
    <n v="4.4999999999999998E-2"/>
    <n v="-206.58"/>
    <x v="3"/>
    <x v="7"/>
    <x v="135"/>
    <n v="299.45999999999998"/>
    <x v="86"/>
    <n v="0"/>
    <n v="-0.68984171508715697"/>
    <n v="0"/>
    <x v="16"/>
    <x v="462"/>
    <x v="508"/>
    <e v="#VALUE!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</r>
  <r>
    <s v="Villarreal vs Elche CF"/>
    <s v="Fulltbet"/>
    <x v="1055"/>
    <n v="44.77"/>
    <n v="4.4999999999999998E-2"/>
    <n v="46.879581151832468"/>
    <x v="3"/>
    <x v="7"/>
    <x v="81"/>
    <n v="300.02999999999997"/>
    <x v="90"/>
    <n v="2.1095811518324652"/>
    <n v="0.14921841149218415"/>
    <n v="1"/>
    <x v="4"/>
    <x v="69"/>
    <x v="424"/>
    <e v="#VALUE!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</r>
  <r>
    <s v="Palmeiras vs Grêmio FBPA / Match Odds"/>
    <s v="Fulltbet"/>
    <x v="1173"/>
    <n v="55.71"/>
    <n v="4.4999999999999998E-2"/>
    <n v="58.335078534031418"/>
    <x v="3"/>
    <x v="7"/>
    <x v="36"/>
    <n v="349.98"/>
    <x v="108"/>
    <n v="2.6250785340314167"/>
    <n v="0.15918052460140578"/>
    <n v="1"/>
    <x v="6"/>
    <x v="475"/>
    <x v="350"/>
    <s v="Palmeiras vs Grêmio FBPA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</r>
  <r>
    <s v="Grêmio FBPA vs Clube do Remo / Match Odds"/>
    <s v="Fulltbet"/>
    <x v="1200"/>
    <n v="69.92"/>
    <n v="4.4999999999999998E-2"/>
    <n v="73.214659685863879"/>
    <x v="3"/>
    <x v="7"/>
    <x v="85"/>
    <n v="409.98"/>
    <x v="111"/>
    <n v="3.294659685863877"/>
    <n v="0.17054490462949412"/>
    <n v="1"/>
    <x v="6"/>
    <x v="361"/>
    <x v="348"/>
    <s v="Grêmio FBPA vs Clube do Remo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</r>
  <r>
    <s v="Manchester United vs Leeds United / Match Odds"/>
    <s v="Fulltbet"/>
    <x v="1257"/>
    <n v="-350"/>
    <n v="4.4999999999999998E-2"/>
    <n v="-350"/>
    <x v="3"/>
    <x v="7"/>
    <x v="85"/>
    <n v="350"/>
    <x v="119"/>
    <n v="0"/>
    <n v="-1"/>
    <n v="0"/>
    <x v="1"/>
    <x v="55"/>
    <x v="213"/>
    <s v="Manchester United vs Leeds United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</r>
  <r>
    <s v="Atlético de Madrid vs FC Barcelona / Match Odds"/>
    <s v="Fulltbet"/>
    <x v="1260"/>
    <n v="24.49"/>
    <n v="4.4999999999999998E-2"/>
    <n v="25.643979057591622"/>
    <x v="8"/>
    <x v="20"/>
    <x v="151"/>
    <n v="100"/>
    <x v="120"/>
    <n v="1.1539790575916236"/>
    <n v="0.24489999999999998"/>
    <n v="1"/>
    <x v="7"/>
    <x v="231"/>
    <x v="81"/>
    <s v="Atlético de Madrid vs FC Barcelona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</r>
  <r>
    <s v="Aston Villa vs Bologna / Total 2.5"/>
    <s v="Fulltbet"/>
    <x v="1262"/>
    <n v="47.75"/>
    <n v="4.4999999999999998E-2"/>
    <n v="50"/>
    <x v="9"/>
    <x v="10"/>
    <x v="37"/>
    <n v="50"/>
    <x v="122"/>
    <n v="2.25"/>
    <n v="0.95499999999999996"/>
    <n v="1"/>
    <x v="0"/>
    <x v="14"/>
    <x v="232"/>
    <s v="Aston Villa vs Bologna"/>
  </r>
  <r>
    <s v="Palmeiras vs Sporting Cristal / Total 1.5"/>
    <s v="Fulltbet"/>
    <x v="1263"/>
    <n v="47.75"/>
    <n v="4.4999999999999998E-2"/>
    <n v="50"/>
    <x v="9"/>
    <x v="28"/>
    <x v="13"/>
    <n v="50"/>
    <x v="122"/>
    <n v="2.25"/>
    <n v="0.95499999999999996"/>
    <n v="1"/>
    <x v="0"/>
    <x v="475"/>
    <x v="549"/>
    <s v="Palmeiras vs Sporting Cristal"/>
  </r>
  <r>
    <s v="Palmeiras vs Sporting Cristal / Total 2.5"/>
    <s v="Fulltbet"/>
    <x v="1264"/>
    <n v="-63.85"/>
    <n v="4.4999999999999998E-2"/>
    <n v="-63.85"/>
    <x v="9"/>
    <x v="10"/>
    <x v="81"/>
    <n v="50"/>
    <x v="122"/>
    <n v="0"/>
    <n v="-1.2770000000000001"/>
    <n v="0"/>
    <x v="0"/>
    <x v="475"/>
    <x v="549"/>
    <s v="Palmeiras vs Sporting Cristal"/>
  </r>
  <r>
    <s v="Red Bull Bragantino vs Blooming Santa Cruz / Total 1.5"/>
    <s v="Fulltbet"/>
    <x v="1265"/>
    <n v="47.75"/>
    <n v="4.4999999999999998E-2"/>
    <n v="50"/>
    <x v="9"/>
    <x v="28"/>
    <x v="19"/>
    <n v="50"/>
    <x v="122"/>
    <n v="2.25"/>
    <n v="0.95499999999999996"/>
    <n v="1"/>
    <x v="0"/>
    <x v="484"/>
    <x v="26"/>
    <s v="Red Bull Bragantino vs Blooming Santa Cruz"/>
  </r>
  <r>
    <s v="Yunnan Yukun vs Tianjin Jinmenhu / Total 0.5"/>
    <s v="Fulltbet"/>
    <x v="1266"/>
    <n v="47.75"/>
    <n v="4.4999999999999998E-2"/>
    <n v="50"/>
    <x v="9"/>
    <x v="19"/>
    <x v="3"/>
    <n v="50"/>
    <x v="123"/>
    <n v="2.25"/>
    <n v="0.95499999999999996"/>
    <n v="1"/>
    <x v="0"/>
    <x v="495"/>
    <x v="550"/>
    <s v="Yunnan Yukun vs Tianjin Jinmenhu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</r>
  <r>
    <s v="Real Sociedad B vs Racing Santander / Total 2.5"/>
    <s v="Fulltbet"/>
    <x v="1269"/>
    <n v="-75"/>
    <n v="4.4999999999999998E-2"/>
    <n v="-75"/>
    <x v="9"/>
    <x v="10"/>
    <x v="31"/>
    <n v="50"/>
    <x v="123"/>
    <n v="0"/>
    <n v="-1.5"/>
    <n v="0"/>
    <x v="0"/>
    <x v="234"/>
    <x v="225"/>
    <s v="Real Sociedad B vs Racing Santander"/>
  </r>
  <r>
    <s v="RC Lens vs Toulouse FC / Match Odds"/>
    <s v="Fulltbet"/>
    <x v="1270"/>
    <n v="55.21"/>
    <n v="4.4999999999999998E-2"/>
    <n v="57.811518324607334"/>
    <x v="3"/>
    <x v="7"/>
    <x v="81"/>
    <n v="369.98"/>
    <x v="123"/>
    <n v="2.6015183246073335"/>
    <n v="0.14922428239364288"/>
    <n v="1"/>
    <x v="2"/>
    <x v="147"/>
    <x v="2"/>
    <s v="RC Lens vs Toulouse FC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</r>
  <r>
    <s v="Internazionale vs Cagliari / Match Odds"/>
    <s v="Fulltbet"/>
    <x v="1272"/>
    <n v="15.91985"/>
    <n v="4.4999999999999998E-2"/>
    <n v="16.670000000000002"/>
    <x v="8"/>
    <x v="20"/>
    <x v="36"/>
    <n v="100.02"/>
    <x v="123"/>
    <n v="0.75015000000000143"/>
    <n v="0.15916666666666668"/>
    <n v="1"/>
    <x v="13"/>
    <x v="220"/>
    <x v="44"/>
    <s v="Internazionale vs Cagliari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</r>
  <r>
    <s v="IK Sirius vs Västerås SK FK / Total 2.5"/>
    <s v="Fulltbet"/>
    <x v="1273"/>
    <n v="47.75"/>
    <n v="4.4999999999999998E-2"/>
    <n v="50"/>
    <x v="9"/>
    <x v="10"/>
    <x v="25"/>
    <n v="50"/>
    <x v="124"/>
    <n v="2.25"/>
    <n v="0.95499999999999996"/>
    <n v="1"/>
    <x v="0"/>
    <x v="496"/>
    <x v="551"/>
    <s v="IK Sirius vs Västerås SK FK"/>
  </r>
  <r>
    <s v="Werder Bremen vs Hamburger SV / Total 0.5"/>
    <s v="Fulltbet"/>
    <x v="1274"/>
    <n v="47.75"/>
    <n v="4.4999999999999998E-2"/>
    <n v="50"/>
    <x v="9"/>
    <x v="19"/>
    <x v="19"/>
    <n v="50"/>
    <x v="124"/>
    <n v="2.25"/>
    <n v="0.95499999999999996"/>
    <n v="1"/>
    <x v="0"/>
    <x v="321"/>
    <x v="131"/>
    <s v="Werder Bremen vs Hamburger SV"/>
  </r>
  <r>
    <s v="Aris Thessaloniki vs NFC Volos / Total 1.5"/>
    <s v="Fulltbet"/>
    <x v="1275"/>
    <n v="47.75"/>
    <n v="4.4999999999999998E-2"/>
    <n v="50"/>
    <x v="9"/>
    <x v="28"/>
    <x v="44"/>
    <n v="50"/>
    <x v="124"/>
    <n v="2.25"/>
    <n v="0.95499999999999996"/>
    <n v="1"/>
    <x v="0"/>
    <x v="441"/>
    <x v="416"/>
    <s v="Aris Thessaloniki vs NFC Volos"/>
  </r>
  <r>
    <s v="Palermo vs Cesena / Total 1.5"/>
    <s v="Fulltbet"/>
    <x v="1276"/>
    <n v="-72.08"/>
    <n v="4.4999999999999998E-2"/>
    <n v="-72.08"/>
    <x v="9"/>
    <x v="28"/>
    <x v="0"/>
    <n v="50"/>
    <x v="124"/>
    <n v="0"/>
    <n v="-1.4416"/>
    <n v="0"/>
    <x v="0"/>
    <x v="274"/>
    <x v="212"/>
    <s v="Palermo vs Cesena"/>
  </r>
  <r>
    <s v="Buriram United vs Shabab Al-Ahli Dubai FC / Total 1.5"/>
    <s v="Fulltbet"/>
    <x v="1277"/>
    <n v="47.75"/>
    <n v="4.4999999999999998E-2"/>
    <n v="50"/>
    <x v="9"/>
    <x v="28"/>
    <x v="116"/>
    <n v="50"/>
    <x v="124"/>
    <n v="2.25"/>
    <n v="0.95499999999999996"/>
    <n v="1"/>
    <x v="0"/>
    <x v="135"/>
    <x v="398"/>
    <s v="Buriram United vs Shabab Al-Ahli Dubai FC"/>
  </r>
  <r>
    <s v="Universidad Católica del Ecuador vs Libertad FC / Total 0.5"/>
    <s v="Fulltbet"/>
    <x v="1278"/>
    <n v="47.75"/>
    <n v="4.4999999999999998E-2"/>
    <n v="50"/>
    <x v="9"/>
    <x v="19"/>
    <x v="9"/>
    <n v="50"/>
    <x v="124"/>
    <n v="2.25"/>
    <n v="0.95499999999999996"/>
    <n v="1"/>
    <x v="0"/>
    <x v="5"/>
    <x v="552"/>
    <s v="Universidad Católica del Ecuador vs Libertad FC"/>
  </r>
  <r>
    <s v="FC Cincinnati vs Chicago Fire / Total 1.5"/>
    <s v="Fulltbet"/>
    <x v="1279"/>
    <n v="47.75"/>
    <n v="4.4999999999999998E-2"/>
    <n v="50"/>
    <x v="9"/>
    <x v="28"/>
    <x v="22"/>
    <n v="50"/>
    <x v="124"/>
    <n v="2.25"/>
    <n v="0.95499999999999996"/>
    <n v="1"/>
    <x v="0"/>
    <x v="497"/>
    <x v="553"/>
    <s v="FC Cincinnati vs Chicago Fire"/>
  </r>
  <r>
    <s v="Club Deportes Santa Cruz vs Union San Felipe / Total 1.5"/>
    <s v="Fulltbet"/>
    <x v="1280"/>
    <n v="47.75"/>
    <n v="4.4999999999999998E-2"/>
    <n v="50"/>
    <x v="9"/>
    <x v="28"/>
    <x v="3"/>
    <n v="50"/>
    <x v="124"/>
    <n v="2.25"/>
    <n v="0.95499999999999996"/>
    <n v="1"/>
    <x v="0"/>
    <x v="498"/>
    <x v="554"/>
    <s v="Club Deportes Santa Cruz vs Union San Felipe"/>
  </r>
  <r>
    <s v="New York City FC vs Charlotte FC / Total 0.5"/>
    <s v="Fulltbet"/>
    <x v="1281"/>
    <n v="47.75"/>
    <n v="4.4999999999999998E-2"/>
    <n v="50"/>
    <x v="9"/>
    <x v="19"/>
    <x v="36"/>
    <n v="50"/>
    <x v="124"/>
    <n v="2.25"/>
    <n v="0.95499999999999996"/>
    <n v="1"/>
    <x v="0"/>
    <x v="481"/>
    <x v="555"/>
    <s v="New York City FC vs Charlotte FC"/>
  </r>
  <r>
    <s v="Cruzeiro vs Grêmio FBPA / Total 0.5"/>
    <s v="Fulltbet"/>
    <x v="1282"/>
    <n v="47.75"/>
    <n v="4.4999999999999998E-2"/>
    <n v="50"/>
    <x v="9"/>
    <x v="19"/>
    <x v="28"/>
    <n v="50"/>
    <x v="124"/>
    <n v="2.25"/>
    <n v="0.95499999999999996"/>
    <n v="1"/>
    <x v="0"/>
    <x v="482"/>
    <x v="350"/>
    <s v="Cruzeiro vs Grêmio FBPA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</r>
  <r>
    <s v="Minnesota United vs Portland Timbers / Total 1.5"/>
    <s v="Fulltbet"/>
    <x v="1284"/>
    <n v="-65.38"/>
    <n v="4.4999999999999998E-2"/>
    <n v="-65.38"/>
    <x v="9"/>
    <x v="28"/>
    <x v="22"/>
    <n v="50"/>
    <x v="124"/>
    <n v="0"/>
    <n v="-1.3075999999999999"/>
    <n v="0"/>
    <x v="0"/>
    <x v="499"/>
    <x v="556"/>
    <s v="Minnesota United vs Portland Timbers"/>
  </r>
  <r>
    <s v="AS Monaco vs AJ Auxerre / Match Odds"/>
    <s v="Fulltbet"/>
    <x v="1285"/>
    <n v="-100"/>
    <n v="4.4999999999999998E-2"/>
    <n v="-100"/>
    <x v="8"/>
    <x v="20"/>
    <x v="153"/>
    <n v="100"/>
    <x v="125"/>
    <n v="0"/>
    <n v="-1"/>
    <n v="0"/>
    <x v="2"/>
    <x v="256"/>
    <x v="229"/>
    <s v="AS Monaco vs AJ Auxerre"/>
  </r>
  <r>
    <s v="AS Monaco vs AJ Auxerre / Match Odds"/>
    <s v="Fulltbet"/>
    <x v="1285"/>
    <n v="67.31"/>
    <n v="0"/>
    <n v="67.31"/>
    <x v="3"/>
    <x v="7"/>
    <x v="116"/>
    <n v="350.01"/>
    <x v="125"/>
    <n v="0"/>
    <n v="0.19230879117739494"/>
    <n v="1"/>
    <x v="2"/>
    <x v="256"/>
    <x v="229"/>
    <s v="AS Monaco vs AJ Auxerre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</r>
  <r>
    <s v="FC Bayern München vs VfB Stuttgart / Match Odds"/>
    <s v="Fulltbet"/>
    <x v="1287"/>
    <n v="19.489999999999998"/>
    <n v="4.4999999999999998E-2"/>
    <n v="20.408376963350786"/>
    <x v="8"/>
    <x v="20"/>
    <x v="43"/>
    <n v="100"/>
    <x v="125"/>
    <n v="0.91837696335078789"/>
    <n v="0.19489999999999999"/>
    <n v="1"/>
    <x v="3"/>
    <x v="107"/>
    <x v="251"/>
    <s v="FC Bayern München vs VfB Stuttgart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</r>
  <r>
    <s v="Palmeiras vs Athlético Paranaense / Match Odds"/>
    <s v="Fulltbet"/>
    <x v="1289"/>
    <n v="57.62"/>
    <n v="4.4999999999999998E-2"/>
    <n v="60.33507853403141"/>
    <x v="3"/>
    <x v="7"/>
    <x v="121"/>
    <n v="349.97"/>
    <x v="125"/>
    <n v="2.715078534031413"/>
    <n v="0.1646426836585993"/>
    <n v="1"/>
    <x v="6"/>
    <x v="475"/>
    <x v="349"/>
    <s v="Palmeiras vs Athlético Paranaense"/>
  </r>
  <r>
    <s v="Flamengo vs Esporte Clube Bahia / Total 1.5"/>
    <s v="Fulltbet"/>
    <x v="1290"/>
    <n v="-62.68"/>
    <n v="4.4999999999999998E-2"/>
    <n v="-62.68"/>
    <x v="9"/>
    <x v="28"/>
    <x v="9"/>
    <n v="50"/>
    <x v="125"/>
    <n v="0"/>
    <n v="-1.2536"/>
    <n v="0"/>
    <x v="0"/>
    <x v="486"/>
    <x v="92"/>
    <s v="Flamengo vs Esporte Clube Bahia"/>
  </r>
  <r>
    <s v="Flamengo vs Esporte Clube Bahia / Match Odds"/>
    <s v="Fulltbet"/>
    <x v="1291"/>
    <n v="52.23"/>
    <n v="4.4999999999999998E-2"/>
    <n v="54.691099476439788"/>
    <x v="3"/>
    <x v="7"/>
    <x v="81"/>
    <n v="350.02"/>
    <x v="125"/>
    <n v="2.4610994764397915"/>
    <n v="0.14922004456888177"/>
    <n v="1"/>
    <x v="6"/>
    <x v="486"/>
    <x v="92"/>
    <s v="Flamengo vs Esporte Clube Bahia"/>
  </r>
  <r>
    <s v="Los Angeles FC vs San Jose Earthquakes / Total 0.5"/>
    <s v="Fulltbet"/>
    <x v="1292"/>
    <n v="47.75"/>
    <n v="4.4999999999999998E-2"/>
    <n v="50"/>
    <x v="9"/>
    <x v="19"/>
    <x v="2"/>
    <n v="50"/>
    <x v="125"/>
    <n v="2.25"/>
    <n v="0.95499999999999996"/>
    <n v="1"/>
    <x v="0"/>
    <x v="500"/>
    <x v="557"/>
    <s v="Los Angeles FC vs San Jose Earthquakes"/>
  </r>
  <r>
    <s v="Cardiff City U21 vs Hull City U21 / Total 1.5"/>
    <s v="Fulltbet"/>
    <x v="1293"/>
    <n v="-82.35"/>
    <n v="4.4999999999999998E-2"/>
    <n v="-82.35"/>
    <x v="9"/>
    <x v="28"/>
    <x v="16"/>
    <n v="50"/>
    <x v="126"/>
    <n v="0"/>
    <n v="-1.6469999999999998"/>
    <n v="0"/>
    <x v="0"/>
    <x v="501"/>
    <x v="558"/>
    <s v="Cardiff City U21 vs Hull City U21"/>
  </r>
  <r>
    <s v="FK Lyn vs Sandnes Ulf / Total 0.5"/>
    <s v="Fulltbet"/>
    <x v="1294"/>
    <n v="-89.53"/>
    <n v="4.4999999999999998E-2"/>
    <n v="-89.53"/>
    <x v="9"/>
    <x v="19"/>
    <x v="2"/>
    <n v="50"/>
    <x v="126"/>
    <n v="0"/>
    <n v="-1.7906"/>
    <n v="0"/>
    <x v="0"/>
    <x v="502"/>
    <x v="559"/>
    <s v="FK Lyn vs Sandnes Ulf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</r>
  <r>
    <s v="Carabobo FC vs Anzoategui FC / Total 2.5"/>
    <s v="Fulltbet"/>
    <x v="1298"/>
    <n v="47.75"/>
    <n v="4.4999999999999998E-2"/>
    <n v="50"/>
    <x v="9"/>
    <x v="10"/>
    <x v="89"/>
    <n v="50"/>
    <x v="126"/>
    <n v="2.25"/>
    <n v="0.95499999999999996"/>
    <n v="1"/>
    <x v="0"/>
    <x v="504"/>
    <x v="357"/>
    <s v="Carabobo FC vs Anzoategui FC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</r>
  <r>
    <s v="West Bromwich Albion vs Watford / Total 1.5"/>
    <s v="Fulltbet"/>
    <x v="1302"/>
    <n v="47.75"/>
    <n v="4.4999999999999998E-2"/>
    <n v="50"/>
    <x v="9"/>
    <x v="28"/>
    <x v="154"/>
    <n v="50"/>
    <x v="127"/>
    <n v="2.25"/>
    <n v="0.95499999999999996"/>
    <n v="1"/>
    <x v="0"/>
    <x v="260"/>
    <x v="210"/>
    <s v="West Bromwich Albion vs Watford"/>
  </r>
  <r>
    <s v="Leicester City vs Hull City / Total 1.5"/>
    <s v="Fulltbet"/>
    <x v="1303"/>
    <n v="47.75"/>
    <n v="4.4999999999999998E-2"/>
    <n v="50"/>
    <x v="9"/>
    <x v="28"/>
    <x v="0"/>
    <n v="50"/>
    <x v="127"/>
    <n v="2.25"/>
    <n v="0.95499999999999996"/>
    <n v="1"/>
    <x v="0"/>
    <x v="197"/>
    <x v="280"/>
    <s v="Leicester City vs Hull City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</r>
  <r>
    <s v="Real Madrid vs Deportivo Alaves / Total 1.5"/>
    <s v="Fulltbet"/>
    <x v="1307"/>
    <n v="47.75"/>
    <n v="4.4999999999999998E-2"/>
    <n v="50"/>
    <x v="9"/>
    <x v="28"/>
    <x v="32"/>
    <n v="50"/>
    <x v="127"/>
    <n v="2.25"/>
    <n v="0.95499999999999996"/>
    <n v="1"/>
    <x v="0"/>
    <x v="91"/>
    <x v="292"/>
    <s v="Real Madrid vs Deportivo Alaves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</r>
  <r>
    <s v="Real Madrid vs Deportivo Alaves / Match Odds"/>
    <s v="Fulltbet"/>
    <x v="1308"/>
    <n v="14.04805"/>
    <n v="4.4999999999999998E-2"/>
    <n v="14.71"/>
    <x v="8"/>
    <x v="20"/>
    <x v="44"/>
    <n v="100.03"/>
    <x v="127"/>
    <n v="0.66195000000000093"/>
    <n v="0.14043836848945315"/>
    <n v="1"/>
    <x v="4"/>
    <x v="91"/>
    <x v="292"/>
    <s v="Real Madrid vs Deportivo Alaves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</r>
  <r>
    <s v="FC København vs Odense BK / Total 1.5"/>
    <s v="Fulltbet"/>
    <x v="1311"/>
    <n v="47.75"/>
    <n v="4.4999999999999998E-2"/>
    <n v="50"/>
    <x v="9"/>
    <x v="28"/>
    <x v="89"/>
    <n v="50"/>
    <x v="128"/>
    <n v="2.25"/>
    <n v="0.95499999999999996"/>
    <n v="1"/>
    <x v="0"/>
    <x v="85"/>
    <x v="440"/>
    <s v="FC København vs Odense BK"/>
  </r>
  <r>
    <s v="Hammarby IF vs Halmstads BK / Total 1.5"/>
    <s v="Fulltbet"/>
    <x v="1312"/>
    <n v="-84.26"/>
    <n v="4.4999999999999998E-2"/>
    <n v="-84.26"/>
    <x v="9"/>
    <x v="28"/>
    <x v="17"/>
    <n v="50"/>
    <x v="128"/>
    <n v="0"/>
    <n v="-1.6852"/>
    <n v="0"/>
    <x v="0"/>
    <x v="436"/>
    <x v="562"/>
    <s v="Hammarby IF vs Halmstads BK"/>
  </r>
  <r>
    <s v="Istra 1961 vs Dinamo Zagreb / Total 1.5"/>
    <s v="Fulltbet"/>
    <x v="1313"/>
    <n v="47.75"/>
    <n v="4.4999999999999998E-2"/>
    <n v="50"/>
    <x v="9"/>
    <x v="28"/>
    <x v="13"/>
    <n v="50"/>
    <x v="128"/>
    <n v="2.25"/>
    <n v="0.95499999999999996"/>
    <n v="1"/>
    <x v="0"/>
    <x v="509"/>
    <x v="352"/>
    <s v="Istra 1961 vs Dinamo Zagreb"/>
  </r>
  <r>
    <s v="FC Yverdon-Sport vs Neuchâtel Xamax / Correct Score"/>
    <s v="Fulltbet"/>
    <x v="1314"/>
    <n v="2.99"/>
    <n v="4.4999999999999998E-2"/>
    <n v="3.1308900523560212"/>
    <x v="10"/>
    <x v="31"/>
    <x v="10"/>
    <n v="50.08"/>
    <x v="128"/>
    <n v="0.14089005235602103"/>
    <n v="5.9704472843450485E-2"/>
    <n v="1"/>
    <x v="0"/>
    <x v="10"/>
    <x v="365"/>
    <s v="FC Yverdon-Sport vs Neuchâtel Xamax"/>
  </r>
  <r>
    <s v="Viborg FF vs Brøndby IF / Correct Score"/>
    <s v="Fulltbet"/>
    <x v="1315"/>
    <n v="3.98"/>
    <n v="4.4999999999999998E-2"/>
    <n v="4.167539267015707"/>
    <x v="10"/>
    <x v="31"/>
    <x v="40"/>
    <n v="108.42"/>
    <x v="128"/>
    <n v="0.187539267015707"/>
    <n v="3.6709094263051099E-2"/>
    <n v="1"/>
    <x v="0"/>
    <x v="510"/>
    <x v="507"/>
    <s v="Viborg FF vs Brøndby IF"/>
  </r>
  <r>
    <s v="Viborg FF vs Brøndby IF / Total 0.5"/>
    <s v="Fulltbet"/>
    <x v="1316"/>
    <n v="-79.319999999999993"/>
    <n v="4.4999999999999998E-2"/>
    <n v="-79.319999999999993"/>
    <x v="9"/>
    <x v="19"/>
    <x v="33"/>
    <n v="50"/>
    <x v="128"/>
    <n v="0"/>
    <n v="-1.5863999999999998"/>
    <n v="0"/>
    <x v="0"/>
    <x v="510"/>
    <x v="507"/>
    <s v="Viborg FF vs Brøndby IF"/>
  </r>
  <r>
    <s v="Middlesbrough vs Sheffield Wednesday / Total 1.5"/>
    <s v="Fulltbet"/>
    <x v="1317"/>
    <n v="-89.91"/>
    <n v="4.4999999999999998E-2"/>
    <n v="-89.91"/>
    <x v="9"/>
    <x v="28"/>
    <x v="8"/>
    <n v="50"/>
    <x v="128"/>
    <n v="0"/>
    <n v="-1.7982"/>
    <n v="0"/>
    <x v="0"/>
    <x v="214"/>
    <x v="114"/>
    <s v="Middlesbrough vs Sheffield Wednesday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</r>
  <r>
    <s v="Bayer 04 Leverkusen vs FC Bayern München / Match Odds"/>
    <s v="Fulltbet"/>
    <x v="1319"/>
    <n v="88.070099999999996"/>
    <n v="4.4999999999999998E-2"/>
    <n v="92.22"/>
    <x v="3"/>
    <x v="7"/>
    <x v="127"/>
    <n v="414.99"/>
    <x v="128"/>
    <n v="4.1499000000000024"/>
    <n v="0.2122222222222222"/>
    <n v="1"/>
    <x v="3"/>
    <x v="129"/>
    <x v="74"/>
    <s v="Bayer 04 Leverkusen vs FC Bayern München"/>
  </r>
  <r>
    <s v="Bayer 04 Leverkusen vs FC Bayern München / Match Odds"/>
    <s v="Fulltbet"/>
    <x v="1319"/>
    <n v="22.738549999999996"/>
    <n v="4.4999999999999998E-2"/>
    <n v="23.81"/>
    <x v="8"/>
    <x v="20"/>
    <x v="126"/>
    <n v="100"/>
    <x v="128"/>
    <n v="1.0714500000000022"/>
    <n v="0.22738549999999996"/>
    <n v="1"/>
    <x v="0"/>
    <x v="129"/>
    <x v="74"/>
    <s v="Bayer 04 Leverkusen vs FC Bayern München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</r>
  <r>
    <s v="FC Dallas vs Minnesota United / Correct Score"/>
    <s v="Fulltbet"/>
    <x v="1323"/>
    <n v="2.17"/>
    <n v="4.4999999999999998E-2"/>
    <n v="2.2722513089005236"/>
    <x v="10"/>
    <x v="31"/>
    <x v="7"/>
    <n v="49.94"/>
    <x v="128"/>
    <n v="0.1022513089005237"/>
    <n v="4.3452142571085303E-2"/>
    <n v="1"/>
    <x v="0"/>
    <x v="512"/>
    <x v="563"/>
    <s v="FC Dallas vs Minnesota United"/>
  </r>
  <r>
    <s v="Houston Dynamo vs San Diego FC / Correct Score"/>
    <s v="Fulltbet"/>
    <x v="1324"/>
    <n v="2.0699999999999998"/>
    <n v="4.4999999999999998E-2"/>
    <n v="2.1675392670157065"/>
    <x v="10"/>
    <x v="31"/>
    <x v="109"/>
    <n v="49.91"/>
    <x v="128"/>
    <n v="9.7539267015706699E-2"/>
    <n v="4.1474654377880185E-2"/>
    <n v="1"/>
    <x v="0"/>
    <x v="513"/>
    <x v="564"/>
    <s v="Houston Dynamo vs San Diego FC"/>
  </r>
  <r>
    <s v="Atlético San Luis vs Santos Laguna / Total 0.5"/>
    <s v="Fulltbet"/>
    <x v="1325"/>
    <n v="-72.150000000000006"/>
    <n v="4.4999999999999998E-2"/>
    <n v="-72.150000000000006"/>
    <x v="9"/>
    <x v="19"/>
    <x v="22"/>
    <n v="50"/>
    <x v="128"/>
    <n v="0"/>
    <n v="-1.4430000000000001"/>
    <n v="0"/>
    <x v="0"/>
    <x v="514"/>
    <x v="565"/>
    <s v="Atlético San Luis vs Santos Laguna"/>
  </r>
  <r>
    <s v="Atlético San Luis vs Santos Laguna / Correct Score"/>
    <s v="Fulltbet"/>
    <x v="1326"/>
    <n v="3.08"/>
    <n v="4.4999999999999998E-2"/>
    <n v="3.2251308900523563"/>
    <x v="10"/>
    <x v="31"/>
    <x v="6"/>
    <n v="50"/>
    <x v="129"/>
    <n v="0.14513089005235624"/>
    <n v="6.1600000000000002E-2"/>
    <n v="1"/>
    <x v="0"/>
    <x v="514"/>
    <x v="565"/>
    <s v="Atlético San Luis vs Santos Laguna"/>
  </r>
  <r>
    <s v="San Jose Earthquakes vs Austin FC / Total 1.5"/>
    <s v="Fulltbet"/>
    <x v="1327"/>
    <n v="1.91"/>
    <n v="4.4999999999999998E-2"/>
    <n v="2"/>
    <x v="10"/>
    <x v="32"/>
    <x v="23"/>
    <n v="2"/>
    <x v="129"/>
    <n v="9.000000000000008E-2"/>
    <n v="0.95499999999999996"/>
    <n v="1"/>
    <x v="0"/>
    <x v="515"/>
    <x v="566"/>
    <s v="San Jose Earthquakes vs Austin FC"/>
  </r>
  <r>
    <s v="Al Najma Club vs Al-Taawoun Buraidah / Total 1.5"/>
    <s v="Fulltbet"/>
    <x v="1328"/>
    <n v="-1.47"/>
    <n v="4.4999999999999998E-2"/>
    <n v="-1.47"/>
    <x v="10"/>
    <x v="32"/>
    <x v="33"/>
    <n v="16.399999999999999"/>
    <x v="129"/>
    <n v="0"/>
    <n v="-8.9634146341463425E-2"/>
    <n v="0"/>
    <x v="0"/>
    <x v="516"/>
    <x v="268"/>
    <s v="Al Najma Club vs Al-Taawoun Buraidah"/>
  </r>
  <r>
    <s v="Randers FC vs FC Fredericia / Correct Score"/>
    <s v="Fulltbet"/>
    <x v="1329"/>
    <n v="2.65"/>
    <n v="4.4999999999999998E-2"/>
    <n v="2.7748691099476441"/>
    <x v="10"/>
    <x v="31"/>
    <x v="24"/>
    <n v="51.43"/>
    <x v="129"/>
    <n v="0.12486910994764422"/>
    <n v="5.1526346490375269E-2"/>
    <n v="1"/>
    <x v="0"/>
    <x v="415"/>
    <x v="567"/>
    <s v="Randers FC vs FC Fredericia"/>
  </r>
  <r>
    <s v="FC Nordsjælland vs AGF Aarhus / Correct Score"/>
    <s v="Fulltbet"/>
    <x v="1330"/>
    <n v="1.99"/>
    <n v="4.4999999999999998E-2"/>
    <n v="2.0837696335078535"/>
    <x v="10"/>
    <x v="31"/>
    <x v="110"/>
    <n v="49.92"/>
    <x v="129"/>
    <n v="9.37696335078535E-2"/>
    <n v="3.9863782051282048E-2"/>
    <n v="1"/>
    <x v="0"/>
    <x v="80"/>
    <x v="521"/>
    <s v="FC Nordsjælland vs AGF Aarhus"/>
  </r>
  <r>
    <s v="Malmö FF vs IK Sirius / Total 1.5"/>
    <s v="Fulltbet"/>
    <x v="1331"/>
    <n v="-0.95"/>
    <n v="4.4999999999999998E-2"/>
    <n v="-0.95"/>
    <x v="10"/>
    <x v="32"/>
    <x v="116"/>
    <n v="10.4"/>
    <x v="129"/>
    <n v="0"/>
    <n v="-9.1346153846153841E-2"/>
    <n v="0"/>
    <x v="0"/>
    <x v="517"/>
    <x v="568"/>
    <s v="Malmö FF vs IK Sirius"/>
  </r>
  <r>
    <s v="Malmö FF vs IK Sirius / Correct Score"/>
    <s v="Fulltbet"/>
    <x v="1332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517"/>
    <x v="568"/>
    <s v="Malmö FF vs IK Sirius"/>
  </r>
  <r>
    <s v="PSV Eindhoven vs PEC Zwolle / Total 1.5"/>
    <s v="Fulltbet"/>
    <x v="1333"/>
    <n v="1.91"/>
    <n v="4.4999999999999998E-2"/>
    <n v="2"/>
    <x v="10"/>
    <x v="32"/>
    <x v="2"/>
    <n v="2"/>
    <x v="129"/>
    <n v="9.000000000000008E-2"/>
    <n v="0.95499999999999996"/>
    <n v="1"/>
    <x v="0"/>
    <x v="238"/>
    <x v="326"/>
    <s v="PSV Eindhoven vs PEC Zwolle"/>
  </r>
  <r>
    <s v="Salford City vs Bromley / Correct Score"/>
    <s v="Fulltbet"/>
    <x v="1334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298"/>
    <x v="542"/>
    <s v="Salford City vs Bromley"/>
  </r>
  <r>
    <s v="Sukhothai FC vs Ratchaburi / Total 1.5"/>
    <s v="Fulltbet"/>
    <x v="1335"/>
    <n v="-1.17"/>
    <n v="4.4999999999999998E-2"/>
    <n v="-1.17"/>
    <x v="10"/>
    <x v="32"/>
    <x v="41"/>
    <n v="13.2"/>
    <x v="130"/>
    <n v="0"/>
    <n v="-8.8636363636363638E-2"/>
    <n v="0"/>
    <x v="0"/>
    <x v="518"/>
    <x v="569"/>
    <s v="Sukhothai FC vs Ratchaburi"/>
  </r>
  <r>
    <s v="Persib Bandung vs Arema / Total 0.5"/>
    <s v="Fulltbet"/>
    <x v="1336"/>
    <n v="-79.58"/>
    <n v="4.4999999999999998E-2"/>
    <n v="-79.58"/>
    <x v="9"/>
    <x v="19"/>
    <x v="2"/>
    <n v="50"/>
    <x v="130"/>
    <n v="0"/>
    <n v="-1.5915999999999999"/>
    <n v="0"/>
    <x v="0"/>
    <x v="519"/>
    <x v="570"/>
    <s v="Persib Bandung vs Arema"/>
  </r>
  <r>
    <s v="Ústí nad Labem vs FK Viktoria Žižkov / Total 1.5"/>
    <s v="Fulltbet"/>
    <x v="1337"/>
    <n v="47.75"/>
    <n v="4.4999999999999998E-2"/>
    <n v="50"/>
    <x v="9"/>
    <x v="28"/>
    <x v="14"/>
    <n v="50"/>
    <x v="130"/>
    <n v="2.25"/>
    <n v="0.95499999999999996"/>
    <n v="1"/>
    <x v="0"/>
    <x v="520"/>
    <x v="571"/>
    <s v="Ústí nad Labem vs FK Viktoria Žižkov"/>
  </r>
  <r>
    <s v="SJK vs FF Jaro / Total 1.5"/>
    <s v="Fulltbet"/>
    <x v="1338"/>
    <n v="47.75"/>
    <n v="4.4999999999999998E-2"/>
    <n v="50"/>
    <x v="9"/>
    <x v="28"/>
    <x v="156"/>
    <n v="50"/>
    <x v="130"/>
    <n v="2.25"/>
    <n v="0.95499999999999996"/>
    <n v="1"/>
    <x v="0"/>
    <x v="521"/>
    <x v="572"/>
    <s v="SJK vs FF Jaro"/>
  </r>
  <r>
    <s v="Zaglebie Lubin vs Termalica Bruk-Bet Nieciecza / Total 1.5"/>
    <s v="Fulltbet"/>
    <x v="1339"/>
    <n v="-71.25"/>
    <n v="4.4999999999999998E-2"/>
    <n v="-71.25"/>
    <x v="9"/>
    <x v="28"/>
    <x v="9"/>
    <n v="50"/>
    <x v="130"/>
    <n v="0"/>
    <n v="-1.425"/>
    <n v="0"/>
    <x v="0"/>
    <x v="331"/>
    <x v="426"/>
    <s v="Zaglebie Lubin vs Termalica Bruk-Bet Nieciecza"/>
  </r>
  <r>
    <s v="Zaglebie Lubin vs Termalica Bruk-Bet Nieciecza / Total 1.5"/>
    <s v="Fulltbet"/>
    <x v="1339"/>
    <n v="-1.44"/>
    <n v="4.4999999999999998E-2"/>
    <n v="-1.44"/>
    <x v="10"/>
    <x v="32"/>
    <x v="121"/>
    <n v="11.6"/>
    <x v="130"/>
    <n v="0"/>
    <n v="-0.12413793103448276"/>
    <n v="0"/>
    <x v="0"/>
    <x v="331"/>
    <x v="426"/>
    <s v="Zaglebie Lubin vs Termalica Bruk-Bet Nieciecza"/>
  </r>
  <r>
    <s v="Al Hazm vs Al-Riyadh / Total 1.5"/>
    <s v="Fulltbet"/>
    <x v="1340"/>
    <n v="1.91"/>
    <n v="4.4999999999999998E-2"/>
    <n v="2"/>
    <x v="10"/>
    <x v="32"/>
    <x v="121"/>
    <n v="2"/>
    <x v="130"/>
    <n v="9.000000000000008E-2"/>
    <n v="0.95499999999999996"/>
    <n v="1"/>
    <x v="0"/>
    <x v="409"/>
    <x v="264"/>
    <s v="Al Hazm vs Al-Riyadh"/>
  </r>
  <r>
    <s v="Al-Fateh Al-Hasa vs Al-Khaleej Saihat / Correct Score"/>
    <s v="Fulltbet"/>
    <x v="1341"/>
    <n v="1.77"/>
    <n v="4.4999999999999998E-2"/>
    <n v="1.8534031413612566"/>
    <x v="10"/>
    <x v="31"/>
    <x v="35"/>
    <n v="49.95"/>
    <x v="130"/>
    <n v="8.3403141361256594E-2"/>
    <n v="3.5435435435435432E-2"/>
    <n v="1"/>
    <x v="0"/>
    <x v="248"/>
    <x v="263"/>
    <s v="Al-Fateh Al-Hasa vs Al-Khaleej Saihat"/>
  </r>
  <r>
    <s v="Monza vs Modena FC 2018 / Total 1.5"/>
    <s v="Fulltbet"/>
    <x v="1342"/>
    <n v="-1.6"/>
    <n v="4.4999999999999998E-2"/>
    <n v="-1.6"/>
    <x v="10"/>
    <x v="32"/>
    <x v="28"/>
    <n v="12.4"/>
    <x v="130"/>
    <n v="0"/>
    <n v="-0.12903225806451613"/>
    <n v="0"/>
    <x v="0"/>
    <x v="95"/>
    <x v="261"/>
    <s v="Monza vs Modena FC 2018"/>
  </r>
  <r>
    <s v="Jong AZ Alkmaar vs Roda JC / Total 1.5"/>
    <s v="Fulltbet"/>
    <x v="1343"/>
    <n v="1.91"/>
    <n v="4.4999999999999998E-2"/>
    <n v="2"/>
    <x v="10"/>
    <x v="32"/>
    <x v="10"/>
    <n v="2"/>
    <x v="130"/>
    <n v="9.000000000000008E-2"/>
    <n v="0.95499999999999996"/>
    <n v="1"/>
    <x v="0"/>
    <x v="247"/>
    <x v="366"/>
    <s v="Jong AZ Alkmaar vs Roda JC"/>
  </r>
  <r>
    <s v="Den Bosch vs ADO Den Haag / Total 1.5"/>
    <s v="Fulltbet"/>
    <x v="1344"/>
    <n v="1.91"/>
    <n v="4.4999999999999998E-2"/>
    <n v="2"/>
    <x v="10"/>
    <x v="32"/>
    <x v="2"/>
    <n v="2"/>
    <x v="130"/>
    <n v="9.000000000000008E-2"/>
    <n v="0.95499999999999996"/>
    <n v="1"/>
    <x v="0"/>
    <x v="410"/>
    <x v="311"/>
    <s v="Den Bosch vs ADO Den Haag"/>
  </r>
  <r>
    <s v="Shelbourne FC vs Drogheda United / Total 1.5"/>
    <s v="Fulltbet"/>
    <x v="1345"/>
    <n v="47.75"/>
    <n v="4.4999999999999998E-2"/>
    <n v="50"/>
    <x v="9"/>
    <x v="28"/>
    <x v="9"/>
    <n v="50"/>
    <x v="130"/>
    <n v="2.25"/>
    <n v="0.95499999999999996"/>
    <n v="1"/>
    <x v="0"/>
    <x v="522"/>
    <x v="573"/>
    <s v="Shelbourne FC vs Drogheda United"/>
  </r>
  <r>
    <s v="Napoli vs Cremonese / Total 1.5"/>
    <s v="Fulltbet"/>
    <x v="1346"/>
    <n v="1.91"/>
    <n v="4.4999999999999998E-2"/>
    <n v="2"/>
    <x v="10"/>
    <x v="32"/>
    <x v="121"/>
    <n v="2"/>
    <x v="130"/>
    <n v="9.000000000000008E-2"/>
    <n v="0.95499999999999996"/>
    <n v="1"/>
    <x v="0"/>
    <x v="42"/>
    <x v="34"/>
    <s v="Napoli vs Cremonese"/>
  </r>
  <r>
    <s v="Kazincbarcika SC vs MTK Budapest / Total 0.5"/>
    <s v="Fulltbet"/>
    <x v="1347"/>
    <n v="-77.849999999999994"/>
    <n v="4.4999999999999998E-2"/>
    <n v="-77.849999999999994"/>
    <x v="9"/>
    <x v="19"/>
    <x v="157"/>
    <n v="50"/>
    <x v="130"/>
    <n v="0"/>
    <n v="-1.5569999999999999"/>
    <n v="0"/>
    <x v="0"/>
    <x v="523"/>
    <x v="574"/>
    <s v="Kazincbarcika SC vs MTK Budapest"/>
  </r>
  <r>
    <s v="RB Leipzig vs 1. FC Union Berlin / Total 2.5"/>
    <s v="Fulltbet"/>
    <x v="1348"/>
    <n v="-66.67"/>
    <n v="4.4999999999999998E-2"/>
    <n v="-66.67"/>
    <x v="9"/>
    <x v="10"/>
    <x v="14"/>
    <n v="50"/>
    <x v="130"/>
    <n v="0"/>
    <n v="-1.3334000000000001"/>
    <n v="0"/>
    <x v="0"/>
    <x v="77"/>
    <x v="291"/>
    <s v="RB Leipzig vs 1. FC Union Berlin"/>
  </r>
  <r>
    <s v="Red Star FC 93 vs En Avant Guingamp / Correct Score"/>
    <s v="Fulltbet"/>
    <x v="1349"/>
    <n v="3.29"/>
    <n v="4.4999999999999998E-2"/>
    <n v="3.4450261780104712"/>
    <x v="10"/>
    <x v="31"/>
    <x v="29"/>
    <n v="50.03"/>
    <x v="130"/>
    <n v="0.15502617801047114"/>
    <n v="6.5760543673795718E-2"/>
    <n v="1"/>
    <x v="0"/>
    <x v="524"/>
    <x v="575"/>
    <s v="Red Star FC 93 vs En Avant Guingamp"/>
  </r>
  <r>
    <s v="FC Eindhoven vs Helmond Sport / Total 3.5"/>
    <s v="Fulltbet"/>
    <x v="1350"/>
    <n v="0.39"/>
    <n v="4.4999999999999998E-2"/>
    <n v="0.40837696335078538"/>
    <x v="10"/>
    <x v="33"/>
    <x v="51"/>
    <n v="2"/>
    <x v="130"/>
    <n v="1.8376963350785369E-2"/>
    <n v="0.19500000000000001"/>
    <n v="1"/>
    <x v="0"/>
    <x v="338"/>
    <x v="453"/>
    <s v="FC Eindhoven vs Helmond Sport"/>
  </r>
  <r>
    <s v="RB Leipzig vs 1. FC Union Berlin / Match Odds"/>
    <s v="Fulltbet"/>
    <x v="1351"/>
    <n v="61.92"/>
    <n v="4.4999999999999998E-2"/>
    <n v="64.837696335078533"/>
    <x v="3"/>
    <x v="7"/>
    <x v="81"/>
    <n v="414.98"/>
    <x v="130"/>
    <n v="2.9176963350785314"/>
    <n v="0.14921201021735986"/>
    <n v="1"/>
    <x v="3"/>
    <x v="77"/>
    <x v="291"/>
    <s v="RB Leipzig vs 1. FC Union Berlin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</r>
  <r>
    <s v="Real Betis vs Real Madrid / Total 1.5"/>
    <s v="Fulltbet"/>
    <x v="1353"/>
    <n v="-80.28"/>
    <n v="4.4999999999999998E-2"/>
    <n v="-80.28"/>
    <x v="9"/>
    <x v="28"/>
    <x v="5"/>
    <n v="50"/>
    <x v="130"/>
    <n v="0"/>
    <n v="-1.6055999999999999"/>
    <n v="0"/>
    <x v="0"/>
    <x v="78"/>
    <x v="247"/>
    <s v="Real Betis vs Real Madrid"/>
  </r>
  <r>
    <s v="Real Betis vs Real Madrid / Total 1.5"/>
    <s v="Fulltbet"/>
    <x v="1353"/>
    <n v="-2.1"/>
    <n v="4.4999999999999998E-2"/>
    <n v="-2.1"/>
    <x v="10"/>
    <x v="32"/>
    <x v="5"/>
    <n v="24"/>
    <x v="130"/>
    <n v="0"/>
    <n v="-8.7500000000000008E-2"/>
    <n v="0"/>
    <x v="0"/>
    <x v="78"/>
    <x v="247"/>
    <s v="Real Betis vs Real Madrid"/>
  </r>
  <r>
    <s v="Real Betis vs Real Madrid / Half Time/Full Time"/>
    <s v="Fulltbet"/>
    <x v="1354"/>
    <n v="63.93"/>
    <n v="4.4999999999999998E-2"/>
    <n v="66.942408376963357"/>
    <x v="3"/>
    <x v="24"/>
    <x v="28"/>
    <n v="415.03"/>
    <x v="130"/>
    <n v="3.0124083769633572"/>
    <n v="0.15403705756210395"/>
    <n v="1"/>
    <x v="4"/>
    <x v="78"/>
    <x v="247"/>
    <s v="Real Betis vs Real Madrid"/>
  </r>
  <r>
    <s v="Club Independiente Petrolero vs Universitario de Vinto / Total 2.5"/>
    <s v="Fulltbet"/>
    <x v="1355"/>
    <n v="-2"/>
    <n v="4.4999999999999998E-2"/>
    <n v="-2"/>
    <x v="10"/>
    <x v="34"/>
    <x v="158"/>
    <n v="2"/>
    <x v="130"/>
    <n v="0"/>
    <n v="-1"/>
    <n v="0"/>
    <x v="0"/>
    <x v="525"/>
    <x v="140"/>
    <s v="Club Independiente Petrolero vs Universitario de Vinto"/>
  </r>
  <r>
    <s v="Western Sydney Wanderers vs Melbourne Victory / Total 3.5"/>
    <s v="Fulltbet"/>
    <x v="1356"/>
    <n v="0.4"/>
    <n v="4.4999999999999998E-2"/>
    <n v="0.41884816753926707"/>
    <x v="10"/>
    <x v="33"/>
    <x v="159"/>
    <n v="2"/>
    <x v="131"/>
    <n v="1.8848167539267047E-2"/>
    <n v="0.2"/>
    <n v="1"/>
    <x v="0"/>
    <x v="526"/>
    <x v="576"/>
    <s v="Western Sydney Wanderers vs Melbourne Victory"/>
  </r>
  <r>
    <s v="Middlesbrough vs Watford / Total 1.5"/>
    <s v="Fulltbet"/>
    <x v="1357"/>
    <n v="47.75"/>
    <n v="4.4999999999999998E-2"/>
    <n v="50"/>
    <x v="9"/>
    <x v="28"/>
    <x v="41"/>
    <n v="50"/>
    <x v="131"/>
    <n v="2.25"/>
    <n v="0.95499999999999996"/>
    <n v="1"/>
    <x v="0"/>
    <x v="214"/>
    <x v="210"/>
    <s v="Middlesbrough vs Watford"/>
  </r>
  <r>
    <s v="Beijing Guoan vs Tianjin Jinmenhu / Total 0.5"/>
    <s v="Fulltbet"/>
    <x v="1358"/>
    <n v="47.75"/>
    <n v="4.4999999999999998E-2"/>
    <n v="50"/>
    <x v="9"/>
    <x v="19"/>
    <x v="13"/>
    <n v="50"/>
    <x v="131"/>
    <n v="2.25"/>
    <n v="0.95499999999999996"/>
    <n v="1"/>
    <x v="0"/>
    <x v="527"/>
    <x v="550"/>
    <s v="Beijing Guoan vs Tianjin Jinmenhu"/>
  </r>
  <r>
    <s v="Vanspor FK vs Ugur Okullari Istanbulspor / Correct Score"/>
    <s v="Fulltbet"/>
    <x v="1359"/>
    <n v="2.0699999999999998"/>
    <n v="4.4999999999999998E-2"/>
    <n v="2.1675392670157065"/>
    <x v="10"/>
    <x v="31"/>
    <x v="109"/>
    <n v="49.91"/>
    <x v="131"/>
    <n v="9.7539267015706699E-2"/>
    <n v="4.1474654377880185E-2"/>
    <n v="1"/>
    <x v="0"/>
    <x v="528"/>
    <x v="164"/>
    <s v="Vanspor FK vs Ugur Okullari Istanbulspor"/>
  </r>
  <r>
    <s v="Stockport County vs Peterborough United / Total 2.5"/>
    <s v="Fulltbet"/>
    <x v="1360"/>
    <n v="47.75"/>
    <n v="4.4999999999999998E-2"/>
    <n v="50"/>
    <x v="9"/>
    <x v="10"/>
    <x v="34"/>
    <n v="50"/>
    <x v="131"/>
    <n v="2.25"/>
    <n v="0.95499999999999996"/>
    <n v="1"/>
    <x v="0"/>
    <x v="75"/>
    <x v="577"/>
    <s v="Stockport County vs Peterborough United"/>
  </r>
  <r>
    <s v="Karlsruher SC vs Hannover 96 / Total 2.5"/>
    <s v="Fulltbet"/>
    <x v="1361"/>
    <n v="-2"/>
    <n v="4.4999999999999998E-2"/>
    <n v="-2"/>
    <x v="10"/>
    <x v="34"/>
    <x v="92"/>
    <n v="2"/>
    <x v="131"/>
    <n v="0"/>
    <n v="-1"/>
    <n v="0"/>
    <x v="0"/>
    <x v="465"/>
    <x v="360"/>
    <s v="Karlsruher SC vs Hannover 96"/>
  </r>
  <r>
    <s v="Hertha BSC vs Holstein Kiel / Correct Score"/>
    <s v="Fulltbet"/>
    <x v="1362"/>
    <n v="2.99"/>
    <n v="4.4999999999999998E-2"/>
    <n v="3.1308900523560212"/>
    <x v="10"/>
    <x v="31"/>
    <x v="10"/>
    <n v="50.08"/>
    <x v="131"/>
    <n v="0.14089005235602103"/>
    <n v="5.9704472843450485E-2"/>
    <n v="1"/>
    <x v="0"/>
    <x v="350"/>
    <x v="51"/>
    <s v="Hertha BSC vs Holstein Kiel"/>
  </r>
  <r>
    <s v="Hertha BSC vs Holstein Kiel / Total 1.5"/>
    <s v="Fulltbet"/>
    <x v="1363"/>
    <n v="1.59"/>
    <n v="4.4999999999999998E-2"/>
    <n v="1.6649214659685865"/>
    <x v="10"/>
    <x v="35"/>
    <x v="113"/>
    <n v="2"/>
    <x v="131"/>
    <n v="7.4921465968586398E-2"/>
    <n v="0.79500000000000004"/>
    <n v="1"/>
    <x v="0"/>
    <x v="350"/>
    <x v="51"/>
    <s v="Hertha BSC vs Holstein Kiel"/>
  </r>
  <r>
    <s v="Chengdu Rongcheng vs Zhejiang Professional / Match Odds"/>
    <s v="Fulltbet"/>
    <x v="1364"/>
    <n v="2.87"/>
    <n v="4.4999999999999998E-2"/>
    <n v="3.005235602094241"/>
    <x v="10"/>
    <x v="36"/>
    <x v="23"/>
    <n v="31.5"/>
    <x v="131"/>
    <n v="0.1352356020942409"/>
    <n v="9.1111111111111115E-2"/>
    <n v="1"/>
    <x v="0"/>
    <x v="529"/>
    <x v="578"/>
    <s v="Chengdu Rongcheng vs Zhejiang Professional"/>
  </r>
  <r>
    <s v="Shanghai Port vs Wuhan Three Towns / Total 1.5"/>
    <s v="Fulltbet"/>
    <x v="1365"/>
    <n v="47.68"/>
    <n v="4.4999999999999998E-2"/>
    <n v="49.926701570680628"/>
    <x v="9"/>
    <x v="28"/>
    <x v="28"/>
    <n v="49.93"/>
    <x v="131"/>
    <n v="2.2467015706806279"/>
    <n v="0.95493691167634687"/>
    <n v="1"/>
    <x v="0"/>
    <x v="530"/>
    <x v="579"/>
    <s v="Shanghai Port vs Wuhan Three Towns"/>
  </r>
  <r>
    <s v="Fulham vs Aston Villa / Match Odds"/>
    <s v="Fulltbet"/>
    <x v="1366"/>
    <n v="0.19"/>
    <n v="4.4999999999999998E-2"/>
    <n v="0.19895287958115185"/>
    <x v="10"/>
    <x v="37"/>
    <x v="160"/>
    <n v="4.9000000000000004"/>
    <x v="131"/>
    <n v="8.9528795811518458E-3"/>
    <n v="3.8775510204081633E-2"/>
    <n v="1"/>
    <x v="0"/>
    <x v="215"/>
    <x v="50"/>
    <s v="Fulham vs Aston Villa"/>
  </r>
  <r>
    <s v="Milton Keynes Dons vs Tranmere Rovers / Match Odds"/>
    <s v="Fulltbet"/>
    <x v="1367"/>
    <n v="3.58"/>
    <n v="4.4999999999999998E-2"/>
    <n v="3.74869109947644"/>
    <x v="10"/>
    <x v="36"/>
    <x v="22"/>
    <n v="30"/>
    <x v="131"/>
    <n v="0.1686910994764399"/>
    <n v="0.11933333333333333"/>
    <n v="1"/>
    <x v="0"/>
    <x v="492"/>
    <x v="580"/>
    <s v="Milton Keynes Dons vs Tranmere Rovers"/>
  </r>
  <r>
    <s v="Korona Kielce vs GKS Katowice / Total 1.5"/>
    <s v="Fulltbet"/>
    <x v="1368"/>
    <n v="-0.98"/>
    <n v="4.4999999999999998E-2"/>
    <n v="-0.98"/>
    <x v="10"/>
    <x v="32"/>
    <x v="161"/>
    <n v="2"/>
    <x v="131"/>
    <n v="0"/>
    <n v="-0.49"/>
    <n v="0"/>
    <x v="0"/>
    <x v="368"/>
    <x v="361"/>
    <s v="Korona Kielce vs GKS Katowice"/>
  </r>
  <r>
    <s v="Virtus Entella vs Padova / Total 1.5"/>
    <s v="Fulltbet"/>
    <x v="1369"/>
    <n v="0.81"/>
    <n v="4.4999999999999998E-2"/>
    <n v="0.84816753926701582"/>
    <x v="10"/>
    <x v="35"/>
    <x v="162"/>
    <n v="2"/>
    <x v="131"/>
    <n v="3.8167539267015771E-2"/>
    <n v="0.40500000000000003"/>
    <n v="1"/>
    <x v="0"/>
    <x v="493"/>
    <x v="526"/>
    <s v="Virtus Entella vs Padova"/>
  </r>
  <r>
    <s v="Olympique Lyonnais vs AJ Auxerre / Match Odds"/>
    <s v="Fulltbet"/>
    <x v="1370"/>
    <n v="52.23"/>
    <n v="4.4999999999999998E-2"/>
    <n v="54.691099476439788"/>
    <x v="3"/>
    <x v="7"/>
    <x v="81"/>
    <n v="350.02"/>
    <x v="131"/>
    <n v="2.4610994764397915"/>
    <n v="0.14922004456888177"/>
    <n v="1"/>
    <x v="2"/>
    <x v="27"/>
    <x v="229"/>
    <s v="Olympique Lyonnais vs AJ Auxerre"/>
  </r>
  <r>
    <s v="Stoke City vs Portsmouth / Total 1.5"/>
    <s v="Fulltbet"/>
    <x v="1371"/>
    <n v="1.91"/>
    <n v="4.4999999999999998E-2"/>
    <n v="2"/>
    <x v="10"/>
    <x v="32"/>
    <x v="76"/>
    <n v="2"/>
    <x v="131"/>
    <n v="9.000000000000008E-2"/>
    <n v="0.95499999999999996"/>
    <n v="1"/>
    <x v="0"/>
    <x v="456"/>
    <x v="219"/>
    <s v="Stoke City vs Portsmouth"/>
  </r>
  <r>
    <s v="Burton Albion vs Exeter City / Total 1.5"/>
    <s v="Fulltbet"/>
    <x v="1372"/>
    <n v="-2.2000000000000002"/>
    <n v="4.4999999999999998E-2"/>
    <n v="-2.2000000000000002"/>
    <x v="10"/>
    <x v="32"/>
    <x v="14"/>
    <n v="2"/>
    <x v="131"/>
    <n v="0"/>
    <n v="-1.1000000000000001"/>
    <n v="0"/>
    <x v="0"/>
    <x v="531"/>
    <x v="581"/>
    <s v="Burton Albion vs Exeter City"/>
  </r>
  <r>
    <s v="VfL Wolfsburg vs Borussia Mönchengladbach / Correct Score"/>
    <s v="Fulltbet"/>
    <x v="1373"/>
    <n v="2.27"/>
    <n v="4.4999999999999998E-2"/>
    <n v="2.3769633507853403"/>
    <x v="10"/>
    <x v="31"/>
    <x v="4"/>
    <n v="49.98"/>
    <x v="131"/>
    <n v="0.10696335078534025"/>
    <n v="4.5418167266906763E-2"/>
    <n v="1"/>
    <x v="0"/>
    <x v="174"/>
    <x v="179"/>
    <s v="VfL Wolfsburg vs Borussia Mönchengladbach"/>
  </r>
  <r>
    <s v="FC Augsburg vs Eintracht Frankfurt / Correct Score"/>
    <s v="Fulltbet"/>
    <x v="1374"/>
    <n v="2.39"/>
    <n v="4.4999999999999998E-2"/>
    <n v="2.5026178010471205"/>
    <x v="10"/>
    <x v="31"/>
    <x v="11"/>
    <n v="50"/>
    <x v="131"/>
    <n v="0.11261780104712038"/>
    <n v="4.7800000000000002E-2"/>
    <n v="1"/>
    <x v="0"/>
    <x v="491"/>
    <x v="80"/>
    <s v="FC Augsburg vs Eintracht Frankfurt"/>
  </r>
  <r>
    <s v="FC Augsburg vs Eintracht Frankfurt / Match Odds"/>
    <s v="Fulltbet"/>
    <x v="1375"/>
    <n v="0.13"/>
    <n v="4.4999999999999998E-2"/>
    <n v="0.13612565445026178"/>
    <x v="10"/>
    <x v="37"/>
    <x v="163"/>
    <n v="5.01"/>
    <x v="131"/>
    <n v="6.1256544502617805E-3"/>
    <n v="2.5948103792415172E-2"/>
    <n v="1"/>
    <x v="0"/>
    <x v="491"/>
    <x v="80"/>
    <s v="FC Augsburg vs Eintracht Frankfurt"/>
  </r>
  <r>
    <s v="Oxford United vs Sheffield Wednesday / Total 2.5"/>
    <s v="Fulltbet"/>
    <x v="1376"/>
    <n v="-53.97"/>
    <n v="4.4999999999999998E-2"/>
    <n v="-53.97"/>
    <x v="9"/>
    <x v="10"/>
    <x v="164"/>
    <n v="50"/>
    <x v="131"/>
    <n v="0"/>
    <n v="-1.0793999999999999"/>
    <n v="0"/>
    <x v="0"/>
    <x v="532"/>
    <x v="114"/>
    <s v="Oxford United vs Sheffield Wednesday"/>
  </r>
  <r>
    <s v="Sheffield United vs Preston North End / Total 2.5"/>
    <s v="Fulltbet"/>
    <x v="1377"/>
    <n v="-85.27"/>
    <n v="4.4999999999999998E-2"/>
    <n v="-85.27"/>
    <x v="9"/>
    <x v="10"/>
    <x v="5"/>
    <n v="50"/>
    <x v="131"/>
    <n v="0"/>
    <n v="-1.7054"/>
    <n v="0"/>
    <x v="0"/>
    <x v="110"/>
    <x v="317"/>
    <s v="Sheffield United vs Preston North End"/>
  </r>
  <r>
    <s v="Burton Albion vs Exeter City / Correct Score"/>
    <s v="Fulltbet"/>
    <x v="1378"/>
    <n v="4.3499999999999996"/>
    <n v="4.4999999999999998E-2"/>
    <n v="4.5549738219895284"/>
    <x v="10"/>
    <x v="31"/>
    <x v="12"/>
    <n v="52.32"/>
    <x v="131"/>
    <n v="0.20497382198952874"/>
    <n v="8.3142201834862373E-2"/>
    <n v="1"/>
    <x v="0"/>
    <x v="531"/>
    <x v="581"/>
    <s v="Burton Albion vs Exeter City"/>
  </r>
  <r>
    <s v="Burton Albion vs Exeter City / Total 2.5"/>
    <s v="Fulltbet"/>
    <x v="1379"/>
    <n v="2.27"/>
    <n v="4.4999999999999998E-2"/>
    <n v="2.3769633507853403"/>
    <x v="10"/>
    <x v="34"/>
    <x v="165"/>
    <n v="2"/>
    <x v="131"/>
    <n v="0.10696335078534025"/>
    <n v="1.135"/>
    <n v="1"/>
    <x v="0"/>
    <x v="531"/>
    <x v="581"/>
    <s v="Burton Albion vs Exeter City"/>
  </r>
  <r>
    <s v="Liverpool vs Crystal Palace / Total 3.5"/>
    <s v="Fulltbet"/>
    <x v="1380"/>
    <n v="0.43"/>
    <n v="4.4999999999999998E-2"/>
    <n v="0.45026178010471207"/>
    <x v="10"/>
    <x v="33"/>
    <x v="166"/>
    <n v="2"/>
    <x v="131"/>
    <n v="2.0261780104712079E-2"/>
    <n v="0.215"/>
    <n v="1"/>
    <x v="0"/>
    <x v="50"/>
    <x v="200"/>
    <s v="Liverpool vs Crystal Palace"/>
  </r>
  <r>
    <s v="Lincoln City vs Wycombe Wanderers / Correct Score"/>
    <s v="Fulltbet"/>
    <x v="1381"/>
    <n v="-56"/>
    <n v="4.4999999999999998E-2"/>
    <n v="-56"/>
    <x v="10"/>
    <x v="31"/>
    <x v="80"/>
    <n v="56"/>
    <x v="131"/>
    <n v="0"/>
    <n v="-1"/>
    <n v="0"/>
    <x v="0"/>
    <x v="283"/>
    <x v="509"/>
    <s v="Lincoln City vs Wycombe Wanderers"/>
  </r>
  <r>
    <s v="Feyenoord vs FC Groningen / Total 2.5"/>
    <s v="Fulltbet"/>
    <x v="1382"/>
    <n v="-86.36"/>
    <n v="4.4999999999999998E-2"/>
    <n v="-86.36"/>
    <x v="9"/>
    <x v="10"/>
    <x v="2"/>
    <n v="50"/>
    <x v="131"/>
    <n v="0"/>
    <n v="-1.7272000000000001"/>
    <n v="0"/>
    <x v="0"/>
    <x v="157"/>
    <x v="37"/>
    <s v="Feyenoord vs FC Groningen"/>
  </r>
  <r>
    <s v="West Ham vs Everton / Match Odds"/>
    <s v="Fulltbet"/>
    <x v="1383"/>
    <n v="0.49"/>
    <n v="4.4999999999999998E-2"/>
    <n v="0.51308900523560208"/>
    <x v="10"/>
    <x v="37"/>
    <x v="146"/>
    <n v="5.01"/>
    <x v="131"/>
    <n v="2.3089005235602089E-2"/>
    <n v="9.7804391217564873E-2"/>
    <n v="1"/>
    <x v="0"/>
    <x v="243"/>
    <x v="133"/>
    <s v="West Ham vs Everton"/>
  </r>
  <r>
    <s v="Wolverhampton Wanderers vs Tottenham Hotspur / Total 2.5"/>
    <s v="Fulltbet"/>
    <x v="1384"/>
    <n v="2.38"/>
    <n v="4.4999999999999998E-2"/>
    <n v="2.4921465968586389"/>
    <x v="10"/>
    <x v="34"/>
    <x v="167"/>
    <n v="2"/>
    <x v="131"/>
    <n v="0.11214659685863904"/>
    <n v="1.19"/>
    <n v="1"/>
    <x v="0"/>
    <x v="105"/>
    <x v="214"/>
    <s v="Wolverhampton Wanderers vs Tottenham Hotspur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</r>
  <r>
    <s v="Venezia vs Empoli / Match Odds"/>
    <s v="Fulltbet"/>
    <x v="1386"/>
    <n v="20.322400000000002"/>
    <n v="4.4999999999999998E-2"/>
    <n v="21.28"/>
    <x v="8"/>
    <x v="20"/>
    <x v="76"/>
    <n v="100.02"/>
    <x v="131"/>
    <n v="0.95759999999999934"/>
    <n v="0.20318336332733455"/>
    <n v="1"/>
    <x v="0"/>
    <x v="264"/>
    <x v="418"/>
    <s v="Venezia vs Empoli"/>
  </r>
  <r>
    <s v="Angers SCO vs Paris Saint-Germain / Total 1.5"/>
    <s v="Fulltbet"/>
    <x v="1387"/>
    <n v="1.91"/>
    <n v="4.4999999999999998E-2"/>
    <n v="2"/>
    <x v="10"/>
    <x v="32"/>
    <x v="168"/>
    <n v="2"/>
    <x v="131"/>
    <n v="9.000000000000008E-2"/>
    <n v="0.95499999999999996"/>
    <n v="1"/>
    <x v="0"/>
    <x v="533"/>
    <x v="120"/>
    <s v="Angers SCO vs Paris Saint-Germain"/>
  </r>
  <r>
    <s v="Manchester City vs Southampton / Match Odds"/>
    <s v="Fulltbet"/>
    <x v="1388"/>
    <n v="15.4"/>
    <n v="4.4999999999999998E-2"/>
    <n v="16.125654450261781"/>
    <x v="8"/>
    <x v="20"/>
    <x v="28"/>
    <n v="100.01"/>
    <x v="131"/>
    <n v="0.72565445026178033"/>
    <n v="0.153984601539846"/>
    <n v="1"/>
    <x v="0"/>
    <x v="155"/>
    <x v="227"/>
    <s v="Manchester City vs Southampton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</r>
  <r>
    <s v="Arsenal vs Newcastle United / Match Odds"/>
    <s v="Fulltbet"/>
    <x v="1390"/>
    <n v="3.7722500000000001"/>
    <n v="4.4999999999999998E-2"/>
    <n v="3.95"/>
    <x v="10"/>
    <x v="36"/>
    <x v="38"/>
    <n v="30.02"/>
    <x v="131"/>
    <n v="0.17775000000000007"/>
    <n v="0.12565789473684211"/>
    <n v="1"/>
    <x v="0"/>
    <x v="47"/>
    <x v="290"/>
    <s v="Arsenal vs Newcastle United"/>
  </r>
  <r>
    <s v="Arsenal vs Newcastle United / Total 1.5"/>
    <s v="Fulltbet"/>
    <x v="1391"/>
    <n v="-1.95"/>
    <n v="4.4999999999999998E-2"/>
    <n v="-1.95"/>
    <x v="10"/>
    <x v="32"/>
    <x v="169"/>
    <n v="2"/>
    <x v="131"/>
    <n v="0"/>
    <n v="-0.97499999999999998"/>
    <n v="0"/>
    <x v="0"/>
    <x v="47"/>
    <x v="290"/>
    <s v="Arsenal vs Newcastle United"/>
  </r>
  <r>
    <s v="Hapoel Be'er Sheva vs Beitar Jerusalem / Correct Score"/>
    <s v="Fulltbet"/>
    <x v="1392"/>
    <n v="2.65"/>
    <n v="4.4999999999999998E-2"/>
    <n v="2.7748691099476441"/>
    <x v="10"/>
    <x v="31"/>
    <x v="21"/>
    <n v="50.04"/>
    <x v="131"/>
    <n v="0.12486910994764422"/>
    <n v="5.2957633892885693E-2"/>
    <n v="1"/>
    <x v="0"/>
    <x v="400"/>
    <x v="437"/>
    <s v="Hapoel Be'er Sheva vs Beitar Jerusalem"/>
  </r>
  <r>
    <s v="FC Twente vs NEC / Total 1.5"/>
    <s v="Fulltbet"/>
    <x v="1393"/>
    <n v="1.91"/>
    <n v="4.4999999999999998E-2"/>
    <n v="2"/>
    <x v="10"/>
    <x v="32"/>
    <x v="13"/>
    <n v="2"/>
    <x v="131"/>
    <n v="9.000000000000008E-2"/>
    <n v="0.95499999999999996"/>
    <n v="1"/>
    <x v="0"/>
    <x v="306"/>
    <x v="85"/>
    <s v="FC Twente vs NEC"/>
  </r>
  <r>
    <s v="Saint-Étienne vs Troyes AC / Total 1.5"/>
    <s v="Fulltbet"/>
    <x v="1394"/>
    <n v="-2"/>
    <n v="4.4999999999999998E-2"/>
    <n v="-2"/>
    <x v="10"/>
    <x v="35"/>
    <x v="56"/>
    <n v="2"/>
    <x v="131"/>
    <n v="0"/>
    <n v="-1"/>
    <n v="0"/>
    <x v="0"/>
    <x v="132"/>
    <x v="582"/>
    <s v="Saint-Étienne vs Troyes AC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</r>
  <r>
    <s v="Independiente del Valle vs Leones del Norte / Total 1.5"/>
    <s v="Fulltbet"/>
    <x v="1396"/>
    <n v="1.91"/>
    <n v="4.4999999999999998E-2"/>
    <n v="2"/>
    <x v="10"/>
    <x v="32"/>
    <x v="168"/>
    <n v="2"/>
    <x v="131"/>
    <n v="9.000000000000008E-2"/>
    <n v="0.95499999999999996"/>
    <n v="1"/>
    <x v="0"/>
    <x v="534"/>
    <x v="486"/>
    <s v="Independiente del Valle vs Leones del Norte"/>
  </r>
  <r>
    <s v="FC Thun vs FC Lugano / Correct Score"/>
    <s v="Fulltbet"/>
    <x v="1397"/>
    <n v="3.18"/>
    <n v="4.4999999999999998E-2"/>
    <n v="3.329842931937173"/>
    <x v="10"/>
    <x v="31"/>
    <x v="34"/>
    <n v="49.95"/>
    <x v="131"/>
    <n v="0.1498429319371728"/>
    <n v="6.3663663663663661E-2"/>
    <n v="1"/>
    <x v="0"/>
    <x v="186"/>
    <x v="461"/>
    <s v="FC Thun vs FC Lugano"/>
  </r>
  <r>
    <s v="Deportivo Pereira vs Atlético Nacional / Total 1.5"/>
    <s v="Fulltbet"/>
    <x v="1398"/>
    <n v="-3.31"/>
    <n v="4.4999999999999998E-2"/>
    <n v="-3.31"/>
    <x v="10"/>
    <x v="32"/>
    <x v="14"/>
    <n v="2"/>
    <x v="131"/>
    <n v="0"/>
    <n v="-1.655"/>
    <n v="0"/>
    <x v="0"/>
    <x v="535"/>
    <x v="583"/>
    <s v="Deportivo Pereira vs Atlético Nacional"/>
  </r>
  <r>
    <s v="Academia de Balompie Boliviano vs Blooming Santa Cruz / Correct Score"/>
    <s v="Fulltbet"/>
    <x v="1399"/>
    <n v="3.68"/>
    <n v="4.4999999999999998E-2"/>
    <n v="3.8534031413612571"/>
    <x v="10"/>
    <x v="31"/>
    <x v="8"/>
    <n v="50.05"/>
    <x v="131"/>
    <n v="0.1734031413612569"/>
    <n v="7.352647352647354E-2"/>
    <n v="1"/>
    <x v="0"/>
    <x v="536"/>
    <x v="26"/>
    <s v="Academia de Balompie Boliviano vs Blooming Santa Cruz"/>
  </r>
  <r>
    <s v="Clube do Remo vs Cruzeiro / Match Odds"/>
    <s v="Fulltbet"/>
    <x v="1400"/>
    <n v="0.48"/>
    <n v="4.4999999999999998E-2"/>
    <n v="0.50261780104712039"/>
    <x v="10"/>
    <x v="37"/>
    <x v="170"/>
    <n v="4.99"/>
    <x v="131"/>
    <n v="2.2617801047120412E-2"/>
    <n v="9.6192384769539077E-2"/>
    <n v="1"/>
    <x v="0"/>
    <x v="469"/>
    <x v="584"/>
    <s v="Clube do Remo vs Cruzeiro"/>
  </r>
  <r>
    <s v="Esporte Clube Bahia vs Santos FC / Correct Score"/>
    <s v="Fulltbet"/>
    <x v="1401"/>
    <n v="2.27"/>
    <n v="4.4999999999999998E-2"/>
    <n v="2.3769633507853403"/>
    <x v="10"/>
    <x v="31"/>
    <x v="11"/>
    <n v="47.6"/>
    <x v="131"/>
    <n v="0.10696335078534025"/>
    <n v="4.7689075630252098E-2"/>
    <n v="1"/>
    <x v="0"/>
    <x v="366"/>
    <x v="517"/>
    <s v="Esporte Clube Bahia vs Santos FC"/>
  </r>
  <r>
    <s v="FC Cincinnati vs New York Red Bulls / Total 1.5"/>
    <s v="Fulltbet"/>
    <x v="1402"/>
    <n v="1.91"/>
    <n v="4.4999999999999998E-2"/>
    <n v="2"/>
    <x v="10"/>
    <x v="32"/>
    <x v="13"/>
    <n v="2"/>
    <x v="131"/>
    <n v="9.000000000000008E-2"/>
    <n v="0.95499999999999996"/>
    <n v="1"/>
    <x v="0"/>
    <x v="497"/>
    <x v="585"/>
    <s v="FC Cincinnati vs New York Red Bulls"/>
  </r>
  <r>
    <s v="São Paulo vs Mirassol FC / Total 1.5"/>
    <s v="Fulltbet"/>
    <x v="1403"/>
    <n v="0.78"/>
    <n v="4.4999999999999998E-2"/>
    <n v="0.81675392670157076"/>
    <x v="10"/>
    <x v="35"/>
    <x v="171"/>
    <n v="2"/>
    <x v="131"/>
    <n v="3.6753926701570738E-2"/>
    <n v="0.39"/>
    <n v="1"/>
    <x v="0"/>
    <x v="280"/>
    <x v="525"/>
    <s v="São Paulo vs Mirassol FC"/>
  </r>
  <r>
    <s v="CD Guadalajara vs Club Tijuana / Match Odds"/>
    <s v="Fulltbet"/>
    <x v="1404"/>
    <n v="3.77"/>
    <n v="4.4999999999999998E-2"/>
    <n v="3.9476439790575917"/>
    <x v="10"/>
    <x v="36"/>
    <x v="42"/>
    <n v="30.81"/>
    <x v="132"/>
    <n v="0.17764397905759166"/>
    <n v="0.12236286919831224"/>
    <n v="1"/>
    <x v="0"/>
    <x v="537"/>
    <x v="586"/>
    <s v="CD Guadalajara vs Club Tijuana"/>
  </r>
  <r>
    <s v="Melbourne City FC vs Adelaide United / Total 3.5"/>
    <s v="Fulltbet"/>
    <x v="1405"/>
    <n v="0.4"/>
    <n v="4.4999999999999998E-2"/>
    <n v="0.41884816753926707"/>
    <x v="10"/>
    <x v="33"/>
    <x v="172"/>
    <n v="2"/>
    <x v="132"/>
    <n v="1.8848167539267047E-2"/>
    <n v="0.2"/>
    <n v="1"/>
    <x v="0"/>
    <x v="538"/>
    <x v="181"/>
    <s v="Melbourne City FC vs Adelaide United"/>
  </r>
  <r>
    <s v="Fiorentina vs Sassuolo / Correct Score"/>
    <s v="Fulltbet"/>
    <x v="1406"/>
    <n v="1.91"/>
    <n v="4.4999999999999998E-2"/>
    <n v="2"/>
    <x v="10"/>
    <x v="31"/>
    <x v="117"/>
    <n v="50"/>
    <x v="132"/>
    <n v="9.000000000000008E-2"/>
    <n v="3.8199999999999998E-2"/>
    <n v="1"/>
    <x v="0"/>
    <x v="193"/>
    <x v="142"/>
    <s v="Fiorentina vs Sassuolo"/>
  </r>
  <r>
    <s v="VfL Bochum vs SpVgg Greuther Fürth / Total 1.5"/>
    <s v="Fulltbet"/>
    <x v="1407"/>
    <n v="-1.1399999999999999"/>
    <n v="4.4999999999999998E-2"/>
    <n v="-1.1399999999999999"/>
    <x v="10"/>
    <x v="32"/>
    <x v="85"/>
    <n v="2"/>
    <x v="132"/>
    <n v="0"/>
    <n v="-0.56999999999999995"/>
    <n v="0"/>
    <x v="0"/>
    <x v="272"/>
    <x v="369"/>
    <s v="VfL Bochum vs SpVgg Greuther Fürth"/>
  </r>
  <r>
    <s v="KAA Gent vs Club Brugge / Total 1.5"/>
    <s v="Fulltbet"/>
    <x v="1408"/>
    <n v="-0.84"/>
    <n v="4.4999999999999998E-2"/>
    <n v="-0.84"/>
    <x v="10"/>
    <x v="32"/>
    <x v="44"/>
    <n v="2"/>
    <x v="132"/>
    <n v="0"/>
    <n v="-0.42"/>
    <n v="0"/>
    <x v="0"/>
    <x v="539"/>
    <x v="267"/>
    <s v="KAA Gent vs Club Brugge"/>
  </r>
  <r>
    <s v="Nõmme Kalju FC vs Pärnu JK Vaprus / Match Odds"/>
    <s v="Fulltbet"/>
    <x v="1409"/>
    <n v="-32.4"/>
    <n v="4.4999999999999998E-2"/>
    <n v="-32.4"/>
    <x v="10"/>
    <x v="36"/>
    <x v="17"/>
    <n v="32.4"/>
    <x v="132"/>
    <n v="0"/>
    <n v="-1"/>
    <n v="0"/>
    <x v="0"/>
    <x v="540"/>
    <x v="587"/>
    <s v="Nõmme Kalju FC vs Pärnu JK Vaprus"/>
  </r>
  <r>
    <s v="1. FC Nürnberg vs 1. FC Magdeburg / Total 2.5"/>
    <s v="Fulltbet"/>
    <x v="1410"/>
    <n v="2.39"/>
    <n v="4.4999999999999998E-2"/>
    <n v="2.5026178010471205"/>
    <x v="10"/>
    <x v="34"/>
    <x v="173"/>
    <n v="2"/>
    <x v="132"/>
    <n v="0.11261780104712038"/>
    <n v="1.1950000000000001"/>
    <n v="1"/>
    <x v="0"/>
    <x v="413"/>
    <x v="588"/>
    <s v="1. FC Nürnberg vs 1. FC Magdeburg"/>
  </r>
  <r>
    <s v="FC Fredericia vs Odense BK / Correct Score"/>
    <s v="Fulltbet"/>
    <x v="1411"/>
    <n v="1.64"/>
    <n v="4.4999999999999998E-2"/>
    <n v="1.7172774869109948"/>
    <x v="10"/>
    <x v="31"/>
    <x v="155"/>
    <n v="49.88"/>
    <x v="132"/>
    <n v="7.7277486910994897E-2"/>
    <n v="3.2878909382518043E-2"/>
    <n v="1"/>
    <x v="0"/>
    <x v="541"/>
    <x v="440"/>
    <s v="FC Fredericia vs Odense BK"/>
  </r>
  <r>
    <s v="Widzew Lódz vs Motor Lublin / Total 1.5"/>
    <s v="Fulltbet"/>
    <x v="1412"/>
    <n v="-0.54"/>
    <n v="4.4999999999999998E-2"/>
    <n v="-0.54"/>
    <x v="10"/>
    <x v="32"/>
    <x v="43"/>
    <n v="2"/>
    <x v="132"/>
    <n v="0"/>
    <n v="-0.27"/>
    <n v="0"/>
    <x v="0"/>
    <x v="347"/>
    <x v="589"/>
    <s v="Widzew Lódz vs Motor Lublin"/>
  </r>
  <r>
    <s v="FC Lorient vs RC Strasbourg / Total 2.5"/>
    <s v="Fulltbet"/>
    <x v="1413"/>
    <n v="-2"/>
    <n v="4.4999999999999998E-2"/>
    <n v="-2"/>
    <x v="10"/>
    <x v="34"/>
    <x v="167"/>
    <n v="2"/>
    <x v="132"/>
    <n v="0"/>
    <n v="-1"/>
    <n v="0"/>
    <x v="0"/>
    <x v="217"/>
    <x v="590"/>
    <s v="FC Lorient vs RC Strasbourg"/>
  </r>
  <r>
    <s v="Genoa vs Como / Total 1.5"/>
    <s v="Fulltbet"/>
    <x v="1414"/>
    <n v="-1.0900000000000001"/>
    <n v="4.4999999999999998E-2"/>
    <n v="-1.0900000000000001"/>
    <x v="10"/>
    <x v="32"/>
    <x v="174"/>
    <n v="2"/>
    <x v="132"/>
    <n v="0"/>
    <n v="-0.54500000000000004"/>
    <n v="0"/>
    <x v="0"/>
    <x v="542"/>
    <x v="471"/>
    <s v="Genoa vs Como"/>
  </r>
  <r>
    <s v="VfB Stuttgart vs Werder Bremen / Total 1.5"/>
    <s v="Fulltbet"/>
    <x v="1415"/>
    <n v="-2.75"/>
    <n v="4.4999999999999998E-2"/>
    <n v="-2.75"/>
    <x v="10"/>
    <x v="32"/>
    <x v="30"/>
    <n v="2"/>
    <x v="132"/>
    <n v="0"/>
    <n v="-1.375"/>
    <n v="0"/>
    <x v="0"/>
    <x v="71"/>
    <x v="266"/>
    <s v="VfB Stuttgart vs Werder Bremen"/>
  </r>
  <r>
    <s v="VfB Stuttgart vs Werder Bremen / Match Odds"/>
    <s v="Fulltbet"/>
    <x v="1416"/>
    <n v="64.28"/>
    <n v="4.4999999999999998E-2"/>
    <n v="67.308900523560212"/>
    <x v="3"/>
    <x v="7"/>
    <x v="116"/>
    <n v="350.01"/>
    <x v="132"/>
    <n v="3.0289005235602104"/>
    <n v="0.18365189566012399"/>
    <n v="1"/>
    <x v="3"/>
    <x v="71"/>
    <x v="266"/>
    <s v="VfB Stuttgart vs Werder Bremen"/>
  </r>
  <r>
    <s v="Stade Rennais vs FC Nantes / Total 1.5"/>
    <s v="Fulltbet"/>
    <x v="1417"/>
    <n v="1.91"/>
    <n v="4.4999999999999998E-2"/>
    <n v="2"/>
    <x v="10"/>
    <x v="32"/>
    <x v="33"/>
    <n v="2"/>
    <x v="132"/>
    <n v="9.000000000000008E-2"/>
    <n v="0.95499999999999996"/>
    <n v="1"/>
    <x v="0"/>
    <x v="275"/>
    <x v="27"/>
    <s v="Stade Rennais vs FC Nantes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</r>
  <r>
    <s v="Aalesunds FK vs Kristiansund BK / Correct Score"/>
    <s v="Fulltbet"/>
    <x v="1419"/>
    <n v="2.65"/>
    <n v="4.4999999999999998E-2"/>
    <n v="2.7748691099476441"/>
    <x v="10"/>
    <x v="31"/>
    <x v="21"/>
    <n v="50.04"/>
    <x v="132"/>
    <n v="0.12486910994764422"/>
    <n v="5.2957633892885693E-2"/>
    <n v="1"/>
    <x v="0"/>
    <x v="543"/>
    <x v="592"/>
    <s v="Aalesunds FK vs Kristiansund BK"/>
  </r>
  <r>
    <s v="Borussia Dortmund vs SC Freiburg / Match Odds"/>
    <s v="Fulltbet"/>
    <x v="1420"/>
    <n v="4.0999999999999996"/>
    <n v="4.4999999999999998E-2"/>
    <n v="4.2931937172774868"/>
    <x v="10"/>
    <x v="36"/>
    <x v="37"/>
    <n v="30.89"/>
    <x v="132"/>
    <n v="0.19319371727748713"/>
    <n v="0.13272903852379409"/>
    <n v="1"/>
    <x v="0"/>
    <x v="84"/>
    <x v="184"/>
    <s v="Borussia Dortmund vs SC Freiburg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</r>
  <r>
    <s v="Lillestrøm SK vs Bodø/Glimt / Total 1.5"/>
    <s v="Fulltbet"/>
    <x v="1422"/>
    <n v="1.91"/>
    <n v="4.4999999999999998E-2"/>
    <n v="2"/>
    <x v="10"/>
    <x v="32"/>
    <x v="175"/>
    <n v="2"/>
    <x v="132"/>
    <n v="9.000000000000008E-2"/>
    <n v="0.95499999999999996"/>
    <n v="1"/>
    <x v="0"/>
    <x v="545"/>
    <x v="122"/>
    <s v="Lillestrøm SK vs Bod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</r>
  <r>
    <s v="Club Football Estrela vs FC Porto / Match Odds"/>
    <s v="Fulltbet"/>
    <x v="1424"/>
    <n v="19.49155"/>
    <n v="4.4999999999999998E-2"/>
    <n v="20.41"/>
    <x v="8"/>
    <x v="20"/>
    <x v="43"/>
    <n v="100.01"/>
    <x v="132"/>
    <n v="0.91844999999999999"/>
    <n v="0.1948960103989601"/>
    <n v="1"/>
    <x v="0"/>
    <x v="211"/>
    <x v="294"/>
    <s v="Club Football Estrela vs FC Porto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</r>
  <r>
    <s v="Grêmio FBPA vs Coritiba / Total 1.5"/>
    <s v="Fulltbet"/>
    <x v="1426"/>
    <n v="0.85"/>
    <n v="4.4999999999999998E-2"/>
    <n v="0.89005235602094246"/>
    <x v="10"/>
    <x v="35"/>
    <x v="177"/>
    <n v="2"/>
    <x v="132"/>
    <n v="4.0052356020942481E-2"/>
    <n v="0.42499999999999999"/>
    <n v="1"/>
    <x v="0"/>
    <x v="361"/>
    <x v="593"/>
    <s v="Grêmio FBPA vs Coritiba"/>
  </r>
  <r>
    <s v="Athlético Paranaense vs EC Vitória / Correct Score"/>
    <s v="Fulltbet"/>
    <x v="1427"/>
    <n v="2.0699999999999998"/>
    <n v="4.4999999999999998E-2"/>
    <n v="2.1675392670157065"/>
    <x v="10"/>
    <x v="31"/>
    <x v="109"/>
    <n v="49.91"/>
    <x v="132"/>
    <n v="9.7539267015706699E-2"/>
    <n v="4.1474654377880185E-2"/>
    <n v="1"/>
    <x v="0"/>
    <x v="494"/>
    <x v="518"/>
    <s v="Athlético Paranaense vs EC Vitória"/>
  </r>
  <r>
    <s v="Athlético Paranaense vs EC Vitória / Match Odds"/>
    <s v="Fulltbet"/>
    <x v="1428"/>
    <n v="57.62"/>
    <n v="4.4999999999999998E-2"/>
    <n v="60.33507853403141"/>
    <x v="3"/>
    <x v="7"/>
    <x v="121"/>
    <n v="349.97"/>
    <x v="132"/>
    <n v="2.715078534031413"/>
    <n v="0.1646426836585993"/>
    <n v="1"/>
    <x v="6"/>
    <x v="494"/>
    <x v="518"/>
    <s v="Athlético Paranaense vs EC Vitória"/>
  </r>
  <r>
    <s v="Metropolitanos FC vs Estudiantes de Mérida / Correct Score"/>
    <s v="Fulltbet"/>
    <x v="1429"/>
    <n v="1.83"/>
    <n v="4.4999999999999998E-2"/>
    <n v="1.9162303664921467"/>
    <x v="10"/>
    <x v="31"/>
    <x v="117"/>
    <n v="48"/>
    <x v="132"/>
    <n v="8.6230366492146659E-2"/>
    <n v="3.8124999999999999E-2"/>
    <n v="1"/>
    <x v="0"/>
    <x v="546"/>
    <x v="594"/>
    <s v="Metropolitanos FC vs Estudiantes de Mérida"/>
  </r>
  <r>
    <s v="Metropolitanos FC vs Estudiantes de Mérida / Match Odds"/>
    <s v="Fulltbet"/>
    <x v="1430"/>
    <n v="1.22"/>
    <n v="4.4999999999999998E-2"/>
    <n v="1.2774869109947644"/>
    <x v="10"/>
    <x v="38"/>
    <x v="178"/>
    <n v="49.92"/>
    <x v="132"/>
    <n v="5.748691099476444E-2"/>
    <n v="2.4439102564102564E-2"/>
    <n v="1"/>
    <x v="0"/>
    <x v="546"/>
    <x v="594"/>
    <s v="Metropolitanos FC vs Estudiantes de Mérida"/>
  </r>
  <r>
    <s v="Los Angeles Galaxy vs Real Salt Lake / Total 1.5"/>
    <s v="Fulltbet"/>
    <x v="1431"/>
    <n v="1.91"/>
    <n v="4.4999999999999998E-2"/>
    <n v="2"/>
    <x v="10"/>
    <x v="32"/>
    <x v="41"/>
    <n v="2"/>
    <x v="132"/>
    <n v="9.000000000000008E-2"/>
    <n v="0.95499999999999996"/>
    <n v="1"/>
    <x v="0"/>
    <x v="547"/>
    <x v="595"/>
    <s v="Los Angeles Galaxy vs Real Salt Lake"/>
  </r>
  <r>
    <s v="Santos Laguna vs Monterrey / Correct Score"/>
    <s v="Fulltbet"/>
    <x v="1432"/>
    <n v="1.83"/>
    <n v="4.4999999999999998E-2"/>
    <n v="1.9162303664921467"/>
    <x v="10"/>
    <x v="31"/>
    <x v="40"/>
    <n v="49.92"/>
    <x v="132"/>
    <n v="8.6230366492146659E-2"/>
    <n v="3.6658653846153848E-2"/>
    <n v="1"/>
    <x v="0"/>
    <x v="548"/>
    <x v="596"/>
    <s v="Santos Laguna vs Monterrey"/>
  </r>
  <r>
    <s v="Al-Rayyan vs Al-Arabi Doha / Correct Score"/>
    <s v="Fulltbet"/>
    <x v="1433"/>
    <n v="-50.05"/>
    <n v="4.4999999999999998E-2"/>
    <n v="-50.05"/>
    <x v="10"/>
    <x v="31"/>
    <x v="2"/>
    <n v="50.05"/>
    <x v="133"/>
    <n v="0"/>
    <n v="-1"/>
    <n v="0"/>
    <x v="0"/>
    <x v="265"/>
    <x v="597"/>
    <s v="Al-Rayyan vs Al-Arabi Doha"/>
  </r>
  <r>
    <s v="Umm-Salal vs Al-Ahli / Correct Score"/>
    <s v="Fulltbet"/>
    <x v="1434"/>
    <n v="1.64"/>
    <n v="4.4999999999999998E-2"/>
    <n v="1.7172774869109948"/>
    <x v="10"/>
    <x v="31"/>
    <x v="155"/>
    <n v="49.88"/>
    <x v="133"/>
    <n v="7.7277486910994897E-2"/>
    <n v="3.2878909382518043E-2"/>
    <n v="1"/>
    <x v="0"/>
    <x v="549"/>
    <x v="487"/>
    <s v="Umm-Salal vs Al-Ahli"/>
  </r>
  <r>
    <s v="Al-Gharafa SC vs Al Shahaniya / Match Odds"/>
    <s v="Fulltbet"/>
    <x v="1435"/>
    <n v="3.08"/>
    <n v="4.4999999999999998E-2"/>
    <n v="3.2251308900523563"/>
    <x v="10"/>
    <x v="38"/>
    <x v="27"/>
    <n v="53.3"/>
    <x v="133"/>
    <n v="0.14513089005235624"/>
    <n v="5.778611632270169E-2"/>
    <n v="1"/>
    <x v="0"/>
    <x v="550"/>
    <x v="598"/>
    <s v="Al-Gharafa SC vs Al Shahaniya"/>
  </r>
  <r>
    <s v="BK Häcken vs IK Sirius / Total 1.5"/>
    <s v="Fulltbet"/>
    <x v="1436"/>
    <n v="1.91"/>
    <n v="4.4999999999999998E-2"/>
    <n v="2"/>
    <x v="10"/>
    <x v="32"/>
    <x v="3"/>
    <n v="2"/>
    <x v="133"/>
    <n v="9.000000000000008E-2"/>
    <n v="0.95499999999999996"/>
    <n v="1"/>
    <x v="0"/>
    <x v="551"/>
    <x v="568"/>
    <s v="BK Häcken vs IK Sirius"/>
  </r>
  <r>
    <s v="HNK Gorica vs Istra 1961 / Match Odds"/>
    <s v="Fulltbet"/>
    <x v="1437"/>
    <n v="1.6999"/>
    <n v="4.4999999999999998E-2"/>
    <n v="1.78"/>
    <x v="10"/>
    <x v="39"/>
    <x v="100"/>
    <n v="2"/>
    <x v="133"/>
    <n v="8.010000000000006E-2"/>
    <n v="0.84994999999999998"/>
    <n v="1"/>
    <x v="0"/>
    <x v="552"/>
    <x v="332"/>
    <s v="HNK Gorica vs Istra 1961"/>
  </r>
  <r>
    <s v="HNK Gorica vs Istra 1961 / Match Odds"/>
    <s v="Fulltbet"/>
    <x v="1437"/>
    <n v="1.4516"/>
    <n v="4.4999999999999998E-2"/>
    <n v="1.52"/>
    <x v="10"/>
    <x v="38"/>
    <x v="176"/>
    <n v="50.16"/>
    <x v="133"/>
    <n v="6.8400000000000016E-2"/>
    <n v="2.8939393939393942E-2"/>
    <n v="1"/>
    <x v="0"/>
    <x v="552"/>
    <x v="332"/>
    <s v="HNK Gorica vs Istra 1961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</r>
  <r>
    <s v="Besiktas JK vs Fatih Karagümrük Istanbul / Total 0.5"/>
    <s v="Fulltbet"/>
    <x v="1439"/>
    <n v="-2"/>
    <n v="4.4999999999999998E-2"/>
    <n v="-2"/>
    <x v="10"/>
    <x v="40"/>
    <x v="113"/>
    <n v="2"/>
    <x v="133"/>
    <n v="0"/>
    <n v="-1"/>
    <n v="0"/>
    <x v="0"/>
    <x v="97"/>
    <x v="202"/>
    <s v="Besiktas JK vs Fatih Karagümrük Istanbul"/>
  </r>
  <r>
    <s v="Manchester United vs Brentford / Total 1.5"/>
    <s v="Fulltbet"/>
    <x v="1440"/>
    <n v="1.91"/>
    <n v="4.4999999999999998E-2"/>
    <n v="2"/>
    <x v="10"/>
    <x v="32"/>
    <x v="13"/>
    <n v="2"/>
    <x v="133"/>
    <n v="9.000000000000008E-2"/>
    <n v="0.95499999999999996"/>
    <n v="1"/>
    <x v="0"/>
    <x v="55"/>
    <x v="49"/>
    <s v="Manchester United vs Brentford"/>
  </r>
  <r>
    <s v="Manta FC vs Universidad Católica del Ecuador / Match Odds"/>
    <s v="Fulltbet"/>
    <x v="1441"/>
    <n v="1.99"/>
    <n v="4.4999999999999998E-2"/>
    <n v="2.0837696335078535"/>
    <x v="10"/>
    <x v="38"/>
    <x v="110"/>
    <n v="49.92"/>
    <x v="133"/>
    <n v="9.37696335078535E-2"/>
    <n v="3.9863782051282048E-2"/>
    <n v="1"/>
    <x v="0"/>
    <x v="553"/>
    <x v="599"/>
    <s v="Manta FC vs Universidad Católica del Ecuador"/>
  </r>
  <r>
    <s v="Al-Shabab Riyadh vs Al-Fateh Al-Hasa / Total 1.5"/>
    <s v="Fulltbet"/>
    <x v="1442"/>
    <n v="-0.82"/>
    <n v="4.4999999999999998E-2"/>
    <n v="-0.82"/>
    <x v="10"/>
    <x v="32"/>
    <x v="179"/>
    <n v="2"/>
    <x v="134"/>
    <n v="0"/>
    <n v="-0.41"/>
    <n v="0"/>
    <x v="0"/>
    <x v="276"/>
    <x v="419"/>
    <s v="Al-Shabab Riyadh vs Al-Fateh Al-Hasa"/>
  </r>
  <r>
    <s v="Maccabi Tel Aviv vs Hapoel Be'er Sheva / Correct Score"/>
    <s v="Fulltbet"/>
    <x v="1443"/>
    <n v="1.91"/>
    <n v="4.4999999999999998E-2"/>
    <n v="2"/>
    <x v="10"/>
    <x v="31"/>
    <x v="117"/>
    <n v="50"/>
    <x v="134"/>
    <n v="9.000000000000008E-2"/>
    <n v="3.8199999999999998E-2"/>
    <n v="1"/>
    <x v="0"/>
    <x v="554"/>
    <x v="600"/>
    <s v="Maccabi Tel Aviv vs Hapoel Be'er Sheva"/>
  </r>
  <r>
    <s v="Neom SC vs Al Hazm / Total 2.5"/>
    <s v="Fulltbet"/>
    <x v="1444"/>
    <n v="2.2200000000000002"/>
    <n v="4.4999999999999998E-2"/>
    <n v="2.3246073298429324"/>
    <x v="10"/>
    <x v="34"/>
    <x v="83"/>
    <n v="2"/>
    <x v="134"/>
    <n v="0.1046073298429322"/>
    <n v="1.1100000000000001"/>
    <n v="1"/>
    <x v="0"/>
    <x v="555"/>
    <x v="400"/>
    <s v="Neom SC vs Al Hazm"/>
  </r>
  <r>
    <s v="IFK Norrköping vs Landskrona BoIS / Match Odds"/>
    <s v="Fulltbet"/>
    <x v="1445"/>
    <n v="-5.0999999999999996"/>
    <n v="4.4999999999999998E-2"/>
    <n v="-5.0999999999999996"/>
    <x v="10"/>
    <x v="41"/>
    <x v="125"/>
    <n v="5.0999999999999996"/>
    <x v="134"/>
    <n v="0"/>
    <n v="-1"/>
    <n v="0"/>
    <x v="0"/>
    <x v="556"/>
    <x v="601"/>
    <s v="IFK Norrköping vs Landskrona BoIS"/>
  </r>
  <r>
    <s v="Beitar Jerusalem vs Hapoel Petah Tikva / Match Odds"/>
    <s v="Fulltbet"/>
    <x v="1446"/>
    <n v="3.58"/>
    <n v="4.4999999999999998E-2"/>
    <n v="3.74869109947644"/>
    <x v="10"/>
    <x v="36"/>
    <x v="22"/>
    <n v="30"/>
    <x v="134"/>
    <n v="0.1686910994764399"/>
    <n v="0.11933333333333333"/>
    <n v="1"/>
    <x v="0"/>
    <x v="100"/>
    <x v="602"/>
    <s v="Beitar Jerusalem vs Hapoel Petah Tikva"/>
  </r>
  <r>
    <s v="Southampton vs Ipswich Town / Correct Score"/>
    <s v="Fulltbet"/>
    <x v="1447"/>
    <n v="1.77"/>
    <n v="4.4999999999999998E-2"/>
    <n v="1.8534031413612566"/>
    <x v="10"/>
    <x v="31"/>
    <x v="35"/>
    <n v="49.95"/>
    <x v="134"/>
    <n v="8.3403141361256594E-2"/>
    <n v="3.5435435435435432E-2"/>
    <n v="1"/>
    <x v="0"/>
    <x v="171"/>
    <x v="480"/>
    <s v="Southampton vs Ipswich Town"/>
  </r>
  <r>
    <s v="Peterborough United vs Mansfield Town / Total 3.5"/>
    <s v="Fulltbet"/>
    <x v="1448"/>
    <n v="0.39"/>
    <n v="4.4999999999999998E-2"/>
    <n v="0.40837696335078538"/>
    <x v="10"/>
    <x v="33"/>
    <x v="180"/>
    <n v="2"/>
    <x v="134"/>
    <n v="1.8376963350785369E-2"/>
    <n v="0.19500000000000001"/>
    <n v="1"/>
    <x v="0"/>
    <x v="557"/>
    <x v="340"/>
    <s v="Peterborough United vs Mansfield Town"/>
  </r>
  <r>
    <s v="Peterborough United vs Mansfield Town / Total 0.5"/>
    <s v="Fulltbet"/>
    <x v="1449"/>
    <n v="-2"/>
    <n v="4.4999999999999998E-2"/>
    <n v="-2"/>
    <x v="10"/>
    <x v="40"/>
    <x v="181"/>
    <n v="2"/>
    <x v="134"/>
    <n v="0"/>
    <n v="-1"/>
    <n v="0"/>
    <x v="0"/>
    <x v="557"/>
    <x v="340"/>
    <s v="Peterborough United vs Mansfield Town"/>
  </r>
  <r>
    <s v="Northampton Town vs Barnsley / Total 1.5"/>
    <s v="Fulltbet"/>
    <x v="1450"/>
    <n v="-1.1299999999999999"/>
    <n v="4.4999999999999998E-2"/>
    <n v="-1.1299999999999999"/>
    <x v="10"/>
    <x v="32"/>
    <x v="81"/>
    <n v="2"/>
    <x v="134"/>
    <n v="0"/>
    <n v="-0.56499999999999995"/>
    <n v="0"/>
    <x v="0"/>
    <x v="558"/>
    <x v="343"/>
    <s v="Northampton Town vs Barnsley"/>
  </r>
  <r>
    <s v="Northampton Town vs Barnsley / Total 3.5"/>
    <s v="Fulltbet"/>
    <x v="1451"/>
    <n v="0.33"/>
    <n v="4.4999999999999998E-2"/>
    <n v="0.34554973821989532"/>
    <x v="10"/>
    <x v="33"/>
    <x v="166"/>
    <n v="2"/>
    <x v="134"/>
    <n v="1.5549738219895304E-2"/>
    <n v="0.16500000000000001"/>
    <n v="1"/>
    <x v="0"/>
    <x v="558"/>
    <x v="343"/>
    <s v="Northampton Town vs Barnsley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</r>
  <r>
    <s v="Paris Saint-Germain vs FC Bayern München / Correct Score"/>
    <s v="Fulltbet"/>
    <x v="1452"/>
    <n v="-49.91"/>
    <n v="4.4999999999999998E-2"/>
    <n v="-49.91"/>
    <x v="10"/>
    <x v="31"/>
    <x v="109"/>
    <n v="49.91"/>
    <x v="134"/>
    <n v="0"/>
    <n v="-1"/>
    <n v="0"/>
    <x v="7"/>
    <x v="219"/>
    <x v="74"/>
    <s v="Paris Saint-Germain vs FC Bayern München"/>
  </r>
  <r>
    <s v="Paris Saint-Germain vs FC Bayern München / Match Odds"/>
    <s v="Fulltbet"/>
    <x v="1453"/>
    <n v="29.84"/>
    <n v="4.4999999999999998E-2"/>
    <n v="31.246073298429319"/>
    <x v="8"/>
    <x v="20"/>
    <x v="182"/>
    <n v="100"/>
    <x v="134"/>
    <n v="1.4060732984293196"/>
    <n v="0.2984"/>
    <n v="1"/>
    <x v="0"/>
    <x v="219"/>
    <x v="74"/>
    <s v="Paris Saint-Germain vs FC Bayern München"/>
  </r>
  <r>
    <s v="Chiangrai United vs Ratchaburi / Match Odds"/>
    <s v="Fulltbet"/>
    <x v="1454"/>
    <n v="5.0199999999999996"/>
    <n v="4.4999999999999998E-2"/>
    <n v="5.2565445026178006"/>
    <x v="10"/>
    <x v="38"/>
    <x v="14"/>
    <n v="49.97"/>
    <x v="135"/>
    <n v="0.23654450261780102"/>
    <n v="0.10046027616569941"/>
    <n v="1"/>
    <x v="0"/>
    <x v="559"/>
    <x v="569"/>
    <s v="Chiangrai United vs Ratchaburi"/>
  </r>
  <r>
    <s v="Rayong FC vs Buriram United / Total 1.5"/>
    <s v="Fulltbet"/>
    <x v="1455"/>
    <n v="1.91"/>
    <n v="4.4999999999999998E-2"/>
    <n v="2"/>
    <x v="10"/>
    <x v="32"/>
    <x v="168"/>
    <n v="2"/>
    <x v="135"/>
    <n v="9.000000000000008E-2"/>
    <n v="0.95499999999999996"/>
    <n v="1"/>
    <x v="0"/>
    <x v="560"/>
    <x v="603"/>
    <s v="Rayong FC vs Buriram United"/>
  </r>
  <r>
    <s v="Uthai Thani FC vs Bangkok United / Match Odds"/>
    <s v="Fulltbet"/>
    <x v="1456"/>
    <n v="3.29"/>
    <n v="4.4999999999999998E-2"/>
    <n v="3.4450261780104712"/>
    <x v="10"/>
    <x v="38"/>
    <x v="29"/>
    <n v="50.03"/>
    <x v="135"/>
    <n v="0.15502617801047114"/>
    <n v="6.5760543673795718E-2"/>
    <n v="1"/>
    <x v="0"/>
    <x v="561"/>
    <x v="383"/>
    <s v="Uthai Thani FC vs Bangkok United"/>
  </r>
  <r>
    <s v="Shabab Al-Ahli Dubai FC vs Khor Fakkan / Match Odds"/>
    <s v="Fulltbet"/>
    <x v="1457"/>
    <n v="2.39"/>
    <n v="4.4999999999999998E-2"/>
    <n v="2.5026178010471205"/>
    <x v="10"/>
    <x v="36"/>
    <x v="5"/>
    <n v="30"/>
    <x v="135"/>
    <n v="0.11261780104712038"/>
    <n v="7.9666666666666677E-2"/>
    <n v="1"/>
    <x v="0"/>
    <x v="562"/>
    <x v="604"/>
    <s v="Shabab Al-Ahli Dubai FC vs Khor Fakkan"/>
  </r>
  <r>
    <s v="Al-Riyadh vs Al-Qadisiyah / Total 1.5"/>
    <s v="Fulltbet"/>
    <x v="1458"/>
    <n v="-2.0299999999999998"/>
    <n v="4.4999999999999998E-2"/>
    <n v="-2.0299999999999998"/>
    <x v="10"/>
    <x v="32"/>
    <x v="12"/>
    <n v="2"/>
    <x v="135"/>
    <n v="0"/>
    <n v="-1.0149999999999999"/>
    <n v="0"/>
    <x v="0"/>
    <x v="358"/>
    <x v="246"/>
    <s v="Al-Riyadh vs Al-Qadisiyah"/>
  </r>
  <r>
    <s v="Al-Muharraq vs Budaiya / Match Odds"/>
    <s v="Fulltbet"/>
    <x v="1459"/>
    <n v="2.61"/>
    <n v="4.4999999999999998E-2"/>
    <n v="2.7329842931937174"/>
    <x v="10"/>
    <x v="36"/>
    <x v="2"/>
    <n v="30.03"/>
    <x v="135"/>
    <n v="0.12298429319371751"/>
    <n v="8.6913086913086912E-2"/>
    <n v="1"/>
    <x v="0"/>
    <x v="563"/>
    <x v="605"/>
    <s v="Al-Muharraq vs Budaiya"/>
  </r>
  <r>
    <s v="Hapoel Tel Aviv vs Maccabi Haifa / Match Odds"/>
    <s v="Fulltbet"/>
    <x v="1460"/>
    <n v="1.77"/>
    <n v="4.4999999999999998E-2"/>
    <n v="1.8534031413612566"/>
    <x v="10"/>
    <x v="38"/>
    <x v="35"/>
    <n v="49.95"/>
    <x v="135"/>
    <n v="8.3403141361256594E-2"/>
    <n v="3.5435435435435432E-2"/>
    <n v="1"/>
    <x v="0"/>
    <x v="564"/>
    <x v="606"/>
    <s v="Hapoel Tel Aviv vs Maccabi Haifa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</r>
  <r>
    <s v="Tromsø vs Brann / Correct Score"/>
    <s v="Fulltbet"/>
    <x v="1461"/>
    <n v="2.2728999999999999"/>
    <n v="4.4999999999999998E-2"/>
    <n v="2.38"/>
    <x v="10"/>
    <x v="31"/>
    <x v="7"/>
    <n v="52.36"/>
    <x v="135"/>
    <n v="0.10709999999999997"/>
    <n v="4.3409090909090911E-2"/>
    <n v="1"/>
    <x v="0"/>
    <x v="565"/>
    <x v="500"/>
    <s v="Tromsø vs Brann"/>
  </r>
  <r>
    <s v="Al-Nassr Riyadh vs Al Ahli Jeddah / Total 1.5"/>
    <s v="Fulltbet"/>
    <x v="1462"/>
    <n v="-1.97"/>
    <n v="4.4999999999999998E-2"/>
    <n v="-1.97"/>
    <x v="10"/>
    <x v="35"/>
    <x v="183"/>
    <n v="1.97"/>
    <x v="135"/>
    <n v="0"/>
    <n v="-1"/>
    <n v="0"/>
    <x v="0"/>
    <x v="230"/>
    <x v="252"/>
    <s v="Al-Nassr Riyadh vs Al Ahli Jeddah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</r>
  <r>
    <s v="Nottingham Forest vs Aston Villa / Match Odds"/>
    <s v="Fulltbet"/>
    <x v="1464"/>
    <n v="1.77"/>
    <n v="4.4999999999999998E-2"/>
    <n v="1.8534031413612566"/>
    <x v="10"/>
    <x v="38"/>
    <x v="40"/>
    <n v="49.95"/>
    <x v="136"/>
    <n v="8.3403141361256594E-2"/>
    <n v="3.5435435435435432E-2"/>
    <n v="1"/>
    <x v="0"/>
    <x v="199"/>
    <x v="50"/>
    <s v="Nottingham Forest vs Aston Villa"/>
  </r>
  <r>
    <s v="Rayo Vallecano vs RC Strasbourg / Correct Score"/>
    <s v="Fulltbet"/>
    <x v="1465"/>
    <n v="1.64"/>
    <n v="4.4999999999999998E-2"/>
    <n v="1.7172774869109948"/>
    <x v="10"/>
    <x v="31"/>
    <x v="155"/>
    <n v="49.88"/>
    <x v="136"/>
    <n v="7.7277486910994897E-2"/>
    <n v="3.2878909382518043E-2"/>
    <n v="1"/>
    <x v="0"/>
    <x v="293"/>
    <x v="590"/>
    <s v="Rayo Vallecano vs RC Strasbourg"/>
  </r>
  <r>
    <s v="Rayo Vallecano vs RC Strasbourg / Match Odds"/>
    <s v="Fulltbet"/>
    <x v="1466"/>
    <n v="1.54"/>
    <n v="4.4999999999999998E-2"/>
    <n v="1.6125654450261782"/>
    <x v="10"/>
    <x v="38"/>
    <x v="176"/>
    <n v="53.13"/>
    <x v="136"/>
    <n v="7.2565445026178121E-2"/>
    <n v="2.8985507246376812E-2"/>
    <n v="1"/>
    <x v="0"/>
    <x v="293"/>
    <x v="590"/>
    <s v="Rayo Vallecano vs RC Strasbourg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</r>
  <r>
    <s v="Shandong Taishan vs Qingdao West Coast / 1st Half Total 0.5"/>
    <s v="Fulltbet"/>
    <x v="1468"/>
    <n v="1.1499999999999999"/>
    <n v="4.4999999999999998E-2"/>
    <n v="1.2041884816753927"/>
    <x v="10"/>
    <x v="43"/>
    <x v="97"/>
    <n v="2"/>
    <x v="137"/>
    <n v="5.4188481675392808E-2"/>
    <n v="0.57499999999999996"/>
    <n v="1"/>
    <x v="0"/>
    <x v="566"/>
    <x v="608"/>
    <s v="Shandong Taishan vs Qingdao West Coast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</r>
  <r>
    <s v="Shandong Taishan vs Qingdao West Coast / Match Odds"/>
    <s v="Fulltbet"/>
    <x v="1470"/>
    <n v="3.68"/>
    <n v="4.4999999999999998E-2"/>
    <n v="3.8534031413612571"/>
    <x v="10"/>
    <x v="41"/>
    <x v="181"/>
    <n v="5.08"/>
    <x v="137"/>
    <n v="0.1734031413612569"/>
    <n v="0.72440944881889768"/>
    <n v="1"/>
    <x v="0"/>
    <x v="566"/>
    <x v="608"/>
    <s v="Shandong Taishan vs Qingdao West Coast"/>
  </r>
  <r>
    <s v="Kuching City vs Terengganu FC / Match Odds"/>
    <s v="Fulltbet"/>
    <x v="1471"/>
    <n v="2.46"/>
    <n v="4.4999999999999998E-2"/>
    <n v="2.5759162303664924"/>
    <x v="10"/>
    <x v="41"/>
    <x v="184"/>
    <n v="5.01"/>
    <x v="137"/>
    <n v="0.11591623036649246"/>
    <n v="0.49101796407185633"/>
    <n v="1"/>
    <x v="0"/>
    <x v="165"/>
    <x v="609"/>
    <s v="Kuching City vs Terengganu FC"/>
  </r>
  <r>
    <s v="Spezia vs Venezia / Total 1.5"/>
    <s v="Fulltbet"/>
    <x v="1472"/>
    <n v="-0.9"/>
    <n v="4.4999999999999998E-2"/>
    <n v="-0.9"/>
    <x v="10"/>
    <x v="32"/>
    <x v="22"/>
    <n v="2"/>
    <x v="137"/>
    <n v="0"/>
    <n v="-0.45"/>
    <n v="0"/>
    <x v="0"/>
    <x v="567"/>
    <x v="543"/>
    <s v="Spezia vs Venezia"/>
  </r>
  <r>
    <s v="Carrarese vs Cesena / Correct Score"/>
    <s v="Fulltbet"/>
    <x v="1473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68"/>
    <x v="212"/>
    <s v="Carrarese vs Cesena"/>
  </r>
  <r>
    <s v="Empoli vs Avellino / Match Odds"/>
    <s v="Fulltbet"/>
    <x v="1474"/>
    <n v="1.29"/>
    <n v="4.4999999999999998E-2"/>
    <n v="1.3507853403141363"/>
    <x v="10"/>
    <x v="38"/>
    <x v="155"/>
    <n v="49.88"/>
    <x v="137"/>
    <n v="6.0785340314136294E-2"/>
    <n v="2.5862068965517241E-2"/>
    <n v="1"/>
    <x v="0"/>
    <x v="569"/>
    <x v="430"/>
    <s v="Empoli vs Avellino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</r>
  <r>
    <s v="Andorra FC vs Albacete Balompié / Total 0.5"/>
    <s v="Fulltbet"/>
    <x v="1476"/>
    <n v="1.84"/>
    <n v="4.4999999999999998E-2"/>
    <n v="1.9267015706806285"/>
    <x v="10"/>
    <x v="40"/>
    <x v="73"/>
    <n v="2"/>
    <x v="137"/>
    <n v="8.6701570680628448E-2"/>
    <n v="0.92"/>
    <n v="1"/>
    <x v="0"/>
    <x v="375"/>
    <x v="208"/>
    <s v="Andorra FC vs Albacete Balompié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</r>
  <r>
    <s v="Al Diraiyah vs Abha / 1st Half Total 0.5"/>
    <s v="Fulltbet"/>
    <x v="1478"/>
    <n v="1.22"/>
    <n v="4.4999999999999998E-2"/>
    <n v="1.2774869109947644"/>
    <x v="10"/>
    <x v="43"/>
    <x v="130"/>
    <n v="2"/>
    <x v="137"/>
    <n v="5.748691099476444E-2"/>
    <n v="0.61"/>
    <n v="1"/>
    <x v="0"/>
    <x v="572"/>
    <x v="611"/>
    <s v="Al Diraiyah vs Abha"/>
  </r>
  <r>
    <s v="HB Køge vs Boldklubben af 1893 / Correct Score"/>
    <s v="Fulltbet"/>
    <x v="1479"/>
    <n v="2.65"/>
    <n v="4.4999999999999998E-2"/>
    <n v="2.7748691099476441"/>
    <x v="10"/>
    <x v="31"/>
    <x v="18"/>
    <n v="52.82"/>
    <x v="137"/>
    <n v="0.12486910994764422"/>
    <n v="5.0170390003786446E-2"/>
    <n v="1"/>
    <x v="0"/>
    <x v="573"/>
    <x v="612"/>
    <s v="HB Køge vs Boldklubben af 1893"/>
  </r>
  <r>
    <s v="Brøndby IF vs FC Nordsjælland / Correct Score"/>
    <s v="Fulltbet"/>
    <x v="1480"/>
    <n v="2.5099999999999998"/>
    <n v="4.4999999999999998E-2"/>
    <n v="2.6282722513089003"/>
    <x v="10"/>
    <x v="31"/>
    <x v="11"/>
    <n v="52.6"/>
    <x v="137"/>
    <n v="0.11827225130890051"/>
    <n v="4.771863117870722E-2"/>
    <n v="1"/>
    <x v="0"/>
    <x v="447"/>
    <x v="17"/>
    <s v="Brøndby IF vs FC Nordsjælland"/>
  </r>
  <r>
    <s v="Brøndby IF vs FC Nordsjælland / Total 3.5"/>
    <s v="Fulltbet"/>
    <x v="1481"/>
    <n v="0.92"/>
    <n v="4.4999999999999998E-2"/>
    <n v="0.96335078534031426"/>
    <x v="10"/>
    <x v="33"/>
    <x v="172"/>
    <n v="5"/>
    <x v="137"/>
    <n v="4.3350785340314224E-2"/>
    <n v="0.184"/>
    <n v="1"/>
    <x v="0"/>
    <x v="447"/>
    <x v="17"/>
    <s v="Brøndby IF vs FC Nordsjælland"/>
  </r>
  <r>
    <s v="Stade Nyonnais vs FC Wil 1900 / Correct Score"/>
    <s v="Fulltbet"/>
    <x v="1482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74"/>
    <x v="313"/>
    <s v="Stade Nyonnais vs FC Wil 1900"/>
  </r>
  <r>
    <s v="Al Diraiyah vs Abha / Total 1.5"/>
    <s v="Fulltbet"/>
    <x v="1483"/>
    <n v="-0.92"/>
    <n v="4.4999999999999998E-2"/>
    <n v="-0.92"/>
    <x v="10"/>
    <x v="32"/>
    <x v="36"/>
    <n v="2"/>
    <x v="137"/>
    <n v="0"/>
    <n v="-0.46"/>
    <n v="0"/>
    <x v="0"/>
    <x v="572"/>
    <x v="611"/>
    <s v="Al Diraiyah vs Abha"/>
  </r>
  <r>
    <s v="Al Diraiyah vs Abha / Match Odds"/>
    <s v="Fulltbet"/>
    <x v="1484"/>
    <n v="2.61"/>
    <n v="4.4999999999999998E-2"/>
    <n v="2.7329842931937174"/>
    <x v="10"/>
    <x v="36"/>
    <x v="12"/>
    <n v="31.39"/>
    <x v="137"/>
    <n v="0.12298429319371751"/>
    <n v="8.3147499203568009E-2"/>
    <n v="1"/>
    <x v="0"/>
    <x v="572"/>
    <x v="611"/>
    <s v="Al Diraiyah vs Abha"/>
  </r>
  <r>
    <s v="Bohemian FC vs Derry City / Match Odds"/>
    <s v="Fulltbet"/>
    <x v="1485"/>
    <n v="-2"/>
    <n v="4.4999999999999998E-2"/>
    <n v="-2"/>
    <x v="10"/>
    <x v="39"/>
    <x v="167"/>
    <n v="2"/>
    <x v="137"/>
    <n v="0"/>
    <n v="-1"/>
    <n v="0"/>
    <x v="0"/>
    <x v="575"/>
    <x v="613"/>
    <s v="Bohemian FC vs Derry City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</r>
  <r>
    <s v="Once Caldas vs Atlético Nacional / Match Odds"/>
    <s v="Fulltbet"/>
    <x v="1488"/>
    <n v="3.82"/>
    <n v="4.4999999999999998E-2"/>
    <n v="4"/>
    <x v="10"/>
    <x v="38"/>
    <x v="8"/>
    <n v="52"/>
    <x v="137"/>
    <n v="0.18000000000000016"/>
    <n v="7.3461538461538453E-2"/>
    <n v="1"/>
    <x v="0"/>
    <x v="576"/>
    <x v="583"/>
    <s v="Once Caldas vs Atlético Nacional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</r>
  <r>
    <s v="Millwall vs Oxford United / 1st Half Total 0.5"/>
    <s v="Fulltbet"/>
    <x v="1490"/>
    <n v="1.21"/>
    <n v="4.4999999999999998E-2"/>
    <n v="1.2670157068062828"/>
    <x v="10"/>
    <x v="43"/>
    <x v="104"/>
    <n v="2"/>
    <x v="138"/>
    <n v="5.7015706806282873E-2"/>
    <n v="0.60499999999999998"/>
    <n v="1"/>
    <x v="0"/>
    <x v="294"/>
    <x v="113"/>
    <s v="Millwall vs Oxford United"/>
  </r>
  <r>
    <s v="Watford vs Coventry City / Total 1.5"/>
    <s v="Fulltbet"/>
    <x v="1491"/>
    <n v="1.91"/>
    <n v="4.4999999999999998E-2"/>
    <n v="2"/>
    <x v="10"/>
    <x v="32"/>
    <x v="186"/>
    <n v="2"/>
    <x v="138"/>
    <n v="9.000000000000008E-2"/>
    <n v="0.95499999999999996"/>
    <n v="1"/>
    <x v="0"/>
    <x v="109"/>
    <x v="182"/>
    <s v="Watford vs Coventry City"/>
  </r>
  <r>
    <s v="Millwall vs Oxford United / Total 1.5"/>
    <s v="Fulltbet"/>
    <x v="1492"/>
    <n v="1.91"/>
    <n v="4.4999999999999998E-2"/>
    <n v="2"/>
    <x v="10"/>
    <x v="32"/>
    <x v="28"/>
    <n v="2"/>
    <x v="138"/>
    <n v="9.000000000000008E-2"/>
    <n v="0.95499999999999996"/>
    <n v="1"/>
    <x v="0"/>
    <x v="294"/>
    <x v="113"/>
    <s v="Millwall vs Oxford United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</r>
  <r>
    <s v="Derby County vs Sheffield United / Total 1.5"/>
    <s v="Fulltbet"/>
    <x v="1494"/>
    <n v="-1.29"/>
    <n v="4.4999999999999998E-2"/>
    <n v="-1.29"/>
    <x v="10"/>
    <x v="32"/>
    <x v="19"/>
    <n v="2"/>
    <x v="138"/>
    <n v="0"/>
    <n v="-0.64500000000000002"/>
    <n v="0"/>
    <x v="0"/>
    <x v="209"/>
    <x v="298"/>
    <s v="Derby County vs Sheffield United"/>
  </r>
  <r>
    <s v="Holstein Kiel vs Eintracht Braunschweig / Match Odds"/>
    <s v="Fulltbet"/>
    <x v="1495"/>
    <n v="2.77"/>
    <n v="4.4999999999999998E-2"/>
    <n v="2.9005235602094244"/>
    <x v="10"/>
    <x v="38"/>
    <x v="27"/>
    <n v="47.85"/>
    <x v="138"/>
    <n v="0.13052356020942435"/>
    <n v="5.7889237199582028E-2"/>
    <n v="1"/>
    <x v="0"/>
    <x v="273"/>
    <x v="314"/>
    <s v="Holstein Kiel vs Eintracht Braunschweig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</r>
  <r>
    <s v="Arminia Bielefeld vs VfL Bochum / Match Odds"/>
    <s v="Fulltbet"/>
    <x v="1497"/>
    <n v="-2"/>
    <n v="4.4999999999999998E-2"/>
    <n v="-2"/>
    <x v="10"/>
    <x v="39"/>
    <x v="134"/>
    <n v="2"/>
    <x v="138"/>
    <n v="0"/>
    <n v="-1"/>
    <n v="0"/>
    <x v="0"/>
    <x v="285"/>
    <x v="403"/>
    <s v="Arminia Bielefeld vs VfL Bochum"/>
  </r>
  <r>
    <s v="Arminia Bielefeld vs VfL Bochum / Match Odds"/>
    <s v="Fulltbet"/>
    <x v="1497"/>
    <n v="1.79"/>
    <n v="0"/>
    <n v="1.79"/>
    <x v="10"/>
    <x v="38"/>
    <x v="35"/>
    <n v="48.33"/>
    <x v="138"/>
    <n v="0"/>
    <n v="3.7037037037037042E-2"/>
    <n v="1"/>
    <x v="0"/>
    <x v="285"/>
    <x v="403"/>
    <s v="Arminia Bielefeld vs VfL Bochum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</r>
  <r>
    <s v="Villarreal vs Levante UD / Total 1.5"/>
    <s v="Fulltbet"/>
    <x v="1499"/>
    <n v="1.91"/>
    <n v="4.4999999999999998E-2"/>
    <n v="2"/>
    <x v="10"/>
    <x v="32"/>
    <x v="36"/>
    <n v="2"/>
    <x v="138"/>
    <n v="9.000000000000008E-2"/>
    <n v="0.95499999999999996"/>
    <n v="1"/>
    <x v="0"/>
    <x v="69"/>
    <x v="109"/>
    <s v="Villarreal vs Levante UD"/>
  </r>
  <r>
    <s v="Bristol City vs Stoke City / Match Odds"/>
    <s v="Fulltbet"/>
    <x v="1500"/>
    <n v="2.5099999999999998"/>
    <n v="4.4999999999999998E-2"/>
    <n v="2.6282722513089003"/>
    <x v="10"/>
    <x v="38"/>
    <x v="18"/>
    <n v="49.97"/>
    <x v="138"/>
    <n v="0.11827225130890051"/>
    <n v="5.0230138082849707E-2"/>
    <n v="1"/>
    <x v="0"/>
    <x v="208"/>
    <x v="118"/>
    <s v="Bristol City vs Stoke City"/>
  </r>
  <r>
    <s v="Watford vs Coventry City / Match Odds"/>
    <s v="Fulltbet"/>
    <x v="1501"/>
    <n v="0.6"/>
    <n v="4.4999999999999998E-2"/>
    <n v="0.62827225130890052"/>
    <x v="10"/>
    <x v="37"/>
    <x v="163"/>
    <n v="10.37"/>
    <x v="138"/>
    <n v="2.8272251308900542E-2"/>
    <n v="5.7859209257473482E-2"/>
    <n v="1"/>
    <x v="0"/>
    <x v="109"/>
    <x v="182"/>
    <s v="Watford vs Coventry City"/>
  </r>
  <r>
    <s v="Millwall vs Oxford United / Match Odds"/>
    <s v="Fulltbet"/>
    <x v="1502"/>
    <n v="3.58"/>
    <n v="4.4999999999999998E-2"/>
    <n v="3.74869109947644"/>
    <x v="10"/>
    <x v="36"/>
    <x v="22"/>
    <n v="30"/>
    <x v="138"/>
    <n v="0.1686910994764399"/>
    <n v="0.11933333333333333"/>
    <n v="1"/>
    <x v="0"/>
    <x v="294"/>
    <x v="113"/>
    <s v="Millwall vs Oxford United"/>
  </r>
  <r>
    <s v="Villarreal vs Levante UD / Total 2.5"/>
    <s v="Fulltbet"/>
    <x v="1503"/>
    <n v="-5"/>
    <n v="4.4999999999999998E-2"/>
    <n v="-5"/>
    <x v="10"/>
    <x v="34"/>
    <x v="181"/>
    <n v="5"/>
    <x v="138"/>
    <n v="0"/>
    <n v="-1"/>
    <n v="0"/>
    <x v="0"/>
    <x v="69"/>
    <x v="109"/>
    <s v="Villarreal vs Levante UD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</r>
  <r>
    <s v="Swansea City vs Charlton Athletic / Match Odds"/>
    <s v="Fulltbet"/>
    <x v="1505"/>
    <n v="1.76"/>
    <n v="4.4999999999999998E-2"/>
    <n v="1.842931937172775"/>
    <x v="10"/>
    <x v="39"/>
    <x v="75"/>
    <n v="2"/>
    <x v="138"/>
    <n v="8.2931937172775028E-2"/>
    <n v="0.88"/>
    <n v="1"/>
    <x v="0"/>
    <x v="451"/>
    <x v="318"/>
    <s v="Swansea City vs Charlton Athletic"/>
  </r>
  <r>
    <s v="Hull City vs Norwich City / Correct Score"/>
    <s v="Fulltbet"/>
    <x v="1506"/>
    <n v="2.27"/>
    <n v="4.4999999999999998E-2"/>
    <n v="2.3769633507853403"/>
    <x v="10"/>
    <x v="31"/>
    <x v="4"/>
    <n v="49.98"/>
    <x v="138"/>
    <n v="0.10696335078534025"/>
    <n v="4.5418167266906763E-2"/>
    <n v="1"/>
    <x v="0"/>
    <x v="488"/>
    <x v="115"/>
    <s v="Hull City vs Norwich City"/>
  </r>
  <r>
    <s v="Hull City vs Norwich City / Total 3.5"/>
    <s v="Fulltbet"/>
    <x v="1507"/>
    <n v="1.31"/>
    <n v="4.4999999999999998E-2"/>
    <n v="1.3717277486910995"/>
    <x v="10"/>
    <x v="33"/>
    <x v="172"/>
    <n v="5"/>
    <x v="138"/>
    <n v="6.1727748691099427E-2"/>
    <n v="0.26200000000000001"/>
    <n v="1"/>
    <x v="0"/>
    <x v="488"/>
    <x v="115"/>
    <s v="Hull City vs Norwich City"/>
  </r>
  <r>
    <s v="Villarreal vs Levante UD / Total 3.5"/>
    <s v="Fulltbet"/>
    <x v="1508"/>
    <n v="1.01"/>
    <n v="4.4999999999999998E-2"/>
    <n v="1.0575916230366493"/>
    <x v="10"/>
    <x v="33"/>
    <x v="51"/>
    <n v="5"/>
    <x v="138"/>
    <n v="4.7591623036649322E-2"/>
    <n v="0.20200000000000001"/>
    <n v="1"/>
    <x v="0"/>
    <x v="69"/>
    <x v="109"/>
    <s v="Villarreal vs Levante UD"/>
  </r>
  <r>
    <s v="Villarreal vs Levante UD / Match Odds"/>
    <s v="Fulltbet"/>
    <x v="1509"/>
    <n v="1.43"/>
    <n v="4.4999999999999998E-2"/>
    <n v="1.4973821989528795"/>
    <x v="10"/>
    <x v="39"/>
    <x v="55"/>
    <n v="2"/>
    <x v="138"/>
    <n v="6.7382198952879557E-2"/>
    <n v="0.71499999999999997"/>
    <n v="1"/>
    <x v="0"/>
    <x v="69"/>
    <x v="109"/>
    <s v="Villarreal vs Levante UD"/>
  </r>
  <r>
    <s v="Werder Bremen vs FC Augsburg / Total 1.5"/>
    <s v="Fulltbet"/>
    <x v="1510"/>
    <n v="1.91"/>
    <n v="4.4999999999999998E-2"/>
    <n v="2"/>
    <x v="10"/>
    <x v="32"/>
    <x v="33"/>
    <n v="2"/>
    <x v="138"/>
    <n v="9.000000000000008E-2"/>
    <n v="0.95499999999999996"/>
    <n v="1"/>
    <x v="0"/>
    <x v="321"/>
    <x v="322"/>
    <s v="Werder Bremen vs FC Augsburg"/>
  </r>
  <r>
    <s v="FC Nantes vs Olympique Marseille / Total 3.5"/>
    <s v="Fulltbet"/>
    <x v="1511"/>
    <n v="0.77"/>
    <n v="4.4999999999999998E-2"/>
    <n v="0.80628272251308908"/>
    <x v="10"/>
    <x v="33"/>
    <x v="171"/>
    <n v="5"/>
    <x v="138"/>
    <n v="3.6282722513089061E-2"/>
    <n v="0.154"/>
    <n v="1"/>
    <x v="0"/>
    <x v="386"/>
    <x v="71"/>
    <s v="FC Nantes vs Olympique Marseille"/>
  </r>
  <r>
    <s v="Werder Bremen vs FC Augsburg / Total 3.5"/>
    <s v="Fulltbet"/>
    <x v="1512"/>
    <n v="-5"/>
    <n v="4.4999999999999998E-2"/>
    <n v="-5"/>
    <x v="10"/>
    <x v="33"/>
    <x v="51"/>
    <n v="5"/>
    <x v="138"/>
    <n v="0"/>
    <n v="-1"/>
    <n v="0"/>
    <x v="0"/>
    <x v="321"/>
    <x v="322"/>
    <s v="Werder Bremen vs FC Augsburg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</r>
  <r>
    <s v="Brentford vs West Ham / Total 1.5"/>
    <s v="Fulltbet"/>
    <x v="1514"/>
    <n v="-1.54"/>
    <n v="4.4999999999999998E-2"/>
    <n v="-1.54"/>
    <x v="10"/>
    <x v="32"/>
    <x v="33"/>
    <n v="2"/>
    <x v="138"/>
    <n v="0"/>
    <n v="-0.77"/>
    <n v="0"/>
    <x v="0"/>
    <x v="201"/>
    <x v="58"/>
    <s v="Brentford vs West Ham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</r>
  <r>
    <s v="FC Bayern München vs 1. FC Heidenheim / Match Odds"/>
    <s v="Fulltbet"/>
    <x v="1516"/>
    <n v="2.73"/>
    <n v="4.4999999999999998E-2"/>
    <n v="2.8586387434554976"/>
    <x v="10"/>
    <x v="36"/>
    <x v="23"/>
    <n v="30.03"/>
    <x v="138"/>
    <n v="0.12863874345549764"/>
    <n v="9.0909090909090912E-2"/>
    <n v="1"/>
    <x v="0"/>
    <x v="107"/>
    <x v="132"/>
    <s v="FC Bayern München vs 1. FC Heidenheim"/>
  </r>
  <r>
    <s v="1. FC Union Berlin vs 1. FC Köln / Match Odds"/>
    <s v="Fulltbet"/>
    <x v="1517"/>
    <n v="0.31"/>
    <n v="4.4999999999999998E-2"/>
    <n v="0.32460732984293195"/>
    <x v="10"/>
    <x v="37"/>
    <x v="187"/>
    <n v="10"/>
    <x v="138"/>
    <n v="1.4607329842931949E-2"/>
    <n v="3.1E-2"/>
    <n v="1"/>
    <x v="0"/>
    <x v="123"/>
    <x v="136"/>
    <s v="1. FC Union Berlin vs 1. FC Köln"/>
  </r>
  <r>
    <s v="Eintracht Frankfurt vs Hamburger SV / Total 3.5"/>
    <s v="Fulltbet"/>
    <x v="1518"/>
    <n v="1.05"/>
    <n v="4.4999999999999998E-2"/>
    <n v="1.0994764397905761"/>
    <x v="10"/>
    <x v="33"/>
    <x v="51"/>
    <n v="5"/>
    <x v="138"/>
    <n v="4.9476439790576032E-2"/>
    <n v="0.21000000000000002"/>
    <n v="1"/>
    <x v="0"/>
    <x v="297"/>
    <x v="131"/>
    <s v="Eintracht Frankfurt vs Hamburger SV"/>
  </r>
  <r>
    <s v="Brentford vs West Ham / Total 2.5"/>
    <s v="Fulltbet"/>
    <x v="1519"/>
    <n v="-5"/>
    <n v="4.4999999999999998E-2"/>
    <n v="-5"/>
    <x v="10"/>
    <x v="34"/>
    <x v="188"/>
    <n v="5"/>
    <x v="138"/>
    <n v="0"/>
    <n v="-1"/>
    <n v="0"/>
    <x v="0"/>
    <x v="201"/>
    <x v="58"/>
    <s v="Brentford vs West Ham"/>
  </r>
  <r>
    <s v="Stevenage vs Wigan Athletic / Total 0.5"/>
    <s v="Fulltbet"/>
    <x v="1520"/>
    <n v="2.2000000000000002"/>
    <n v="4.4999999999999998E-2"/>
    <n v="2.3036649214659688"/>
    <x v="10"/>
    <x v="40"/>
    <x v="189"/>
    <n v="2"/>
    <x v="138"/>
    <n v="0.10366492146596862"/>
    <n v="1.1000000000000001"/>
    <n v="1"/>
    <x v="0"/>
    <x v="577"/>
    <x v="248"/>
    <s v="Stevenage vs Wigan Athletic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</r>
  <r>
    <s v="Stevenage vs Wigan Athletic / Correct Score"/>
    <s v="Fulltbet"/>
    <x v="1522"/>
    <n v="2.0699999999999998"/>
    <n v="4.4999999999999998E-2"/>
    <n v="2.1675392670157065"/>
    <x v="10"/>
    <x v="31"/>
    <x v="110"/>
    <n v="52.08"/>
    <x v="138"/>
    <n v="9.7539267015706699E-2"/>
    <n v="3.9746543778801845E-2"/>
    <n v="1"/>
    <x v="0"/>
    <x v="577"/>
    <x v="248"/>
    <s v="Stevenage vs Wigan Athletic"/>
  </r>
  <r>
    <s v="Crawley Town vs Salford City / Total 0.5"/>
    <s v="Fulltbet"/>
    <x v="1523"/>
    <n v="-2"/>
    <n v="4.4999999999999998E-2"/>
    <n v="-2"/>
    <x v="10"/>
    <x v="40"/>
    <x v="142"/>
    <n v="2"/>
    <x v="138"/>
    <n v="0"/>
    <n v="-1"/>
    <n v="0"/>
    <x v="0"/>
    <x v="578"/>
    <x v="615"/>
    <s v="Crawley Town vs Salford City"/>
  </r>
  <r>
    <s v="FC Utrecht vs NAC Breda / Total 0.5"/>
    <s v="Fulltbet"/>
    <x v="1524"/>
    <n v="1.8"/>
    <n v="4.4999999999999998E-2"/>
    <n v="1.8848167539267018"/>
    <x v="10"/>
    <x v="40"/>
    <x v="63"/>
    <n v="2"/>
    <x v="138"/>
    <n v="8.4816753926701738E-2"/>
    <n v="0.9"/>
    <n v="1"/>
    <x v="0"/>
    <x v="387"/>
    <x v="328"/>
    <s v="FC Utrecht vs NAC Breda"/>
  </r>
  <r>
    <s v="FC Vaduz vs Stade Lausanne-Ouchy / Total 3.5"/>
    <s v="Fulltbet"/>
    <x v="1525"/>
    <n v="-5"/>
    <n v="4.4999999999999998E-2"/>
    <n v="-5"/>
    <x v="10"/>
    <x v="33"/>
    <x v="171"/>
    <n v="5"/>
    <x v="138"/>
    <n v="0"/>
    <n v="-1"/>
    <n v="0"/>
    <x v="0"/>
    <x v="289"/>
    <x v="616"/>
    <s v="FC Vaduz vs Stade Lausanne-Ouchy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</r>
  <r>
    <s v="Arsenal vs Fulham / Total 1.5"/>
    <s v="Fulltbet"/>
    <x v="1527"/>
    <n v="1.91"/>
    <n v="4.4999999999999998E-2"/>
    <n v="2"/>
    <x v="10"/>
    <x v="32"/>
    <x v="44"/>
    <n v="2"/>
    <x v="138"/>
    <n v="9.000000000000008E-2"/>
    <n v="0.95499999999999996"/>
    <n v="1"/>
    <x v="0"/>
    <x v="47"/>
    <x v="388"/>
    <s v="Arsenal vs Fulham"/>
  </r>
  <r>
    <s v="Bayer 04 Leverkusen vs RB Leipzig / Total 1.5"/>
    <s v="Fulltbet"/>
    <x v="1528"/>
    <n v="1.91"/>
    <n v="4.4999999999999998E-2"/>
    <n v="2"/>
    <x v="10"/>
    <x v="32"/>
    <x v="15"/>
    <n v="2"/>
    <x v="138"/>
    <n v="9.000000000000008E-2"/>
    <n v="0.95499999999999996"/>
    <n v="1"/>
    <x v="0"/>
    <x v="129"/>
    <x v="129"/>
    <s v="Bayer 04 Leverkusen vs RB Leipzig"/>
  </r>
  <r>
    <s v="CD Castellon vs Córdoba CF / 1st Half Total 0.5"/>
    <s v="Fulltbet"/>
    <x v="1529"/>
    <n v="-2"/>
    <n v="4.4999999999999998E-2"/>
    <n v="-2"/>
    <x v="10"/>
    <x v="43"/>
    <x v="77"/>
    <n v="2"/>
    <x v="138"/>
    <n v="0"/>
    <n v="-1"/>
    <n v="0"/>
    <x v="0"/>
    <x v="259"/>
    <x v="482"/>
    <s v="CD Castellon vs Córdoba CF"/>
  </r>
  <r>
    <s v="FC Groningen vs Excelsior Rotterdam / Total 1.5"/>
    <s v="Fulltbet"/>
    <x v="1530"/>
    <n v="1.91"/>
    <n v="4.4999999999999998E-2"/>
    <n v="2"/>
    <x v="10"/>
    <x v="32"/>
    <x v="38"/>
    <n v="2"/>
    <x v="138"/>
    <n v="9.000000000000008E-2"/>
    <n v="0.95499999999999996"/>
    <n v="1"/>
    <x v="0"/>
    <x v="464"/>
    <x v="253"/>
    <s v="FC Groningen vs Excelsior Rotterdam"/>
  </r>
  <r>
    <s v="Fenerbahçe SK vs Istanbul Basaksehir FK / Total 1.5"/>
    <s v="Fulltbet"/>
    <x v="1531"/>
    <n v="1.91"/>
    <n v="4.4999999999999998E-2"/>
    <n v="2"/>
    <x v="10"/>
    <x v="32"/>
    <x v="23"/>
    <n v="2"/>
    <x v="138"/>
    <n v="9.000000000000008E-2"/>
    <n v="0.95499999999999996"/>
    <n v="1"/>
    <x v="0"/>
    <x v="399"/>
    <x v="169"/>
    <s v="Fenerbahçe SK vs Istanbul Basaksehir FK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</r>
  <r>
    <s v="HNK Vukovar 1991 vs NK Osijek / Match Odds"/>
    <s v="Fulltbet"/>
    <x v="1534"/>
    <n v="3.18"/>
    <n v="4.4999999999999998E-2"/>
    <n v="3.329842931937173"/>
    <x v="10"/>
    <x v="38"/>
    <x v="6"/>
    <n v="51.62"/>
    <x v="138"/>
    <n v="0.1498429319371728"/>
    <n v="6.160402944595119E-2"/>
    <n v="1"/>
    <x v="0"/>
    <x v="579"/>
    <x v="617"/>
    <s v="HNK Vukovar 1991 vs NK Osijek"/>
  </r>
  <r>
    <s v="Fenerbahçe SK vs Istanbul Basaksehir FK / Correct Score"/>
    <s v="Fulltbet"/>
    <x v="1535"/>
    <n v="3.82"/>
    <n v="4.4999999999999998E-2"/>
    <n v="4"/>
    <x v="10"/>
    <x v="31"/>
    <x v="190"/>
    <n v="51.43"/>
    <x v="138"/>
    <n v="0.18000000000000016"/>
    <n v="7.4275714563484349E-2"/>
    <n v="1"/>
    <x v="0"/>
    <x v="399"/>
    <x v="169"/>
    <s v="Fenerbahçe SK vs Istanbul Basaksehir FK"/>
  </r>
  <r>
    <s v="Famalicão vs Benfica / Match Odds"/>
    <s v="Fulltbet"/>
    <x v="1536"/>
    <n v="-100"/>
    <n v="4.4999999999999998E-2"/>
    <n v="-100"/>
    <x v="8"/>
    <x v="20"/>
    <x v="153"/>
    <n v="100"/>
    <x v="138"/>
    <n v="0"/>
    <n v="-1"/>
    <n v="0"/>
    <x v="0"/>
    <x v="146"/>
    <x v="160"/>
    <s v="Famalicão vs Benfica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</r>
  <r>
    <s v="Al Hazm vs Al-Hilal Riyadh / Total 1.5"/>
    <s v="Fulltbet"/>
    <x v="1538"/>
    <n v="-2.25"/>
    <n v="4.4999999999999998E-2"/>
    <n v="-2.25"/>
    <x v="10"/>
    <x v="32"/>
    <x v="191"/>
    <n v="2"/>
    <x v="138"/>
    <n v="0"/>
    <n v="-1.125"/>
    <n v="0"/>
    <x v="0"/>
    <x v="409"/>
    <x v="351"/>
    <s v="Al Hazm vs Al-Hilal Riyadh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</r>
  <r>
    <s v="FC Porto vs Alverca / 1st Half Total 0.5"/>
    <s v="Fulltbet"/>
    <x v="1540"/>
    <n v="1.1100000000000001"/>
    <n v="4.4999999999999998E-2"/>
    <n v="1.1623036649214662"/>
    <x v="10"/>
    <x v="43"/>
    <x v="192"/>
    <n v="2"/>
    <x v="138"/>
    <n v="5.2303664921466098E-2"/>
    <n v="0.55500000000000005"/>
    <n v="1"/>
    <x v="0"/>
    <x v="326"/>
    <x v="337"/>
    <s v="FC Porto vs Alverca"/>
  </r>
  <r>
    <s v="Motor Lublin vs Lech Poznan / Total 3.5"/>
    <s v="Fulltbet"/>
    <x v="1541"/>
    <n v="1.03"/>
    <n v="4.4999999999999998E-2"/>
    <n v="1.0785340314136127"/>
    <x v="10"/>
    <x v="33"/>
    <x v="47"/>
    <n v="5"/>
    <x v="138"/>
    <n v="4.8534031413612677E-2"/>
    <n v="0.20600000000000002"/>
    <n v="1"/>
    <x v="0"/>
    <x v="581"/>
    <x v="618"/>
    <s v="Motor Lublin vs Lech Poznan"/>
  </r>
  <r>
    <s v="FC Basel vs FC Thun / Correct Score"/>
    <s v="Fulltbet"/>
    <x v="1542"/>
    <n v="1.77"/>
    <n v="4.4999999999999998E-2"/>
    <n v="1.8534031413612566"/>
    <x v="10"/>
    <x v="31"/>
    <x v="35"/>
    <n v="49.95"/>
    <x v="138"/>
    <n v="8.3403141361256594E-2"/>
    <n v="3.5435435435435432E-2"/>
    <n v="1"/>
    <x v="0"/>
    <x v="19"/>
    <x v="619"/>
    <s v="FC Basel vs FC Thun"/>
  </r>
  <r>
    <s v="FC Schalke 04 vs Fortuna Düsseldorf / Match Odds"/>
    <s v="Fulltbet"/>
    <x v="1543"/>
    <n v="1.37"/>
    <n v="4.4999999999999998E-2"/>
    <n v="1.4345549738219896"/>
    <x v="10"/>
    <x v="38"/>
    <x v="66"/>
    <n v="44.33"/>
    <x v="138"/>
    <n v="6.4554973821989492E-2"/>
    <n v="3.090457929167607E-2"/>
    <n v="1"/>
    <x v="0"/>
    <x v="138"/>
    <x v="144"/>
    <s v="FC Schalke 04 vs Fortuna Düsseldorf"/>
  </r>
  <r>
    <s v="Botafogo FR vs Clube do Remo / Total 1.5"/>
    <s v="Fulltbet"/>
    <x v="1544"/>
    <n v="-1.56"/>
    <n v="4.4999999999999998E-2"/>
    <n v="-1.56"/>
    <x v="10"/>
    <x v="32"/>
    <x v="9"/>
    <n v="2"/>
    <x v="138"/>
    <n v="0"/>
    <n v="-0.78"/>
    <n v="0"/>
    <x v="0"/>
    <x v="90"/>
    <x v="348"/>
    <s v="Botafogo FR vs Clube do Remo"/>
  </r>
  <r>
    <s v="Osasuna vs FC Barcelona / Total 0.5"/>
    <s v="Fulltbet"/>
    <x v="1545"/>
    <n v="1.62"/>
    <n v="4.4999999999999998E-2"/>
    <n v="1.6963350785340316"/>
    <x v="10"/>
    <x v="40"/>
    <x v="78"/>
    <n v="2"/>
    <x v="138"/>
    <n v="7.6335078534031542E-2"/>
    <n v="0.81"/>
    <n v="1"/>
    <x v="0"/>
    <x v="104"/>
    <x v="81"/>
    <s v="Osasuna vs FC Barcelona"/>
  </r>
  <r>
    <s v="Atalanta vs Genoa / Total 0.5"/>
    <s v="Fulltbet"/>
    <x v="1546"/>
    <n v="-2"/>
    <n v="4.4999999999999998E-2"/>
    <n v="-2"/>
    <x v="10"/>
    <x v="40"/>
    <x v="95"/>
    <n v="2"/>
    <x v="138"/>
    <n v="0"/>
    <n v="-1"/>
    <n v="0"/>
    <x v="0"/>
    <x v="22"/>
    <x v="40"/>
    <s v="Atalanta vs Genoa"/>
  </r>
  <r>
    <s v="Osasuna vs FC Barcelona / Total 2.5"/>
    <s v="Fulltbet"/>
    <x v="1547"/>
    <n v="-5"/>
    <n v="4.4999999999999998E-2"/>
    <n v="-5"/>
    <x v="10"/>
    <x v="34"/>
    <x v="193"/>
    <n v="5"/>
    <x v="138"/>
    <n v="0"/>
    <n v="-1"/>
    <n v="0"/>
    <x v="0"/>
    <x v="104"/>
    <x v="81"/>
    <s v="Osasuna vs FC Barcelona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</r>
  <r>
    <s v="Osasuna vs FC Barcelona / Total 3.5"/>
    <s v="Fulltbet"/>
    <x v="1549"/>
    <n v="0.86"/>
    <n v="4.4999999999999998E-2"/>
    <n v="0.90052356020942415"/>
    <x v="10"/>
    <x v="33"/>
    <x v="166"/>
    <n v="5"/>
    <x v="138"/>
    <n v="4.0523560209424159E-2"/>
    <n v="0.17199999999999999"/>
    <n v="1"/>
    <x v="0"/>
    <x v="104"/>
    <x v="81"/>
    <s v="Osasuna vs FC Barcelona"/>
  </r>
  <r>
    <s v="Botafogo FR vs Clube do Remo / Match Odds"/>
    <s v="Fulltbet"/>
    <x v="1550"/>
    <n v="-435.01"/>
    <n v="4.4999999999999998E-2"/>
    <n v="-435.01"/>
    <x v="3"/>
    <x v="7"/>
    <x v="41"/>
    <n v="435.01"/>
    <x v="138"/>
    <n v="0"/>
    <n v="-1"/>
    <n v="0"/>
    <x v="6"/>
    <x v="90"/>
    <x v="348"/>
    <s v="Botafogo FR vs Clube do Remo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</r>
  <r>
    <s v="NEC vs SC Telstar / Total 3.5"/>
    <s v="Fulltbet"/>
    <x v="1552"/>
    <n v="0.99"/>
    <n v="4.4999999999999998E-2"/>
    <n v="1.036649214659686"/>
    <x v="10"/>
    <x v="33"/>
    <x v="180"/>
    <n v="5"/>
    <x v="138"/>
    <n v="4.6649214659685967E-2"/>
    <n v="0.19800000000000001"/>
    <n v="1"/>
    <x v="0"/>
    <x v="3"/>
    <x v="427"/>
    <s v="NEC vs SC Telstar"/>
  </r>
  <r>
    <s v="NEC vs SC Telstar / Match Odds"/>
    <s v="Fulltbet"/>
    <x v="1553"/>
    <n v="2.54"/>
    <n v="4.4999999999999998E-2"/>
    <n v="2.6596858638743459"/>
    <x v="10"/>
    <x v="41"/>
    <x v="144"/>
    <n v="5"/>
    <x v="138"/>
    <n v="0.11968586387434588"/>
    <n v="0.50800000000000001"/>
    <n v="1"/>
    <x v="0"/>
    <x v="3"/>
    <x v="427"/>
    <s v="NEC vs SC Telstar"/>
  </r>
  <r>
    <s v="FC Porto vs Alverca / Total 1.5"/>
    <s v="Fulltbet"/>
    <x v="1554"/>
    <n v="-0.86"/>
    <n v="4.4999999999999998E-2"/>
    <n v="-0.86"/>
    <x v="10"/>
    <x v="32"/>
    <x v="85"/>
    <n v="2"/>
    <x v="138"/>
    <n v="0"/>
    <n v="-0.43"/>
    <n v="0"/>
    <x v="0"/>
    <x v="326"/>
    <x v="337"/>
    <s v="FC Porto vs Alverca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</r>
  <r>
    <s v="FC Porto vs Alverca / Match Odds"/>
    <s v="Fulltbet"/>
    <x v="1555"/>
    <n v="12.2431"/>
    <n v="4.4999999999999998E-2"/>
    <n v="12.82"/>
    <x v="8"/>
    <x v="20"/>
    <x v="42"/>
    <n v="100"/>
    <x v="138"/>
    <n v="0.57690000000000019"/>
    <n v="0.122431"/>
    <n v="1"/>
    <x v="0"/>
    <x v="326"/>
    <x v="337"/>
    <s v="FC Porto vs Alverca"/>
  </r>
  <r>
    <s v="Jaguares de Córdoba vs Cúcuta Deportivo / Match Odds"/>
    <s v="Fulltbet"/>
    <x v="1556"/>
    <n v="1.91"/>
    <n v="4.4999999999999998E-2"/>
    <n v="2"/>
    <x v="10"/>
    <x v="38"/>
    <x v="117"/>
    <n v="50"/>
    <x v="138"/>
    <n v="9.000000000000008E-2"/>
    <n v="3.8199999999999998E-2"/>
    <n v="1"/>
    <x v="0"/>
    <x v="583"/>
    <x v="423"/>
    <s v="Jaguares de Córdoba vs Cúcuta Deportivo"/>
  </r>
  <r>
    <s v="Palmeiras vs Santos FC / Total 1.5"/>
    <s v="Fulltbet"/>
    <x v="1557"/>
    <n v="-1.67"/>
    <n v="4.4999999999999998E-2"/>
    <n v="-1.67"/>
    <x v="10"/>
    <x v="32"/>
    <x v="22"/>
    <n v="2"/>
    <x v="138"/>
    <n v="0"/>
    <n v="-0.83499999999999996"/>
    <n v="0"/>
    <x v="0"/>
    <x v="475"/>
    <x v="517"/>
    <s v="Palmeiras vs Santos FC"/>
  </r>
  <r>
    <s v="Palmeiras vs Santos FC / Correct Score"/>
    <s v="Fulltbet"/>
    <x v="1558"/>
    <n v="2.27"/>
    <n v="4.4999999999999998E-2"/>
    <n v="2.3769633507853403"/>
    <x v="10"/>
    <x v="31"/>
    <x v="110"/>
    <n v="57.12"/>
    <x v="138"/>
    <n v="0.10696335078534025"/>
    <n v="3.9740896358543422E-2"/>
    <n v="1"/>
    <x v="0"/>
    <x v="475"/>
    <x v="517"/>
    <s v="Palmeiras vs Santos FC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</r>
  <r>
    <s v="Palmeiras vs Santos FC / Match Odds"/>
    <s v="Fulltbet"/>
    <x v="1559"/>
    <n v="3.1801499999999998"/>
    <n v="4.4999999999999998E-2"/>
    <n v="3.33"/>
    <x v="10"/>
    <x v="41"/>
    <x v="106"/>
    <n v="5"/>
    <x v="138"/>
    <n v="0.14985000000000026"/>
    <n v="0.63602999999999998"/>
    <n v="1"/>
    <x v="0"/>
    <x v="475"/>
    <x v="517"/>
    <s v="Palmeiras vs Santos FC"/>
  </r>
  <r>
    <s v="Columbus Crew vs Minnesota United / Total 1.5"/>
    <s v="Fulltbet"/>
    <x v="1560"/>
    <n v="-1.66"/>
    <n v="4.4999999999999998E-2"/>
    <n v="-1.66"/>
    <x v="10"/>
    <x v="32"/>
    <x v="38"/>
    <n v="2"/>
    <x v="138"/>
    <n v="0"/>
    <n v="-0.83"/>
    <n v="0"/>
    <x v="0"/>
    <x v="584"/>
    <x v="563"/>
    <s v="Columbus Crew vs Minnesota United"/>
  </r>
  <r>
    <s v="Miami FC vs Brooklyn FC / Correct Score"/>
    <s v="Fulltbet"/>
    <x v="1561"/>
    <n v="1.99"/>
    <n v="4.4999999999999998E-2"/>
    <n v="2.0837696335078535"/>
    <x v="10"/>
    <x v="31"/>
    <x v="110"/>
    <n v="49.92"/>
    <x v="138"/>
    <n v="9.37696335078535E-2"/>
    <n v="3.9863782051282048E-2"/>
    <n v="1"/>
    <x v="0"/>
    <x v="585"/>
    <x v="620"/>
    <s v="Miami FC vs Brooklyn FC"/>
  </r>
  <r>
    <s v="New York Red Bulls vs FC Dallas / Correct Score"/>
    <s v="Fulltbet"/>
    <x v="1562"/>
    <n v="1.99"/>
    <n v="4.4999999999999998E-2"/>
    <n v="2.0837696335078535"/>
    <x v="10"/>
    <x v="31"/>
    <x v="7"/>
    <n v="45.76"/>
    <x v="138"/>
    <n v="9.37696335078535E-2"/>
    <n v="4.348776223776224E-2"/>
    <n v="1"/>
    <x v="0"/>
    <x v="586"/>
    <x v="621"/>
    <s v="New York Red Bulls vs FC Dallas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</r>
  <r>
    <s v="Athlético Paranaense vs Grêmio FBPA / Match Odds"/>
    <s v="Fulltbet"/>
    <x v="1564"/>
    <n v="-2"/>
    <n v="4.4999999999999998E-2"/>
    <n v="-2"/>
    <x v="10"/>
    <x v="39"/>
    <x v="78"/>
    <n v="2"/>
    <x v="138"/>
    <n v="0"/>
    <n v="-1"/>
    <n v="0"/>
    <x v="0"/>
    <x v="494"/>
    <x v="350"/>
    <s v="Athlético Paranaense vs Grêmio FBPA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</r>
  <r>
    <s v="Oriente Petrolero vs Real Tomayapo / Match Odds"/>
    <s v="Fulltbet"/>
    <x v="1566"/>
    <n v="3.26"/>
    <n v="4.4999999999999998E-2"/>
    <n v="3.413612565445026"/>
    <x v="10"/>
    <x v="36"/>
    <x v="13"/>
    <n v="30.69"/>
    <x v="138"/>
    <n v="0.15361256544502622"/>
    <n v="0.10622352557836427"/>
    <n v="1"/>
    <x v="0"/>
    <x v="26"/>
    <x v="106"/>
    <s v="Oriente Petrolero vs Real Tomayapo"/>
  </r>
  <r>
    <s v="New England Revolution vs Charlotte FC / Correct Score"/>
    <s v="Fulltbet"/>
    <x v="1567"/>
    <n v="1.71"/>
    <n v="4.4999999999999998E-2"/>
    <n v="1.7905759162303665"/>
    <x v="10"/>
    <x v="31"/>
    <x v="155"/>
    <n v="51.91"/>
    <x v="138"/>
    <n v="8.0575916230366529E-2"/>
    <n v="3.2941629743787323E-2"/>
    <n v="1"/>
    <x v="0"/>
    <x v="587"/>
    <x v="555"/>
    <s v="New England Revolution vs Charlotte FC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</r>
  <r>
    <s v="Houston Dynamo vs Colorado Rapids / Correct Score"/>
    <s v="Fulltbet"/>
    <x v="1569"/>
    <n v="2.0699999999999998"/>
    <n v="4.4999999999999998E-2"/>
    <n v="2.1675392670157065"/>
    <x v="10"/>
    <x v="31"/>
    <x v="109"/>
    <n v="49.91"/>
    <x v="138"/>
    <n v="9.7539267015706699E-2"/>
    <n v="4.1474654377880185E-2"/>
    <n v="1"/>
    <x v="0"/>
    <x v="513"/>
    <x v="622"/>
    <s v="Houston Dynamo vs Colorado Rapids"/>
  </r>
  <r>
    <s v="San Diego FC vs Los Angeles FC / Match Odds"/>
    <s v="Fulltbet"/>
    <x v="1570"/>
    <n v="3.41"/>
    <n v="4.4999999999999998E-2"/>
    <n v="3.5706806282722514"/>
    <x v="10"/>
    <x v="38"/>
    <x v="15"/>
    <n v="49.98"/>
    <x v="139"/>
    <n v="0.16068062827225127"/>
    <n v="6.8227290916366548E-2"/>
    <n v="1"/>
    <x v="0"/>
    <x v="588"/>
    <x v="623"/>
    <s v="San Diego FC vs Los Angeles FC"/>
  </r>
  <r>
    <s v="Los Angeles Galaxy vs Vancouver Whitecaps / Match Odds"/>
    <s v="Fulltbet"/>
    <x v="1571"/>
    <n v="5.0199999999999996"/>
    <n v="4.4999999999999998E-2"/>
    <n v="5.2565445026178006"/>
    <x v="10"/>
    <x v="38"/>
    <x v="31"/>
    <n v="52.6"/>
    <x v="139"/>
    <n v="0.23654450261780102"/>
    <n v="9.543726235741444E-2"/>
    <n v="1"/>
    <x v="0"/>
    <x v="547"/>
    <x v="624"/>
    <s v="Los Angeles Galaxy vs Vancouver Whitecaps"/>
  </r>
  <r>
    <s v="Hannover 96 vs Preußen Münster / Total 1.5"/>
    <s v="Fulltbet"/>
    <x v="1572"/>
    <n v="3.82"/>
    <n v="4.4999999999999998E-2"/>
    <n v="4"/>
    <x v="10"/>
    <x v="32"/>
    <x v="179"/>
    <n v="4"/>
    <x v="139"/>
    <n v="0.18000000000000016"/>
    <n v="0.95499999999999996"/>
    <n v="1"/>
    <x v="0"/>
    <x v="291"/>
    <x v="145"/>
    <s v="Hannover 96 vs Preußen Münster"/>
  </r>
  <r>
    <s v="Bologna vs Cagliari / Total 0.5"/>
    <s v="Fulltbet"/>
    <x v="1573"/>
    <n v="-2"/>
    <n v="4.4999999999999998E-2"/>
    <n v="-2"/>
    <x v="10"/>
    <x v="40"/>
    <x v="46"/>
    <n v="2"/>
    <x v="139"/>
    <n v="0"/>
    <n v="-1"/>
    <n v="0"/>
    <x v="0"/>
    <x v="34"/>
    <x v="44"/>
    <s v="Bologna vs Cagliari"/>
  </r>
  <r>
    <s v="Hammarby IF vs Västerås SK FK / 1st Half Total 0.5"/>
    <s v="Fulltbet"/>
    <x v="1574"/>
    <n v="-2"/>
    <n v="4.4999999999999998E-2"/>
    <n v="-2"/>
    <x v="10"/>
    <x v="43"/>
    <x v="58"/>
    <n v="2"/>
    <x v="139"/>
    <n v="0"/>
    <n v="-1"/>
    <n v="0"/>
    <x v="0"/>
    <x v="436"/>
    <x v="551"/>
    <s v="Hammarby IF vs Västerås SK FK"/>
  </r>
  <r>
    <s v="Racing Santander vs Huesca / Total 1.5"/>
    <s v="Fulltbet"/>
    <x v="1575"/>
    <n v="3.82"/>
    <n v="4.4999999999999998E-2"/>
    <n v="4"/>
    <x v="10"/>
    <x v="32"/>
    <x v="16"/>
    <n v="4"/>
    <x v="139"/>
    <n v="0.18000000000000016"/>
    <n v="0.95499999999999996"/>
    <n v="1"/>
    <x v="0"/>
    <x v="239"/>
    <x v="435"/>
    <s v="Racing Santander vs Huesca"/>
  </r>
  <r>
    <s v="Karlsruher SC vs SV Darmstadt 98 / Correct Score"/>
    <s v="Fulltbet"/>
    <x v="1576"/>
    <n v="1.99"/>
    <n v="4.4999999999999998E-2"/>
    <n v="2.0837696335078535"/>
    <x v="10"/>
    <x v="31"/>
    <x v="16"/>
    <n v="50"/>
    <x v="139"/>
    <n v="9.37696335078535E-2"/>
    <n v="3.9800000000000002E-2"/>
    <n v="1"/>
    <x v="0"/>
    <x v="465"/>
    <x v="43"/>
    <s v="Karlsruher SC vs SV Darmstadt 98"/>
  </r>
  <r>
    <s v="Karlsruher SC vs SV Darmstadt 98 / Match Odds"/>
    <s v="Fulltbet"/>
    <x v="1577"/>
    <n v="5.0199999999999996"/>
    <n v="4.4999999999999998E-2"/>
    <n v="5.2565445026178006"/>
    <x v="10"/>
    <x v="38"/>
    <x v="13"/>
    <n v="47.34"/>
    <x v="139"/>
    <n v="0.23654450261780102"/>
    <n v="0.10604140261934937"/>
    <n v="1"/>
    <x v="0"/>
    <x v="465"/>
    <x v="43"/>
    <s v="Karlsruher SC vs SV Darmstadt 98"/>
  </r>
  <r>
    <s v="1. FC Magdeburg vs Hertha BSC / Correct Score"/>
    <s v="Fulltbet"/>
    <x v="1578"/>
    <n v="3.29"/>
    <n v="4.4999999999999998E-2"/>
    <n v="3.4450261780104712"/>
    <x v="10"/>
    <x v="31"/>
    <x v="29"/>
    <n v="50.03"/>
    <x v="139"/>
    <n v="0.15502617801047114"/>
    <n v="6.5760543673795718E-2"/>
    <n v="1"/>
    <x v="0"/>
    <x v="305"/>
    <x v="513"/>
    <s v="1. FC Magdeburg vs Hertha BSC"/>
  </r>
  <r>
    <s v="1. FC Magdeburg vs Hertha BSC / Match Odds"/>
    <s v="Fulltbet"/>
    <x v="1579"/>
    <n v="3.29"/>
    <n v="4.4999999999999998E-2"/>
    <n v="3.4450261780104712"/>
    <x v="10"/>
    <x v="38"/>
    <x v="15"/>
    <n v="48.3"/>
    <x v="139"/>
    <n v="0.15502617801047114"/>
    <n v="6.8115942028985507E-2"/>
    <n v="1"/>
    <x v="0"/>
    <x v="305"/>
    <x v="513"/>
    <s v="1. FC Magdeburg vs Hertha BSC"/>
  </r>
  <r>
    <s v="Lille OSC vs Le Havre AC / 1st Half Total 0.5"/>
    <s v="Fulltbet"/>
    <x v="1580"/>
    <n v="1.65"/>
    <n v="4.4999999999999998E-2"/>
    <n v="1.7277486910994764"/>
    <x v="10"/>
    <x v="43"/>
    <x v="68"/>
    <n v="2"/>
    <x v="139"/>
    <n v="7.7748691099476464E-2"/>
    <n v="0.82499999999999996"/>
    <n v="1"/>
    <x v="0"/>
    <x v="68"/>
    <x v="152"/>
    <s v="Lille OSC vs Le Havre AC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</r>
  <r>
    <s v="Hammarby IF vs Västerås SK FK / Match Odds"/>
    <s v="Fulltbet"/>
    <x v="1582"/>
    <n v="3.33"/>
    <n v="4.4999999999999998E-2"/>
    <n v="3.4869109947643979"/>
    <x v="10"/>
    <x v="36"/>
    <x v="3"/>
    <n v="30.01"/>
    <x v="139"/>
    <n v="0.15691099476439785"/>
    <n v="0.11096301232922359"/>
    <n v="1"/>
    <x v="0"/>
    <x v="436"/>
    <x v="551"/>
    <s v="Hammarby IF vs Västerås SK FK"/>
  </r>
  <r>
    <s v="Racing Santander vs Huesca / Match Odds"/>
    <s v="Fulltbet"/>
    <x v="1583"/>
    <n v="3.77"/>
    <n v="4.4999999999999998E-2"/>
    <n v="3.9476439790575917"/>
    <x v="10"/>
    <x v="36"/>
    <x v="38"/>
    <n v="30.02"/>
    <x v="139"/>
    <n v="0.17764397905759166"/>
    <n v="0.12558294470353099"/>
    <n v="1"/>
    <x v="0"/>
    <x v="239"/>
    <x v="435"/>
    <s v="Racing Santander vs Huesca"/>
  </r>
  <r>
    <s v="PEC Zwolle vs Heracles Almelo / Total 1.5"/>
    <s v="Fulltbet"/>
    <x v="1584"/>
    <n v="-4.7300000000000004"/>
    <n v="4.4999999999999998E-2"/>
    <n v="-4.7300000000000004"/>
    <x v="10"/>
    <x v="32"/>
    <x v="31"/>
    <n v="4"/>
    <x v="139"/>
    <n v="0"/>
    <n v="-1.1825000000000001"/>
    <n v="0"/>
    <x v="0"/>
    <x v="266"/>
    <x v="334"/>
    <s v="PEC Zwolle vs Heracles Almelo"/>
  </r>
  <r>
    <s v="Fortuna Sittard vs Feyenoord / Match Odds"/>
    <s v="Fulltbet"/>
    <x v="1585"/>
    <n v="5.34"/>
    <n v="4.4999999999999998E-2"/>
    <n v="5.5916230366492146"/>
    <x v="10"/>
    <x v="38"/>
    <x v="13"/>
    <n v="50.04"/>
    <x v="139"/>
    <n v="0.2516230366492147"/>
    <n v="0.10671462829736211"/>
    <n v="1"/>
    <x v="0"/>
    <x v="269"/>
    <x v="256"/>
    <s v="Fortuna Sittard vs Feyenoord"/>
  </r>
  <r>
    <s v="AFC Bournemouth vs Crystal Palace / Total 2.5"/>
    <s v="Fulltbet"/>
    <x v="1586"/>
    <n v="-5"/>
    <n v="4.4999999999999998E-2"/>
    <n v="-5"/>
    <x v="10"/>
    <x v="34"/>
    <x v="188"/>
    <n v="5"/>
    <x v="139"/>
    <n v="0"/>
    <n v="-1"/>
    <n v="0"/>
    <x v="0"/>
    <x v="380"/>
    <x v="200"/>
    <s v="AFC Bournemouth vs Crystal Palace"/>
  </r>
  <r>
    <s v="Zaglebie Lubin vs Cracovia Kraków / Total 0.5"/>
    <s v="Fulltbet"/>
    <x v="1587"/>
    <n v="-2"/>
    <n v="4.4999999999999998E-2"/>
    <n v="-2"/>
    <x v="10"/>
    <x v="40"/>
    <x v="188"/>
    <n v="2"/>
    <x v="139"/>
    <n v="0"/>
    <n v="-1"/>
    <n v="0"/>
    <x v="0"/>
    <x v="331"/>
    <x v="406"/>
    <s v="Zaglebie Lubin vs Cracovia Kraków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</r>
  <r>
    <s v="FC Lugano vs BSC Young Boys / Correct Score"/>
    <s v="Fulltbet"/>
    <x v="1589"/>
    <n v="3.18"/>
    <n v="4.4999999999999998E-2"/>
    <n v="3.329842931937173"/>
    <x v="10"/>
    <x v="31"/>
    <x v="34"/>
    <n v="49.95"/>
    <x v="139"/>
    <n v="0.1498429319371728"/>
    <n v="6.3663663663663661E-2"/>
    <n v="1"/>
    <x v="0"/>
    <x v="303"/>
    <x v="353"/>
    <s v="FC Lugano vs BSC Young Boys"/>
  </r>
  <r>
    <s v="Start vs Tromsø / Total 1.5"/>
    <s v="Fulltbet"/>
    <x v="1590"/>
    <n v="-2.08"/>
    <n v="4.4999999999999998E-2"/>
    <n v="-2.08"/>
    <x v="10"/>
    <x v="32"/>
    <x v="196"/>
    <n v="4"/>
    <x v="139"/>
    <n v="0"/>
    <n v="-0.52"/>
    <n v="0"/>
    <x v="0"/>
    <x v="589"/>
    <x v="625"/>
    <s v="Start vs Tromsø"/>
  </r>
  <r>
    <s v="Juventus vs Hellas Verona / 1st Half Total 0.5"/>
    <s v="Fulltbet"/>
    <x v="1591"/>
    <n v="1.1200000000000001"/>
    <n v="4.4999999999999998E-2"/>
    <n v="1.1727748691099478"/>
    <x v="10"/>
    <x v="43"/>
    <x v="197"/>
    <n v="2"/>
    <x v="139"/>
    <n v="5.2774869109947664E-2"/>
    <n v="0.56000000000000005"/>
    <n v="1"/>
    <x v="0"/>
    <x v="113"/>
    <x v="243"/>
    <s v="Juventus vs Hellas Verona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</r>
  <r>
    <s v="Paris FC vs Stade Brestois 29 / Total 2.5"/>
    <s v="Fulltbet"/>
    <x v="1594"/>
    <n v="-5"/>
    <n v="4.4999999999999998E-2"/>
    <n v="-5"/>
    <x v="10"/>
    <x v="34"/>
    <x v="185"/>
    <n v="5"/>
    <x v="139"/>
    <n v="0"/>
    <n v="-1"/>
    <n v="0"/>
    <x v="0"/>
    <x v="312"/>
    <x v="13"/>
    <s v="Paris FC vs Stade Brestois 2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</r>
  <r>
    <s v="FC Red Bull Salzburg vs SK Puntigamer Sturm Graz / Total 1.5"/>
    <s v="Fulltbet"/>
    <x v="1596"/>
    <n v="-3.52"/>
    <n v="4.4999999999999998E-2"/>
    <n v="-3.52"/>
    <x v="10"/>
    <x v="32"/>
    <x v="0"/>
    <n v="4"/>
    <x v="139"/>
    <n v="0"/>
    <n v="-0.88"/>
    <n v="0"/>
    <x v="0"/>
    <x v="140"/>
    <x v="305"/>
    <s v="FC Red Bull Salzburg vs SK Puntigamer Sturm Graz"/>
  </r>
  <r>
    <s v="FC Red Bull Salzburg vs SK Puntigamer Sturm Graz / Match Odds"/>
    <s v="Fulltbet"/>
    <x v="1597"/>
    <n v="1.54"/>
    <n v="4.4999999999999998E-2"/>
    <n v="1.6125654450261782"/>
    <x v="10"/>
    <x v="38"/>
    <x v="200"/>
    <n v="56.35"/>
    <x v="139"/>
    <n v="7.2565445026178121E-2"/>
    <n v="2.732919254658385E-2"/>
    <n v="1"/>
    <x v="0"/>
    <x v="140"/>
    <x v="305"/>
    <s v="FC Red Bull Salzburg vs SK Puntigamer Sturm Graz"/>
  </r>
  <r>
    <s v="Juventus vs Hellas Verona / Total 1.5"/>
    <s v="Fulltbet"/>
    <x v="1598"/>
    <n v="-3.14"/>
    <n v="4.4999999999999998E-2"/>
    <n v="-3.14"/>
    <x v="10"/>
    <x v="32"/>
    <x v="12"/>
    <n v="4"/>
    <x v="139"/>
    <n v="0"/>
    <n v="-0.78500000000000003"/>
    <n v="0"/>
    <x v="0"/>
    <x v="113"/>
    <x v="243"/>
    <s v="Juventus vs Hellas Verona"/>
  </r>
  <r>
    <s v="Pogon Szczecin vs Wisla Plock / Correct Score"/>
    <s v="Fulltbet"/>
    <x v="1599"/>
    <n v="1.83"/>
    <n v="4.4999999999999998E-2"/>
    <n v="1.9162303664921467"/>
    <x v="10"/>
    <x v="31"/>
    <x v="40"/>
    <n v="49.92"/>
    <x v="139"/>
    <n v="8.6230366492146659E-2"/>
    <n v="3.6658653846153848E-2"/>
    <n v="1"/>
    <x v="0"/>
    <x v="388"/>
    <x v="626"/>
    <s v="Pogon Szczecin vs Wisla Plock"/>
  </r>
  <r>
    <s v="Pogon Szczecin vs Wisla Plock / Match Odds"/>
    <s v="Fulltbet"/>
    <x v="1600"/>
    <n v="1.54"/>
    <n v="4.4999999999999998E-2"/>
    <n v="1.6125654450261782"/>
    <x v="10"/>
    <x v="38"/>
    <x v="66"/>
    <n v="49.91"/>
    <x v="139"/>
    <n v="7.2565445026178121E-2"/>
    <n v="3.0855539971949512E-2"/>
    <n v="1"/>
    <x v="0"/>
    <x v="388"/>
    <x v="626"/>
    <s v="Pogon Szczecin vs Wisla Plock"/>
  </r>
  <r>
    <s v="Borussia Mönchengladbach vs Borussia Dortmund / Total 2.5"/>
    <s v="Fulltbet"/>
    <x v="1601"/>
    <n v="6.43"/>
    <n v="4.4999999999999998E-2"/>
    <n v="6.7329842931937174"/>
    <x v="10"/>
    <x v="34"/>
    <x v="158"/>
    <n v="5"/>
    <x v="139"/>
    <n v="0.30298429319371767"/>
    <n v="1.286"/>
    <n v="1"/>
    <x v="0"/>
    <x v="38"/>
    <x v="153"/>
    <s v="Borussia Mönchengladbach vs Borussia Dortmund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</r>
  <r>
    <s v="Al-Qadisiyah vs Al-Nassr Riyadh / Total 1.5"/>
    <s v="Fulltbet"/>
    <x v="1604"/>
    <n v="3.82"/>
    <n v="4.4999999999999998E-2"/>
    <n v="4"/>
    <x v="10"/>
    <x v="32"/>
    <x v="15"/>
    <n v="4"/>
    <x v="139"/>
    <n v="0.18000000000000016"/>
    <n v="0.95499999999999996"/>
    <n v="1"/>
    <x v="0"/>
    <x v="282"/>
    <x v="362"/>
    <s v="Al-Qadisiyah vs Al-Nassr Riyadh"/>
  </r>
  <r>
    <s v="Sporting de Braga vs Estoril-Praia / Match Odds"/>
    <s v="Fulltbet"/>
    <x v="1605"/>
    <n v="1.22"/>
    <n v="4.4999999999999998E-2"/>
    <n v="1.2774869109947644"/>
    <x v="10"/>
    <x v="38"/>
    <x v="178"/>
    <n v="49.92"/>
    <x v="139"/>
    <n v="5.748691099476444E-2"/>
    <n v="2.4439102564102564E-2"/>
    <n v="1"/>
    <x v="0"/>
    <x v="315"/>
    <x v="157"/>
    <s v="Sporting de Braga vs Estoril-Praia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</r>
  <r>
    <s v="Kayserispor vs Eyüpspor / Correct Score"/>
    <s v="Fulltbet"/>
    <x v="1607"/>
    <n v="3.68"/>
    <n v="4.4999999999999998E-2"/>
    <n v="3.8534031413612571"/>
    <x v="10"/>
    <x v="31"/>
    <x v="8"/>
    <n v="50.05"/>
    <x v="139"/>
    <n v="0.1734031413612569"/>
    <n v="7.352647352647354E-2"/>
    <n v="1"/>
    <x v="0"/>
    <x v="466"/>
    <x v="627"/>
    <s v="Kayserispor vs Eyüpspor"/>
  </r>
  <r>
    <s v="Olympique Lyonnais vs Stade Rennais / Total 1.5"/>
    <s v="Fulltbet"/>
    <x v="1608"/>
    <n v="3.82"/>
    <n v="4.4999999999999998E-2"/>
    <n v="4"/>
    <x v="10"/>
    <x v="32"/>
    <x v="31"/>
    <n v="4"/>
    <x v="139"/>
    <n v="0.18000000000000016"/>
    <n v="0.95499999999999996"/>
    <n v="1"/>
    <x v="0"/>
    <x v="27"/>
    <x v="226"/>
    <s v="Olympique Lyonnais vs Stade Rennais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</r>
  <r>
    <s v="SC Freiburg vs VfL Wolfsburg / Total 2.5"/>
    <s v="Fulltbet"/>
    <x v="1609"/>
    <n v="6.33"/>
    <n v="0"/>
    <n v="6.33"/>
    <x v="10"/>
    <x v="34"/>
    <x v="185"/>
    <n v="5"/>
    <x v="139"/>
    <n v="0"/>
    <n v="1.266"/>
    <n v="1"/>
    <x v="0"/>
    <x v="24"/>
    <x v="260"/>
    <s v="SC Freiburg vs VfL Wolfsburg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</r>
  <r>
    <s v="Flamengo vs Vasco da Gama / Total 1.5"/>
    <s v="Fulltbet"/>
    <x v="1612"/>
    <n v="-3.6"/>
    <n v="4.4999999999999998E-2"/>
    <n v="-3.6"/>
    <x v="10"/>
    <x v="32"/>
    <x v="41"/>
    <n v="4"/>
    <x v="139"/>
    <n v="0"/>
    <n v="-0.9"/>
    <n v="0"/>
    <x v="0"/>
    <x v="486"/>
    <x v="91"/>
    <s v="Flamengo vs Vasco da Gama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</r>
  <r>
    <s v="New York City FC vs DC United / Total 1.5"/>
    <s v="Fulltbet"/>
    <x v="1614"/>
    <n v="-2.5499999999999998"/>
    <n v="4.4999999999999998E-2"/>
    <n v="-2.5499999999999998"/>
    <x v="10"/>
    <x v="32"/>
    <x v="28"/>
    <n v="4"/>
    <x v="139"/>
    <n v="0"/>
    <n v="-0.63749999999999996"/>
    <n v="0"/>
    <x v="0"/>
    <x v="481"/>
    <x v="628"/>
    <s v="New York City FC vs DC United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</r>
  <r>
    <s v="Flamengo vs Vasco da Gama / Match Odds"/>
    <s v="Fulltbet"/>
    <x v="1617"/>
    <n v="83.25"/>
    <n v="4.4999999999999998E-2"/>
    <n v="87.172774869109958"/>
    <x v="3"/>
    <x v="7"/>
    <x v="36"/>
    <n v="523.02"/>
    <x v="139"/>
    <n v="3.9227748691099578"/>
    <n v="0.15917173339451646"/>
    <n v="1"/>
    <x v="6"/>
    <x v="486"/>
    <x v="91"/>
    <s v="Flamengo vs Vasco da Gama"/>
  </r>
  <r>
    <s v="New York City FC vs DC United / Match Odds"/>
    <s v="Fulltbet"/>
    <x v="1618"/>
    <n v="-2"/>
    <n v="4.4999999999999998E-2"/>
    <n v="-2"/>
    <x v="10"/>
    <x v="39"/>
    <x v="73"/>
    <n v="2"/>
    <x v="139"/>
    <n v="0"/>
    <n v="-1"/>
    <n v="0"/>
    <x v="0"/>
    <x v="481"/>
    <x v="628"/>
    <s v="New York City FC vs DC United"/>
  </r>
  <r>
    <s v="Independiente Medellín vs Águilas Doradas / Match Odds"/>
    <s v="Fulltbet"/>
    <x v="1619"/>
    <n v="-5.05"/>
    <n v="4.4999999999999998E-2"/>
    <n v="-5.05"/>
    <x v="10"/>
    <x v="41"/>
    <x v="201"/>
    <n v="5.05"/>
    <x v="139"/>
    <n v="0"/>
    <n v="-1"/>
    <n v="0"/>
    <x v="0"/>
    <x v="36"/>
    <x v="629"/>
    <s v="Independiente Medellín vs Águilas Doradas"/>
  </r>
  <r>
    <s v="River Plate vs Atlético Tucumán / Match Odds"/>
    <s v="Fulltbet"/>
    <x v="1620"/>
    <n v="-30.78"/>
    <n v="4.4999999999999998E-2"/>
    <n v="-30.78"/>
    <x v="10"/>
    <x v="36"/>
    <x v="38"/>
    <n v="30.78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5.01"/>
    <n v="4.4999999999999998E-2"/>
    <n v="-5.01"/>
    <x v="10"/>
    <x v="41"/>
    <x v="202"/>
    <n v="5.01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379.98"/>
    <n v="4.4999999999999998E-2"/>
    <n v="-379.98"/>
    <x v="3"/>
    <x v="7"/>
    <x v="36"/>
    <n v="379.98"/>
    <x v="139"/>
    <n v="0"/>
    <n v="-1"/>
    <n v="0"/>
    <x v="35"/>
    <x v="458"/>
    <x v="630"/>
    <s v="River Plate vs Atlético Tucumán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</r>
  <r>
    <s v="Austin FC vs Saint Louis City SC / Correct Score"/>
    <s v="Fulltbet"/>
    <x v="1622"/>
    <n v="2.17"/>
    <n v="4.4999999999999998E-2"/>
    <n v="2.2722513089005236"/>
    <x v="10"/>
    <x v="31"/>
    <x v="7"/>
    <n v="49.94"/>
    <x v="139"/>
    <n v="0.1022513089005237"/>
    <n v="4.3452142571085303E-2"/>
    <n v="1"/>
    <x v="0"/>
    <x v="590"/>
    <x v="631"/>
    <s v="Austin FC vs Saint Louis City SC"/>
  </r>
  <r>
    <s v="Austin FC vs Saint Louis City SC / Match Odds"/>
    <s v="Fulltbet"/>
    <x v="1623"/>
    <n v="1.71"/>
    <n v="4.4999999999999998E-2"/>
    <n v="1.7905759162303665"/>
    <x v="10"/>
    <x v="38"/>
    <x v="117"/>
    <n v="44.75"/>
    <x v="139"/>
    <n v="8.0575916230366529E-2"/>
    <n v="3.8212290502793296E-2"/>
    <n v="1"/>
    <x v="0"/>
    <x v="590"/>
    <x v="631"/>
    <s v="Austin FC vs Saint Louis City SC"/>
  </r>
  <r>
    <s v="América de Cali vs Deportivo Pereira / Total 1.5"/>
    <s v="Fulltbet"/>
    <x v="1624"/>
    <n v="2.5499999999999998"/>
    <n v="0"/>
    <n v="2.5499999999999998"/>
    <x v="10"/>
    <x v="35"/>
    <x v="48"/>
    <n v="5"/>
    <x v="139"/>
    <n v="0"/>
    <n v="0.51"/>
    <n v="1"/>
    <x v="0"/>
    <x v="591"/>
    <x v="632"/>
    <s v="América de Cali vs Deportivo Pereira"/>
  </r>
  <r>
    <s v="América de Cali vs Deportivo Pereira / Total 1.5"/>
    <s v="Fulltbet"/>
    <x v="1624"/>
    <n v="-2.13"/>
    <n v="4.4999999999999998E-2"/>
    <n v="-2.13"/>
    <x v="10"/>
    <x v="32"/>
    <x v="203"/>
    <n v="4"/>
    <x v="139"/>
    <n v="0"/>
    <n v="-0.53249999999999997"/>
    <n v="0"/>
    <x v="0"/>
    <x v="591"/>
    <x v="632"/>
    <s v="América de Cali vs Deportivo Pereira"/>
  </r>
  <r>
    <s v="FBC Melgar vs Universidad Técnica de Cajamarca / Match Odds"/>
    <s v="Fulltbet"/>
    <x v="1625"/>
    <n v="3.77"/>
    <n v="4.4999999999999998E-2"/>
    <n v="3.9476439790575917"/>
    <x v="10"/>
    <x v="36"/>
    <x v="19"/>
    <n v="29.23"/>
    <x v="139"/>
    <n v="0.17764397905759166"/>
    <n v="0.12897707834416694"/>
    <n v="1"/>
    <x v="0"/>
    <x v="592"/>
    <x v="633"/>
    <s v="FBC Melgar vs Universidad Técnica de Cajamarca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</r>
  <r>
    <s v="Derry City vs Galway United / Total 1.5"/>
    <s v="Fulltbet"/>
    <x v="1628"/>
    <n v="-5"/>
    <n v="4.4999999999999998E-2"/>
    <n v="-5"/>
    <x v="10"/>
    <x v="35"/>
    <x v="8"/>
    <n v="5"/>
    <x v="140"/>
    <n v="0"/>
    <n v="-1"/>
    <n v="0"/>
    <x v="0"/>
    <x v="373"/>
    <x v="634"/>
    <s v="Derry City vs Galway United"/>
  </r>
  <r>
    <s v="Bodø/Glimt vs Molde / Total 1.5"/>
    <s v="Fulltbet"/>
    <x v="1629"/>
    <n v="-4.7300000000000004"/>
    <n v="4.4999999999999998E-2"/>
    <n v="-4.7300000000000004"/>
    <x v="10"/>
    <x v="32"/>
    <x v="38"/>
    <n v="4"/>
    <x v="140"/>
    <n v="0"/>
    <n v="-1.1825000000000001"/>
    <n v="0"/>
    <x v="0"/>
    <x v="277"/>
    <x v="218"/>
    <s v="Bod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</r>
  <r>
    <s v="Al-Ettifaq vs Al Najma Club / Total 3.5"/>
    <s v="Fulltbet"/>
    <x v="1631"/>
    <n v="1.06"/>
    <n v="4.4999999999999998E-2"/>
    <n v="1.1099476439790577"/>
    <x v="10"/>
    <x v="33"/>
    <x v="180"/>
    <n v="5"/>
    <x v="140"/>
    <n v="4.9947643979057599E-2"/>
    <n v="0.21200000000000002"/>
    <n v="1"/>
    <x v="0"/>
    <x v="246"/>
    <x v="295"/>
    <s v="Al-Ettifaq vs Al Najma Club"/>
  </r>
  <r>
    <s v="Al-Ittihad Jeddah vs Al-Kholood Club / Correct Score"/>
    <s v="Fulltbet"/>
    <x v="1632"/>
    <n v="3.41"/>
    <n v="4.4999999999999998E-2"/>
    <n v="3.5706806282722514"/>
    <x v="10"/>
    <x v="31"/>
    <x v="29"/>
    <n v="51.77"/>
    <x v="140"/>
    <n v="0.16068062827225127"/>
    <n v="6.5868263473053884E-2"/>
    <n v="1"/>
    <x v="0"/>
    <x v="255"/>
    <x v="539"/>
    <s v="Al-Ittihad Jeddah vs Al-Kholood Club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</r>
  <r>
    <s v="LASK Linz vs SK Rapid Wien / Correct Score"/>
    <s v="Fulltbet"/>
    <x v="1634"/>
    <n v="4.1500000000000004"/>
    <n v="4.4999999999999998E-2"/>
    <n v="4.345549738219896"/>
    <x v="10"/>
    <x v="31"/>
    <x v="5"/>
    <n v="52.2"/>
    <x v="140"/>
    <n v="0.19554973821989563"/>
    <n v="7.9501915708812265E-2"/>
    <n v="1"/>
    <x v="0"/>
    <x v="334"/>
    <x v="635"/>
    <s v="LASK Linz vs SK Rapid Wien"/>
  </r>
  <r>
    <s v="Everton vs Manchester City / Match Odds"/>
    <s v="Fulltbet"/>
    <x v="1635"/>
    <n v="53.37"/>
    <n v="4.4999999999999998E-2"/>
    <n v="55.8848167539267"/>
    <x v="3"/>
    <x v="18"/>
    <x v="44"/>
    <n v="379.88"/>
    <x v="140"/>
    <n v="2.5148167539267021"/>
    <n v="0.14049173423186267"/>
    <n v="1"/>
    <x v="1"/>
    <x v="188"/>
    <x v="151"/>
    <s v="Everton vs Manchester City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</r>
  <r>
    <s v="Vélez Sársfield vs Newell's Old Boys / Match Odds"/>
    <s v="Fulltbet"/>
    <x v="1637"/>
    <n v="-2"/>
    <n v="4.4999999999999998E-2"/>
    <n v="-2"/>
    <x v="10"/>
    <x v="39"/>
    <x v="134"/>
    <n v="2"/>
    <x v="140"/>
    <n v="0"/>
    <n v="-1"/>
    <n v="0"/>
    <x v="0"/>
    <x v="594"/>
    <x v="636"/>
    <s v="Vélez Sársfield vs Newell's Old Boys"/>
  </r>
  <r>
    <s v="Universitario de Vinto vs Blooming Santa Cruz / Match Odds"/>
    <s v="Fulltbet"/>
    <x v="1638"/>
    <n v="-2"/>
    <n v="4.4999999999999998E-2"/>
    <n v="-2"/>
    <x v="10"/>
    <x v="39"/>
    <x v="111"/>
    <n v="2"/>
    <x v="140"/>
    <n v="0"/>
    <n v="-1"/>
    <n v="0"/>
    <x v="0"/>
    <x v="595"/>
    <x v="26"/>
    <s v="Universitario de Vinto vs Blooming Santa Cruz"/>
  </r>
  <r>
    <s v="Shandong Taishan vs Shanghai Shenhua / Correct Score"/>
    <s v="Fulltbet"/>
    <x v="1639"/>
    <n v="-49.95"/>
    <n v="4.4999999999999998E-2"/>
    <n v="-49.95"/>
    <x v="10"/>
    <x v="31"/>
    <x v="24"/>
    <n v="49.95"/>
    <x v="141"/>
    <n v="0"/>
    <n v="-1"/>
    <n v="0"/>
    <x v="0"/>
    <x v="566"/>
    <x v="637"/>
    <s v="Shandong Taishan vs Shanghai Shenhua"/>
  </r>
  <r>
    <s v="Ajman vs Al-Jazira Club / Total 1.5"/>
    <s v="Fulltbet"/>
    <x v="1640"/>
    <n v="3.82"/>
    <n v="4.4999999999999998E-2"/>
    <n v="4"/>
    <x v="10"/>
    <x v="32"/>
    <x v="14"/>
    <n v="4"/>
    <x v="141"/>
    <n v="0.18000000000000016"/>
    <n v="0.95499999999999996"/>
    <n v="1"/>
    <x v="0"/>
    <x v="596"/>
    <x v="638"/>
    <s v="Ajman vs Al-Jazira Club"/>
  </r>
  <r>
    <s v="MFK Skalica vs FK Košice / Correct Score"/>
    <s v="Fulltbet"/>
    <x v="1641"/>
    <n v="1.99"/>
    <n v="4.4999999999999998E-2"/>
    <n v="2.0837696335078535"/>
    <x v="10"/>
    <x v="31"/>
    <x v="117"/>
    <n v="52"/>
    <x v="141"/>
    <n v="9.37696335078535E-2"/>
    <n v="3.8269230769230771E-2"/>
    <n v="1"/>
    <x v="0"/>
    <x v="597"/>
    <x v="639"/>
    <s v="MFK Skalica vs FK Košice"/>
  </r>
  <r>
    <s v="Dibba Al Fujairah vs Al-Bataeh / Match Odds"/>
    <s v="Fulltbet"/>
    <x v="1642"/>
    <n v="5.55"/>
    <n v="4.4999999999999998E-2"/>
    <n v="5.8115183246073299"/>
    <x v="10"/>
    <x v="38"/>
    <x v="89"/>
    <n v="51.13"/>
    <x v="141"/>
    <n v="0.26151832460733004"/>
    <n v="0.10854684138470565"/>
    <n v="1"/>
    <x v="0"/>
    <x v="598"/>
    <x v="640"/>
    <s v="Dibba Al Fujairah vs Al-Bataeh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</r>
  <r>
    <s v="Arsenal vs Atlético de Madrid / Match Odds"/>
    <s v="Fulltbet"/>
    <x v="1646"/>
    <n v="1.91"/>
    <n v="4.4999999999999998E-2"/>
    <n v="2"/>
    <x v="10"/>
    <x v="38"/>
    <x v="117"/>
    <n v="50"/>
    <x v="141"/>
    <n v="9.000000000000008E-2"/>
    <n v="3.8199999999999998E-2"/>
    <n v="1"/>
    <x v="0"/>
    <x v="47"/>
    <x v="205"/>
    <s v="Arsenal vs Atlético de Madrid"/>
  </r>
  <r>
    <s v="Yunnan Yukun vs Zhejiang Professional / Total 1.5"/>
    <s v="Fulltbet"/>
    <x v="1647"/>
    <n v="-6.59"/>
    <n v="4.4999999999999998E-2"/>
    <n v="-6.59"/>
    <x v="10"/>
    <x v="32"/>
    <x v="30"/>
    <n v="4"/>
    <x v="142"/>
    <n v="0"/>
    <n v="-1.6475"/>
    <n v="0"/>
    <x v="0"/>
    <x v="495"/>
    <x v="578"/>
    <s v="Yunnan Yukun vs Zhejiang Professional"/>
  </r>
  <r>
    <s v="FC Bayern München vs Paris Saint-Germain / Total 1.5"/>
    <s v="Fulltbet"/>
    <x v="1648"/>
    <n v="-3.78"/>
    <n v="4.4999999999999998E-2"/>
    <n v="-3.78"/>
    <x v="10"/>
    <x v="32"/>
    <x v="27"/>
    <n v="4"/>
    <x v="142"/>
    <n v="0"/>
    <n v="-0.94499999999999995"/>
    <n v="0"/>
    <x v="0"/>
    <x v="107"/>
    <x v="120"/>
    <s v="FC Bayern München vs Paris Saint-Germain"/>
  </r>
  <r>
    <s v="FC Bayern München vs Paris Saint-Germain / Match Odds"/>
    <s v="Fulltbet"/>
    <x v="1649"/>
    <n v="3.14"/>
    <n v="4.4999999999999998E-2"/>
    <n v="3.2879581151832462"/>
    <x v="10"/>
    <x v="41"/>
    <x v="204"/>
    <n v="5"/>
    <x v="142"/>
    <n v="0.14795811518324609"/>
    <n v="0.628"/>
    <n v="1"/>
    <x v="0"/>
    <x v="107"/>
    <x v="120"/>
    <s v="FC Bayern München vs Paris Saint-Germain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</r>
  <r>
    <s v="Crystal Palace vs Shakhtar Donetsk / Correct Score"/>
    <s v="Fulltbet"/>
    <x v="1651"/>
    <n v="2.2400000000000002"/>
    <n v="4.4999999999999998E-2"/>
    <n v="2.3455497382198955"/>
    <x v="10"/>
    <x v="31"/>
    <x v="4"/>
    <n v="49.27"/>
    <x v="143"/>
    <n v="0.10554973821989533"/>
    <n v="4.5463771057438603E-2"/>
    <n v="1"/>
    <x v="0"/>
    <x v="142"/>
    <x v="641"/>
    <s v="Crystal Palace vs Shakhtar Donetsk"/>
  </r>
  <r>
    <s v="Terengganu FC vs Imigresen FC / 1st Half Total 0.5"/>
    <s v="Fulltbet"/>
    <x v="1652"/>
    <n v="12.57"/>
    <n v="4.4999999999999998E-2"/>
    <n v="13.162303664921467"/>
    <x v="11"/>
    <x v="43"/>
    <x v="205"/>
    <n v="50"/>
    <x v="144"/>
    <n v="0.59230366492146658"/>
    <n v="0.25140000000000001"/>
    <n v="1"/>
    <x v="0"/>
    <x v="599"/>
    <x v="642"/>
    <s v="Terengganu FC vs Imigresen FC"/>
  </r>
  <r>
    <s v="Ilves vs AC Oulu / 1st Half Total 0.5"/>
    <s v="Fulltbet"/>
    <x v="1653"/>
    <n v="19.579999999999998"/>
    <n v="4.4999999999999998E-2"/>
    <n v="20.502617801047119"/>
    <x v="11"/>
    <x v="43"/>
    <x v="171"/>
    <n v="50"/>
    <x v="144"/>
    <n v="0.92261780104712088"/>
    <n v="0.39159999999999995"/>
    <n v="1"/>
    <x v="0"/>
    <x v="600"/>
    <x v="643"/>
    <s v="Ilves vs AC Oulu"/>
  </r>
  <r>
    <s v="TPS vs HJK Helsinki / 1st Half Total 0.5"/>
    <s v="Fulltbet"/>
    <x v="1654"/>
    <n v="-50"/>
    <n v="4.4999999999999998E-2"/>
    <n v="-50"/>
    <x v="11"/>
    <x v="43"/>
    <x v="129"/>
    <n v="50"/>
    <x v="144"/>
    <n v="0"/>
    <n v="-1"/>
    <n v="0"/>
    <x v="0"/>
    <x v="601"/>
    <x v="644"/>
    <s v="TPS vs HJK Helsinki"/>
  </r>
  <r>
    <s v="SC Paderborn 07 vs Karlsruher SC / 1st Half Total 0.5"/>
    <s v="Fulltbet"/>
    <x v="1655"/>
    <n v="10.85"/>
    <n v="4.4999999999999998E-2"/>
    <n v="11.361256544502618"/>
    <x v="11"/>
    <x v="43"/>
    <x v="206"/>
    <n v="50"/>
    <x v="144"/>
    <n v="0.51125654450261848"/>
    <n v="0.217"/>
    <n v="1"/>
    <x v="0"/>
    <x v="166"/>
    <x v="276"/>
    <s v="SC Paderborn 07 vs Karlsruher SC"/>
  </r>
  <r>
    <s v="Aalborg BK vs Middelfart Boldklub / 1st Half Total 0.5"/>
    <s v="Fulltbet"/>
    <x v="1656"/>
    <n v="12.57"/>
    <n v="4.4999999999999998E-2"/>
    <n v="13.162303664921467"/>
    <x v="11"/>
    <x v="43"/>
    <x v="205"/>
    <n v="50"/>
    <x v="144"/>
    <n v="0.59230366492146658"/>
    <n v="0.25140000000000001"/>
    <n v="1"/>
    <x v="0"/>
    <x v="602"/>
    <x v="645"/>
    <s v="Aalborg BK vs Middelfart Boldklub"/>
  </r>
  <r>
    <s v="KuPS vs SJK / 1st Half Total 0.5"/>
    <s v="Fulltbet"/>
    <x v="1657"/>
    <n v="-50"/>
    <n v="4.4999999999999998E-2"/>
    <n v="-50"/>
    <x v="11"/>
    <x v="43"/>
    <x v="45"/>
    <n v="50"/>
    <x v="144"/>
    <n v="0"/>
    <n v="-1"/>
    <n v="0"/>
    <x v="0"/>
    <x v="603"/>
    <x v="646"/>
    <s v="KuPS vs SJK"/>
  </r>
  <r>
    <s v="FC Hertha Wels vs SK Sturm Graz II / Match Odds"/>
    <s v="Fulltbet"/>
    <x v="1658"/>
    <n v="18.02"/>
    <n v="4.4999999999999998E-2"/>
    <n v="18.869109947643981"/>
    <x v="11"/>
    <x v="44"/>
    <x v="160"/>
    <n v="50.01"/>
    <x v="144"/>
    <n v="0.8491099476439814"/>
    <n v="0.36032793441311739"/>
    <n v="1"/>
    <x v="0"/>
    <x v="604"/>
    <x v="647"/>
    <s v="FC Hertha Wels vs SK Sturm Graz II"/>
  </r>
  <r>
    <s v="Vojvodina vs FK Cukaricki / Correct Score"/>
    <s v="Fulltbet"/>
    <x v="1659"/>
    <n v="2.0699999999999998"/>
    <n v="4.4999999999999998E-2"/>
    <n v="2.1675392670157065"/>
    <x v="10"/>
    <x v="31"/>
    <x v="109"/>
    <n v="49.91"/>
    <x v="144"/>
    <n v="9.7539267015706699E-2"/>
    <n v="4.1474654377880185E-2"/>
    <n v="1"/>
    <x v="0"/>
    <x v="605"/>
    <x v="648"/>
    <s v="Vojvodina vs FK Cukaricki"/>
  </r>
  <r>
    <s v="Rakow Czestochowa vs Korona Kielce / Match Odds"/>
    <s v="Fulltbet"/>
    <x v="1660"/>
    <n v="12.24"/>
    <n v="4.4999999999999998E-2"/>
    <n v="12.816753926701571"/>
    <x v="11"/>
    <x v="44"/>
    <x v="151"/>
    <n v="50"/>
    <x v="144"/>
    <n v="0.57675392670157066"/>
    <n v="0.24480000000000002"/>
    <n v="1"/>
    <x v="0"/>
    <x v="391"/>
    <x v="393"/>
    <s v="Rakow Czestochowa vs Korona Kielce"/>
  </r>
  <r>
    <s v="SC Paderborn 07 vs Karlsruher SC / Total 1.5"/>
    <s v="Fulltbet"/>
    <x v="1661"/>
    <n v="-3.74"/>
    <n v="4.4999999999999998E-2"/>
    <n v="-3.74"/>
    <x v="10"/>
    <x v="32"/>
    <x v="2"/>
    <n v="4"/>
    <x v="144"/>
    <n v="0"/>
    <n v="-0.93500000000000005"/>
    <n v="0"/>
    <x v="0"/>
    <x v="166"/>
    <x v="276"/>
    <s v="SC Paderborn 07 vs Karlsruher SC"/>
  </r>
  <r>
    <s v="Borussia Dortmund vs Eintracht Frankfurt / 1st Half Total 0.5"/>
    <s v="Fulltbet"/>
    <x v="1662"/>
    <n v="11.65"/>
    <n v="4.4999999999999998E-2"/>
    <n v="12.198952879581153"/>
    <x v="11"/>
    <x v="43"/>
    <x v="207"/>
    <n v="50"/>
    <x v="144"/>
    <n v="0.54895287958115269"/>
    <n v="0.23300000000000001"/>
    <n v="1"/>
    <x v="0"/>
    <x v="84"/>
    <x v="80"/>
    <s v="Borussia Dortmund vs Eintracht Frankfurt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</r>
  <r>
    <s v="Viborg FF vs SønderjyskE / Total 3.5"/>
    <s v="Fulltbet"/>
    <x v="1664"/>
    <n v="0.95"/>
    <n v="4.4999999999999998E-2"/>
    <n v="0.99476439790575921"/>
    <x v="10"/>
    <x v="33"/>
    <x v="159"/>
    <n v="5"/>
    <x v="144"/>
    <n v="4.4764397905759257E-2"/>
    <n v="0.19"/>
    <n v="1"/>
    <x v="0"/>
    <x v="510"/>
    <x v="90"/>
    <s v="Viborg FF vs SønderjyskE"/>
  </r>
  <r>
    <s v="Hamarkameratene vs Vålerenga / Match Odds"/>
    <s v="Fulltbet"/>
    <x v="1665"/>
    <n v="35.630000000000003"/>
    <n v="4.4999999999999998E-2"/>
    <n v="37.308900523560212"/>
    <x v="11"/>
    <x v="44"/>
    <x v="208"/>
    <n v="50"/>
    <x v="144"/>
    <n v="1.678900523560209"/>
    <n v="0.71260000000000001"/>
    <n v="1"/>
    <x v="0"/>
    <x v="607"/>
    <x v="650"/>
    <s v="Hamarkameratene vs Vålerenga"/>
  </r>
  <r>
    <s v="Hamarkameratene vs Vålerenga / Total 1.5"/>
    <s v="Fulltbet"/>
    <x v="1666"/>
    <n v="-3.37"/>
    <n v="4.4999999999999998E-2"/>
    <n v="-3.37"/>
    <x v="10"/>
    <x v="32"/>
    <x v="37"/>
    <n v="4"/>
    <x v="144"/>
    <n v="0"/>
    <n v="-0.84250000000000003"/>
    <n v="0"/>
    <x v="0"/>
    <x v="607"/>
    <x v="650"/>
    <s v="Hamarkameratene vs Vålerenga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</r>
  <r>
    <s v="HNK Rijeka vs HNK Vukovar 1991 / Total 1.5"/>
    <s v="Fulltbet"/>
    <x v="1668"/>
    <n v="3.82"/>
    <n v="4.4999999999999998E-2"/>
    <n v="4"/>
    <x v="10"/>
    <x v="32"/>
    <x v="25"/>
    <n v="4"/>
    <x v="144"/>
    <n v="0.18000000000000016"/>
    <n v="0.95499999999999996"/>
    <n v="1"/>
    <x v="0"/>
    <x v="608"/>
    <x v="651"/>
    <s v="HNK Rijeka vs HNK Vukovar 1991"/>
  </r>
  <r>
    <s v="Borussia Dortmund vs Eintracht Frankfurt / Total 1.5"/>
    <s v="Fulltbet"/>
    <x v="1669"/>
    <n v="3.82"/>
    <n v="4.4999999999999998E-2"/>
    <n v="4"/>
    <x v="10"/>
    <x v="32"/>
    <x v="17"/>
    <n v="4"/>
    <x v="144"/>
    <n v="0.18000000000000016"/>
    <n v="0.95499999999999996"/>
    <n v="1"/>
    <x v="0"/>
    <x v="84"/>
    <x v="80"/>
    <s v="Borussia Dortmund vs Eintracht Frankfurt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</r>
  <r>
    <s v="Lech Poznan vs Arka Gdynia / 1st Half Total 0.5"/>
    <s v="Fulltbet"/>
    <x v="1671"/>
    <n v="-50"/>
    <n v="4.4999999999999998E-2"/>
    <n v="-50"/>
    <x v="11"/>
    <x v="43"/>
    <x v="209"/>
    <n v="50"/>
    <x v="144"/>
    <n v="0"/>
    <n v="-1"/>
    <n v="0"/>
    <x v="0"/>
    <x v="424"/>
    <x v="458"/>
    <s v="Lech Poznan vs Arka Gdynia"/>
  </r>
  <r>
    <s v="RC Lens vs FC Nantes / 1st Half Total 0.5"/>
    <s v="Fulltbet"/>
    <x v="1672"/>
    <n v="-2"/>
    <n v="4.4999999999999998E-2"/>
    <n v="-2"/>
    <x v="10"/>
    <x v="43"/>
    <x v="197"/>
    <n v="2"/>
    <x v="144"/>
    <n v="0"/>
    <n v="-1"/>
    <n v="0"/>
    <x v="0"/>
    <x v="147"/>
    <x v="27"/>
    <s v="RC Lens vs FC Nantes"/>
  </r>
  <r>
    <s v="FC Sudtirol vs Juve Stabia / Total 1.5"/>
    <s v="Fulltbet"/>
    <x v="1673"/>
    <n v="-1.53"/>
    <n v="4.4999999999999998E-2"/>
    <n v="-1.53"/>
    <x v="10"/>
    <x v="32"/>
    <x v="41"/>
    <n v="4"/>
    <x v="144"/>
    <n v="0"/>
    <n v="-0.38250000000000001"/>
    <n v="0"/>
    <x v="0"/>
    <x v="609"/>
    <x v="460"/>
    <s v="FC Sudtirol vs Juve Stabia"/>
  </r>
  <r>
    <s v="Cádiz vs Deportivo La Coruña / Total 0.5"/>
    <s v="Fulltbet"/>
    <x v="1674"/>
    <n v="1.91"/>
    <n v="4.4999999999999998E-2"/>
    <n v="2"/>
    <x v="10"/>
    <x v="40"/>
    <x v="95"/>
    <n v="1.92"/>
    <x v="144"/>
    <n v="9.000000000000008E-2"/>
    <n v="0.99479166666666663"/>
    <n v="1"/>
    <x v="0"/>
    <x v="610"/>
    <x v="466"/>
    <s v="Cádiz vs Deportivo La Coruña"/>
  </r>
  <r>
    <s v="Borussia Dortmund vs Eintracht Frankfurt / Correct Score"/>
    <s v="Fulltbet"/>
    <x v="1675"/>
    <n v="4.3499999999999996"/>
    <n v="4.4999999999999998E-2"/>
    <n v="4.5549738219895284"/>
    <x v="10"/>
    <x v="31"/>
    <x v="16"/>
    <n v="56.88"/>
    <x v="144"/>
    <n v="0.20497382198952874"/>
    <n v="7.6476793248945144E-2"/>
    <n v="1"/>
    <x v="0"/>
    <x v="84"/>
    <x v="80"/>
    <s v="Borussia Dortmund vs Eintracht Frankfurt"/>
  </r>
  <r>
    <s v="Venezia vs Palermo / Total 1.5"/>
    <s v="Fulltbet"/>
    <x v="1676"/>
    <n v="-5"/>
    <n v="4.4999999999999998E-2"/>
    <n v="-5"/>
    <x v="10"/>
    <x v="35"/>
    <x v="192"/>
    <n v="5"/>
    <x v="144"/>
    <n v="0"/>
    <n v="-1"/>
    <n v="0"/>
    <x v="0"/>
    <x v="264"/>
    <x v="652"/>
    <s v="Venezia vs Palermo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</r>
  <r>
    <s v="Monza vs Empoli / Correct Score"/>
    <s v="Fulltbet"/>
    <x v="1678"/>
    <n v="2.99"/>
    <n v="4.4999999999999998E-2"/>
    <n v="3.1308900523560212"/>
    <x v="10"/>
    <x v="31"/>
    <x v="10"/>
    <n v="50.08"/>
    <x v="144"/>
    <n v="0.14089005235602103"/>
    <n v="5.9704472843450485E-2"/>
    <n v="1"/>
    <x v="0"/>
    <x v="95"/>
    <x v="418"/>
    <s v="Monza vs Empoli"/>
  </r>
  <r>
    <s v="FC Sudtirol vs Juve Stabia / Match Odds"/>
    <s v="Fulltbet"/>
    <x v="1679"/>
    <n v="2.63"/>
    <n v="4.4999999999999998E-2"/>
    <n v="2.7539267015706805"/>
    <x v="10"/>
    <x v="41"/>
    <x v="210"/>
    <n v="5.0599999999999996"/>
    <x v="144"/>
    <n v="0.12392670157068064"/>
    <n v="0.51976284584980237"/>
    <n v="1"/>
    <x v="0"/>
    <x v="609"/>
    <x v="460"/>
    <s v="FC Sudtirol vs Juve Stabia"/>
  </r>
  <r>
    <s v="FC Sudtirol vs Juve Stabia / Correct Score"/>
    <s v="Fulltbet"/>
    <x v="1680"/>
    <n v="2.5099999999999998"/>
    <n v="4.4999999999999998E-2"/>
    <n v="2.6282722513089003"/>
    <x v="10"/>
    <x v="31"/>
    <x v="7"/>
    <n v="57.86"/>
    <x v="144"/>
    <n v="0.11827225130890051"/>
    <n v="4.3380573798824748E-2"/>
    <n v="1"/>
    <x v="0"/>
    <x v="609"/>
    <x v="460"/>
    <s v="FC Sudtirol vs Juve Stabia"/>
  </r>
  <r>
    <s v="Pescara vs Spezia / Match Odds"/>
    <s v="Fulltbet"/>
    <x v="1681"/>
    <n v="2.39"/>
    <n v="4.4999999999999998E-2"/>
    <n v="2.5026178010471205"/>
    <x v="10"/>
    <x v="38"/>
    <x v="4"/>
    <n v="52.5"/>
    <x v="144"/>
    <n v="0.11261780104712038"/>
    <n v="4.5523809523809529E-2"/>
    <n v="1"/>
    <x v="0"/>
    <x v="611"/>
    <x v="293"/>
    <s v="Pescara vs Spezia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</r>
  <r>
    <s v="RC Lens vs FC Nantes / Total 3.5"/>
    <s v="Fulltbet"/>
    <x v="1683"/>
    <n v="0.84"/>
    <n v="4.4999999999999998E-2"/>
    <n v="0.87958115183246077"/>
    <x v="10"/>
    <x v="33"/>
    <x v="50"/>
    <n v="5"/>
    <x v="144"/>
    <n v="3.9581151832460804E-2"/>
    <n v="0.16799999999999998"/>
    <n v="1"/>
    <x v="0"/>
    <x v="147"/>
    <x v="27"/>
    <s v="RC Lens vs FC Nantes"/>
  </r>
  <r>
    <s v="RC Lens vs FC Nantes / Match Odds"/>
    <s v="Fulltbet"/>
    <x v="1684"/>
    <n v="3.9823499999999998"/>
    <n v="4.4999999999999998E-2"/>
    <n v="4.17"/>
    <x v="10"/>
    <x v="36"/>
    <x v="37"/>
    <n v="30.02"/>
    <x v="144"/>
    <n v="0.18765000000000009"/>
    <n v="0.13265656229180545"/>
    <n v="1"/>
    <x v="0"/>
    <x v="147"/>
    <x v="27"/>
    <s v="RC Lens vs FC Nantes"/>
  </r>
  <r>
    <s v="RC Lens vs FC Nantes / Match Odds"/>
    <s v="Fulltbet"/>
    <x v="1684"/>
    <n v="22.919999999999998"/>
    <n v="4.4999999999999998E-2"/>
    <n v="24"/>
    <x v="11"/>
    <x v="45"/>
    <x v="180"/>
    <n v="50"/>
    <x v="144"/>
    <n v="1.0800000000000018"/>
    <n v="0.45839999999999997"/>
    <n v="1"/>
    <x v="0"/>
    <x v="147"/>
    <x v="27"/>
    <s v="RC Lens vs FC Nantes"/>
  </r>
  <r>
    <s v="RC Lens vs FC Nantes / Match Odds"/>
    <s v="Fulltbet"/>
    <x v="1684"/>
    <n v="76.686499999999995"/>
    <n v="4.4999999999999998E-2"/>
    <n v="80.3"/>
    <x v="3"/>
    <x v="7"/>
    <x v="41"/>
    <n v="529.98"/>
    <x v="144"/>
    <n v="3.6135000000000019"/>
    <n v="0.14469696969696969"/>
    <n v="1"/>
    <x v="2"/>
    <x v="147"/>
    <x v="27"/>
    <s v="RC Lens vs FC Nantes"/>
  </r>
  <r>
    <s v="Standard de Liège vs Oud-Heverlee Leuven / Correct Score"/>
    <s v="Fulltbet"/>
    <x v="1685"/>
    <n v="2.39"/>
    <n v="4.4999999999999998E-2"/>
    <n v="2.5026178010471205"/>
    <x v="10"/>
    <x v="31"/>
    <x v="11"/>
    <n v="50"/>
    <x v="144"/>
    <n v="0.11261780104712038"/>
    <n v="4.7800000000000002E-2"/>
    <n v="1"/>
    <x v="0"/>
    <x v="612"/>
    <x v="18"/>
    <s v="Standard de Liège vs Oud-Heverlee Leuven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</r>
  <r>
    <s v="Colorado Springs Switchbacks FC vs Orange County SC / Match Odds"/>
    <s v="Fulltbet"/>
    <x v="1687"/>
    <n v="9.5500000000000007"/>
    <n v="4.4999999999999998E-2"/>
    <n v="10.000000000000002"/>
    <x v="11"/>
    <x v="44"/>
    <x v="1"/>
    <n v="50"/>
    <x v="145"/>
    <n v="0.45000000000000107"/>
    <n v="0.191"/>
    <n v="1"/>
    <x v="0"/>
    <x v="614"/>
    <x v="654"/>
    <s v="Colorado Springs Switchbacks FC vs Orange County SC"/>
  </r>
  <r>
    <s v="Holstein Kiel vs 1. FC Magdeburg / Total 1.5"/>
    <s v="Fulltbet"/>
    <x v="1688"/>
    <n v="3.82"/>
    <n v="4.4999999999999998E-2"/>
    <n v="4"/>
    <x v="10"/>
    <x v="32"/>
    <x v="41"/>
    <n v="4"/>
    <x v="145"/>
    <n v="0.18000000000000016"/>
    <n v="0.95499999999999996"/>
    <n v="1"/>
    <x v="0"/>
    <x v="273"/>
    <x v="588"/>
    <s v="Holstein Kiel vs 1. FC Magdeburg"/>
  </r>
  <r>
    <s v="VfL Bochum vs Hannover 96 / 1st Half Total 0.5"/>
    <s v="Fulltbet"/>
    <x v="1689"/>
    <n v="-50"/>
    <n v="4.4999999999999998E-2"/>
    <n v="-50"/>
    <x v="11"/>
    <x v="43"/>
    <x v="211"/>
    <n v="50"/>
    <x v="145"/>
    <n v="0"/>
    <n v="-1"/>
    <n v="0"/>
    <x v="0"/>
    <x v="272"/>
    <x v="360"/>
    <s v="VfL Bochum vs Hannover 96"/>
  </r>
  <r>
    <s v="Östersunds FK vs Falkenbergs FF / 1st Half Total 0.5"/>
    <s v="Fulltbet"/>
    <x v="1690"/>
    <n v="-50"/>
    <n v="4.4999999999999998E-2"/>
    <n v="-50"/>
    <x v="11"/>
    <x v="43"/>
    <x v="49"/>
    <n v="50"/>
    <x v="145"/>
    <n v="0"/>
    <n v="-1"/>
    <n v="0"/>
    <x v="0"/>
    <x v="615"/>
    <x v="655"/>
    <s v="Östersunds FK vs Falkenbergs FF"/>
  </r>
  <r>
    <s v="Tallinna FC Levadia vs Harju JK Laagri / 1st Half Total 0.5"/>
    <s v="Fulltbet"/>
    <x v="1691"/>
    <n v="12.89"/>
    <n v="4.4999999999999998E-2"/>
    <n v="13.497382198952881"/>
    <x v="11"/>
    <x v="43"/>
    <x v="209"/>
    <n v="50"/>
    <x v="145"/>
    <n v="0.60738219895288026"/>
    <n v="0.25780000000000003"/>
    <n v="1"/>
    <x v="0"/>
    <x v="616"/>
    <x v="656"/>
    <s v="Tallinna FC Levadia vs Harju JK Laagri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</r>
  <r>
    <s v="NK Bravo vs NK Radomlje / 1st Half Total 0.5"/>
    <s v="Fulltbet"/>
    <x v="1694"/>
    <n v="10.61"/>
    <n v="4.4999999999999998E-2"/>
    <n v="11.109947643979057"/>
    <x v="11"/>
    <x v="43"/>
    <x v="212"/>
    <n v="50"/>
    <x v="145"/>
    <n v="0.49994764397905733"/>
    <n v="0.2122"/>
    <n v="1"/>
    <x v="0"/>
    <x v="617"/>
    <x v="463"/>
    <s v="NK Bravo vs NK Radomlje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</r>
  <r>
    <s v="Västerås SK FK vs GAIS / 1st Half Total 0.5"/>
    <s v="Fulltbet"/>
    <x v="1696"/>
    <n v="-50"/>
    <n v="4.4999999999999998E-2"/>
    <n v="-50"/>
    <x v="11"/>
    <x v="43"/>
    <x v="166"/>
    <n v="50"/>
    <x v="145"/>
    <n v="0"/>
    <n v="-1"/>
    <n v="0"/>
    <x v="0"/>
    <x v="618"/>
    <x v="657"/>
    <s v="Västerås SK FK vs GAIS"/>
  </r>
  <r>
    <s v="Chengdu Rongcheng vs Henan Songshan Longmen / Match Odds"/>
    <s v="Fulltbet"/>
    <x v="1697"/>
    <n v="7.7"/>
    <n v="4.4999999999999998E-2"/>
    <n v="8.0628272251308903"/>
    <x v="11"/>
    <x v="44"/>
    <x v="28"/>
    <n v="49.97"/>
    <x v="145"/>
    <n v="0.36282722513089016"/>
    <n v="0.15409245547328398"/>
    <n v="1"/>
    <x v="0"/>
    <x v="529"/>
    <x v="658"/>
    <s v="Chengdu Rongcheng vs Henan Songshan Longmen"/>
  </r>
  <r>
    <s v="AD Ceuta FC vs CD Castellon / Total 3.5"/>
    <s v="Fulltbet"/>
    <x v="1698"/>
    <n v="0.93"/>
    <n v="4.4999999999999998E-2"/>
    <n v="0.97382198952879595"/>
    <x v="10"/>
    <x v="33"/>
    <x v="180"/>
    <n v="5"/>
    <x v="145"/>
    <n v="4.3821989528795902E-2"/>
    <n v="0.186"/>
    <n v="1"/>
    <x v="0"/>
    <x v="471"/>
    <x v="511"/>
    <s v="AD Ceuta FC vs CD Castellon"/>
  </r>
  <r>
    <s v="FC Augsburg vs Borussia Mönchengladbach / Total 1.5"/>
    <s v="Fulltbet"/>
    <x v="1699"/>
    <n v="3.82"/>
    <n v="4.4999999999999998E-2"/>
    <n v="4"/>
    <x v="10"/>
    <x v="32"/>
    <x v="2"/>
    <n v="4"/>
    <x v="145"/>
    <n v="0.18000000000000016"/>
    <n v="0.95499999999999996"/>
    <n v="1"/>
    <x v="0"/>
    <x v="491"/>
    <x v="179"/>
    <s v="FC Augsburg vs Borussia Mönchengladbach"/>
  </r>
  <r>
    <s v="RB Leipzig vs FC St. Pauli / 1st Half Total 0.5"/>
    <s v="Fulltbet"/>
    <x v="1700"/>
    <n v="1.18"/>
    <n v="4.4999999999999998E-2"/>
    <n v="1.2356020942408377"/>
    <x v="10"/>
    <x v="43"/>
    <x v="52"/>
    <n v="2"/>
    <x v="145"/>
    <n v="5.5602094240837729E-2"/>
    <n v="0.59"/>
    <n v="1"/>
    <x v="0"/>
    <x v="77"/>
    <x v="38"/>
    <s v="RB Leipzig vs FC St. Pauli"/>
  </r>
  <r>
    <s v="Dinamo Zagreb vs Hajduk Split / 1st Half Total 0.5"/>
    <s v="Fulltbet"/>
    <x v="1701"/>
    <n v="14.92"/>
    <n v="4.4999999999999998E-2"/>
    <n v="15.62303664921466"/>
    <x v="11"/>
    <x v="43"/>
    <x v="213"/>
    <n v="50"/>
    <x v="145"/>
    <n v="0.7030366492146598"/>
    <n v="0.2984"/>
    <n v="1"/>
    <x v="0"/>
    <x v="70"/>
    <x v="73"/>
    <s v="Dinamo Zagreb vs Hajduk Split"/>
  </r>
  <r>
    <s v="Willem II vs RKC Waalwijk / 1st Half Total 0.5"/>
    <s v="Fulltbet"/>
    <x v="1702"/>
    <n v="-50"/>
    <n v="4.4999999999999998E-2"/>
    <n v="-50"/>
    <x v="11"/>
    <x v="43"/>
    <x v="214"/>
    <n v="50"/>
    <x v="145"/>
    <n v="0"/>
    <n v="-1"/>
    <n v="0"/>
    <x v="0"/>
    <x v="120"/>
    <x v="476"/>
    <s v="Willem II vs RKC Waalwijk"/>
  </r>
  <r>
    <s v="FC Augsburg vs Borussia Mönchengladbach / Total 3.5"/>
    <s v="Fulltbet"/>
    <x v="1703"/>
    <n v="1.05"/>
    <n v="4.4999999999999998E-2"/>
    <n v="1.0994764397905761"/>
    <x v="10"/>
    <x v="33"/>
    <x v="177"/>
    <n v="5"/>
    <x v="145"/>
    <n v="4.9476439790576032E-2"/>
    <n v="0.21000000000000002"/>
    <n v="1"/>
    <x v="0"/>
    <x v="491"/>
    <x v="179"/>
    <s v="FC Augsburg vs Borussia Mönchengladbach"/>
  </r>
  <r>
    <s v="FC Augsburg vs Borussia Mönchengladbach / Correct Score"/>
    <s v="Fulltbet"/>
    <x v="1704"/>
    <n v="3.41"/>
    <n v="4.4999999999999998E-2"/>
    <n v="3.5706806282722514"/>
    <x v="10"/>
    <x v="31"/>
    <x v="34"/>
    <n v="53.55"/>
    <x v="145"/>
    <n v="0.16068062827225127"/>
    <n v="6.3678804855275453E-2"/>
    <n v="1"/>
    <x v="0"/>
    <x v="491"/>
    <x v="179"/>
    <s v="FC Augsburg vs Borussia Mönchengladbach"/>
  </r>
  <r>
    <s v="FC Augsburg vs Borussia Mönchengladbach / Match Odds"/>
    <s v="Fulltbet"/>
    <x v="1705"/>
    <n v="17.690000000000001"/>
    <n v="4.4999999999999998E-2"/>
    <n v="18.523560209424087"/>
    <x v="11"/>
    <x v="44"/>
    <x v="215"/>
    <n v="50"/>
    <x v="145"/>
    <n v="0.83356020942408549"/>
    <n v="0.3538"/>
    <n v="1"/>
    <x v="0"/>
    <x v="491"/>
    <x v="179"/>
    <s v="FC Augsburg vs Borussia Mönchengladbach"/>
  </r>
  <r>
    <s v="1899 Hoffenheim vs Werder Bremen / Total 1.5"/>
    <s v="Fulltbet"/>
    <x v="1706"/>
    <n v="3.72"/>
    <n v="4.4999999999999998E-2"/>
    <n v="3.8952879581151838"/>
    <x v="10"/>
    <x v="35"/>
    <x v="69"/>
    <n v="5"/>
    <x v="145"/>
    <n v="0.17528795811518361"/>
    <n v="0.74399999999999999"/>
    <n v="1"/>
    <x v="0"/>
    <x v="125"/>
    <x v="266"/>
    <s v="1899 Hoffenheim vs Werder Bremen"/>
  </r>
  <r>
    <s v="Grazer AK vs SCR Altach / 1st Half Total 0.5"/>
    <s v="Fulltbet"/>
    <x v="1707"/>
    <n v="25.31"/>
    <n v="4.4999999999999998E-2"/>
    <n v="26.502617801047119"/>
    <x v="11"/>
    <x v="43"/>
    <x v="86"/>
    <n v="50"/>
    <x v="145"/>
    <n v="1.1926178010471205"/>
    <n v="0.50619999999999998"/>
    <n v="1"/>
    <x v="0"/>
    <x v="619"/>
    <x v="659"/>
    <s v="Grazer AK vs SCR Altach"/>
  </r>
  <r>
    <s v="Aberdeen vs Dundee United / Match Odds"/>
    <s v="Fulltbet"/>
    <x v="1708"/>
    <n v="2.0699999999999998"/>
    <n v="4.4999999999999998E-2"/>
    <n v="2.1675392670157065"/>
    <x v="10"/>
    <x v="38"/>
    <x v="110"/>
    <n v="52.08"/>
    <x v="145"/>
    <n v="9.7539267015706699E-2"/>
    <n v="3.9746543778801845E-2"/>
    <n v="1"/>
    <x v="0"/>
    <x v="143"/>
    <x v="660"/>
    <s v="Aberdeen vs Dundee United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</r>
  <r>
    <s v="Fulham vs AFC Bournemouth / Total 2.5"/>
    <s v="Fulltbet"/>
    <x v="1709"/>
    <n v="6.24"/>
    <n v="0"/>
    <n v="6.24"/>
    <x v="10"/>
    <x v="34"/>
    <x v="173"/>
    <n v="5"/>
    <x v="145"/>
    <n v="0"/>
    <n v="1.248"/>
    <n v="1"/>
    <x v="0"/>
    <x v="215"/>
    <x v="163"/>
    <s v="Fulham vs AFC Bournemouth"/>
  </r>
  <r>
    <s v="Fulham vs AFC Bournemouth / Total 3.5"/>
    <s v="Fulltbet"/>
    <x v="1710"/>
    <n v="0.79"/>
    <n v="4.4999999999999998E-2"/>
    <n v="0.82722513089005245"/>
    <x v="10"/>
    <x v="33"/>
    <x v="171"/>
    <n v="5"/>
    <x v="145"/>
    <n v="3.7225130890052416E-2"/>
    <n v="0.158"/>
    <n v="1"/>
    <x v="0"/>
    <x v="215"/>
    <x v="163"/>
    <s v="Fulham vs AFC Bournemouth"/>
  </r>
  <r>
    <s v="Fulham vs AFC Bournemouth / Match Odds"/>
    <s v="Fulltbet"/>
    <x v="1711"/>
    <n v="-0.25"/>
    <n v="4.4999999999999998E-2"/>
    <n v="-0.25"/>
    <x v="10"/>
    <x v="37"/>
    <x v="216"/>
    <n v="10.199999999999999"/>
    <x v="145"/>
    <n v="0"/>
    <n v="-2.4509803921568631E-2"/>
    <n v="0"/>
    <x v="0"/>
    <x v="215"/>
    <x v="163"/>
    <s v="Fulham vs AFC Bournemouth"/>
  </r>
  <r>
    <s v="Zulte Waregem vs FCV Dender EH / Match Odds"/>
    <s v="Fulltbet"/>
    <x v="1711"/>
    <n v="7.46"/>
    <n v="4.4999999999999998E-2"/>
    <n v="7.8115183246073299"/>
    <x v="11"/>
    <x v="44"/>
    <x v="81"/>
    <n v="49.98"/>
    <x v="145"/>
    <n v="0.3515183246073299"/>
    <n v="0.14925970388155263"/>
    <n v="1"/>
    <x v="0"/>
    <x v="620"/>
    <x v="661"/>
    <s v="Zulte Waregem vs FCV Dender EH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</r>
  <r>
    <s v="Albacete Balompié vs Cultural Leonesa / Match Odds"/>
    <s v="Fulltbet"/>
    <x v="1713"/>
    <n v="2.58"/>
    <n v="4.4999999999999998E-2"/>
    <n v="2.7015706806282727"/>
    <x v="10"/>
    <x v="38"/>
    <x v="24"/>
    <n v="49.95"/>
    <x v="145"/>
    <n v="0.12157068062827259"/>
    <n v="5.1651651651651649E-2"/>
    <n v="1"/>
    <x v="0"/>
    <x v="459"/>
    <x v="201"/>
    <s v="Albacete Balompié vs Cultural Leonesa"/>
  </r>
  <r>
    <s v="FC Koper vs NK Aluminij / 1st Half Total 0.5"/>
    <s v="Fulltbet"/>
    <x v="1714"/>
    <n v="-50"/>
    <n v="4.4999999999999998E-2"/>
    <n v="-50"/>
    <x v="11"/>
    <x v="43"/>
    <x v="217"/>
    <n v="50"/>
    <x v="145"/>
    <n v="0"/>
    <n v="-1"/>
    <n v="0"/>
    <x v="0"/>
    <x v="425"/>
    <x v="662"/>
    <s v="FC Koper vs NK Aluminij"/>
  </r>
  <r>
    <s v="Feirense vs Oliveirense / Match Odds"/>
    <s v="Fulltbet"/>
    <x v="1715"/>
    <n v="1.91"/>
    <n v="4.4999999999999998E-2"/>
    <n v="2"/>
    <x v="10"/>
    <x v="38"/>
    <x v="117"/>
    <n v="50"/>
    <x v="145"/>
    <n v="9.000000000000008E-2"/>
    <n v="3.8199999999999998E-2"/>
    <n v="1"/>
    <x v="0"/>
    <x v="621"/>
    <x v="275"/>
    <s v="Feirense vs Oliveirense"/>
  </r>
  <r>
    <s v="Istanbul Basaksehir FK vs Samsunspor / 1st Half Total 0.5"/>
    <s v="Fulltbet"/>
    <x v="1716"/>
    <n v="13.85"/>
    <n v="4.4999999999999998E-2"/>
    <n v="14.502617801047121"/>
    <x v="11"/>
    <x v="43"/>
    <x v="218"/>
    <n v="50"/>
    <x v="145"/>
    <n v="0.6526178010471213"/>
    <n v="0.27699999999999997"/>
    <n v="1"/>
    <x v="0"/>
    <x v="622"/>
    <x v="663"/>
    <s v="Istanbul Basaksehir FK vs Samsunspor"/>
  </r>
  <r>
    <s v="Manchester City vs Brentford / 1st Half Total 0.5"/>
    <s v="Fulltbet"/>
    <x v="1717"/>
    <n v="-2"/>
    <n v="4.4999999999999998E-2"/>
    <n v="-2"/>
    <x v="10"/>
    <x v="43"/>
    <x v="192"/>
    <n v="2"/>
    <x v="145"/>
    <n v="0"/>
    <n v="-1"/>
    <n v="0"/>
    <x v="0"/>
    <x v="155"/>
    <x v="49"/>
    <s v="Manchester City vs Brentford"/>
  </r>
  <r>
    <s v="Atlético de Madrid vs Celta de Vigo / 1st Half Total 0.5"/>
    <s v="Fulltbet"/>
    <x v="1718"/>
    <n v="-50"/>
    <n v="4.4999999999999998E-2"/>
    <n v="-50"/>
    <x v="11"/>
    <x v="43"/>
    <x v="129"/>
    <n v="50"/>
    <x v="145"/>
    <n v="0"/>
    <n v="-1"/>
    <n v="0"/>
    <x v="0"/>
    <x v="231"/>
    <x v="96"/>
    <s v="Atlético de Madrid vs Celta de Vigo"/>
  </r>
  <r>
    <s v="FK Partizan vs OFK Beograd / 1st Half Total 0.5"/>
    <s v="Fulltbet"/>
    <x v="1719"/>
    <n v="13.85"/>
    <n v="4.4999999999999998E-2"/>
    <n v="14.502617801047121"/>
    <x v="11"/>
    <x v="43"/>
    <x v="218"/>
    <n v="50"/>
    <x v="145"/>
    <n v="0.6526178010471213"/>
    <n v="0.27699999999999997"/>
    <n v="1"/>
    <x v="0"/>
    <x v="345"/>
    <x v="664"/>
    <s v="FK Partizan vs OFK Beograd"/>
  </r>
  <r>
    <s v="Bodø/Glimt vs Brann / Match Odds"/>
    <s v="Fulltbet"/>
    <x v="1720"/>
    <n v="-100"/>
    <n v="4.4999999999999998E-2"/>
    <n v="-100"/>
    <x v="8"/>
    <x v="20"/>
    <x v="153"/>
    <n v="100"/>
    <x v="145"/>
    <n v="0"/>
    <n v="-1"/>
    <n v="0"/>
    <x v="0"/>
    <x v="277"/>
    <x v="218"/>
    <s v="Bod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</r>
  <r>
    <s v="Manchester City vs Brentford / Match Odds"/>
    <s v="Fulltbet"/>
    <x v="1722"/>
    <n v="19.49155"/>
    <n v="4.4999999999999998E-2"/>
    <n v="20.41"/>
    <x v="8"/>
    <x v="20"/>
    <x v="43"/>
    <n v="100.01"/>
    <x v="145"/>
    <n v="0.91844999999999999"/>
    <n v="0.1948960103989601"/>
    <n v="1"/>
    <x v="0"/>
    <x v="155"/>
    <x v="49"/>
    <s v="Manchester City vs Brentford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</r>
  <r>
    <s v="Atlético de Madrid vs Celta de Vigo / Match Odds"/>
    <s v="Fulltbet"/>
    <x v="1723"/>
    <n v="-2"/>
    <n v="4.4999999999999998E-2"/>
    <n v="-2"/>
    <x v="10"/>
    <x v="39"/>
    <x v="65"/>
    <n v="2"/>
    <x v="145"/>
    <n v="0"/>
    <n v="-1"/>
    <n v="0"/>
    <x v="0"/>
    <x v="231"/>
    <x v="96"/>
    <s v="Atlético de Madrid vs Celta de Vigo"/>
  </r>
  <r>
    <s v="Atlético de Madrid vs Celta de Vigo / Total 3.5"/>
    <s v="Fulltbet"/>
    <x v="1724"/>
    <n v="0.84"/>
    <n v="4.4999999999999998E-2"/>
    <n v="0.87958115183246077"/>
    <x v="10"/>
    <x v="33"/>
    <x v="50"/>
    <n v="5"/>
    <x v="145"/>
    <n v="3.9581151832460804E-2"/>
    <n v="0.16799999999999998"/>
    <n v="1"/>
    <x v="0"/>
    <x v="231"/>
    <x v="96"/>
    <s v="Atlético de Madrid vs Celta de Vigo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</r>
  <r>
    <s v="Real Valladolid vs Real Zaragoza / Match Odds"/>
    <s v="Fulltbet"/>
    <x v="1726"/>
    <n v="1.45"/>
    <n v="4.4999999999999998E-2"/>
    <n v="1.5183246073298429"/>
    <x v="10"/>
    <x v="38"/>
    <x v="66"/>
    <n v="47.12"/>
    <x v="145"/>
    <n v="6.8324607329842912E-2"/>
    <n v="3.0772495755517829E-2"/>
    <n v="1"/>
    <x v="0"/>
    <x v="212"/>
    <x v="255"/>
    <s v="Real Valladolid vs Real Zaragoza"/>
  </r>
  <r>
    <s v="Al-Fayha FC vs Al-Qadisiyah / 1st Half Total 0.5"/>
    <s v="Fulltbet"/>
    <x v="1727"/>
    <n v="13.26"/>
    <n v="4.4999999999999998E-2"/>
    <n v="13.884816753926701"/>
    <x v="11"/>
    <x v="43"/>
    <x v="219"/>
    <n v="50"/>
    <x v="145"/>
    <n v="0.62481675392670155"/>
    <n v="0.26519999999999999"/>
    <n v="1"/>
    <x v="0"/>
    <x v="363"/>
    <x v="246"/>
    <s v="Al-Fayha FC vs Al-Qadisiyah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</r>
  <r>
    <s v="Stal Mielec vs Puszcza Niepolomice / 1st Half Total 0.5"/>
    <s v="Fulltbet"/>
    <x v="1730"/>
    <n v="19.579999999999998"/>
    <n v="4.4999999999999998E-2"/>
    <n v="20.502617801047119"/>
    <x v="11"/>
    <x v="43"/>
    <x v="171"/>
    <n v="50"/>
    <x v="145"/>
    <n v="0.92261780104712088"/>
    <n v="0.39159999999999995"/>
    <n v="1"/>
    <x v="0"/>
    <x v="623"/>
    <x v="665"/>
    <s v="Stal Mielec vs Puszcza Niepolomice"/>
  </r>
  <r>
    <s v="Hapoel Tel Aviv vs Maccabi Tel Aviv / Total 1.5"/>
    <s v="Fulltbet"/>
    <x v="1731"/>
    <n v="-4"/>
    <n v="4.4999999999999998E-2"/>
    <n v="-4"/>
    <x v="10"/>
    <x v="32"/>
    <x v="37"/>
    <n v="4"/>
    <x v="145"/>
    <n v="0"/>
    <n v="-1"/>
    <n v="0"/>
    <x v="0"/>
    <x v="564"/>
    <x v="306"/>
    <s v="Hapoel Tel Aviv vs Maccabi Tel Aviv"/>
  </r>
  <r>
    <s v="Real Sociedad vs Real Betis / 1st Half Total 0.5"/>
    <s v="Fulltbet"/>
    <x v="1732"/>
    <n v="16.47"/>
    <n v="4.4999999999999998E-2"/>
    <n v="17.246073298429319"/>
    <x v="11"/>
    <x v="43"/>
    <x v="220"/>
    <n v="50"/>
    <x v="145"/>
    <n v="0.7760732984293206"/>
    <n v="0.32939999999999997"/>
    <n v="1"/>
    <x v="0"/>
    <x v="218"/>
    <x v="228"/>
    <s v="Real Sociedad vs Real Betis"/>
  </r>
  <r>
    <s v="Bolton Wanderers vs Bradford City / 1st Half Total 0.5"/>
    <s v="Fulltbet"/>
    <x v="1733"/>
    <n v="-50"/>
    <n v="4.4999999999999998E-2"/>
    <n v="-50"/>
    <x v="11"/>
    <x v="43"/>
    <x v="162"/>
    <n v="50"/>
    <x v="145"/>
    <n v="0"/>
    <n v="-1"/>
    <n v="0"/>
    <x v="0"/>
    <x v="301"/>
    <x v="319"/>
    <s v="Bolton Wanderers vs Bradford City"/>
  </r>
  <r>
    <s v="Annecy FC vs Rodez / Correct Score"/>
    <s v="Fulltbet"/>
    <x v="1734"/>
    <n v="1.64"/>
    <n v="4.4999999999999998E-2"/>
    <n v="1.7172774869109948"/>
    <x v="10"/>
    <x v="31"/>
    <x v="155"/>
    <n v="49.88"/>
    <x v="145"/>
    <n v="7.7277486910994897E-2"/>
    <n v="3.2878909382518043E-2"/>
    <n v="1"/>
    <x v="0"/>
    <x v="258"/>
    <x v="666"/>
    <s v="Annecy FC vs Rodez"/>
  </r>
  <r>
    <s v="Red Star FC 93 vs Montpellier HSC / Correct Score"/>
    <s v="Fulltbet"/>
    <x v="1735"/>
    <n v="2.27"/>
    <n v="4.4999999999999998E-2"/>
    <n v="2.3769633507853403"/>
    <x v="10"/>
    <x v="31"/>
    <x v="4"/>
    <n v="49.98"/>
    <x v="145"/>
    <n v="0.10696335078534025"/>
    <n v="4.5418167266906763E-2"/>
    <n v="1"/>
    <x v="0"/>
    <x v="524"/>
    <x v="667"/>
    <s v="Red Star FC 93 vs Montpellier HSC"/>
  </r>
  <r>
    <s v="FC Luzern vs Servette FC / Both Teams To Score"/>
    <s v="Fulltbet"/>
    <x v="1736"/>
    <n v="24.12"/>
    <n v="4.4999999999999998E-2"/>
    <n v="25.256544502617803"/>
    <x v="11"/>
    <x v="14"/>
    <x v="48"/>
    <n v="50"/>
    <x v="145"/>
    <n v="1.1365445026178023"/>
    <n v="0.4824"/>
    <n v="1"/>
    <x v="0"/>
    <x v="0"/>
    <x v="668"/>
    <s v="FC Luzern vs Servette FC"/>
  </r>
  <r>
    <s v="Universitatea Cluj vs Rapid Bucuresti / Match Odds"/>
    <s v="Fulltbet"/>
    <x v="1737"/>
    <n v="13.65"/>
    <n v="4.4999999999999998E-2"/>
    <n v="14.293193717277488"/>
    <x v="11"/>
    <x v="44"/>
    <x v="153"/>
    <n v="50.02"/>
    <x v="145"/>
    <n v="0.64319371727748731"/>
    <n v="0.27289084366253497"/>
    <n v="1"/>
    <x v="0"/>
    <x v="624"/>
    <x v="669"/>
    <s v="Universitatea Cluj vs Rapid Bucuresti"/>
  </r>
  <r>
    <s v="1. FC Nürnberg vs FC Schalke 04 / Total 2.5"/>
    <s v="Fulltbet"/>
    <x v="1738"/>
    <n v="-5"/>
    <n v="4.4999999999999998E-2"/>
    <n v="-5"/>
    <x v="10"/>
    <x v="34"/>
    <x v="221"/>
    <n v="5"/>
    <x v="145"/>
    <n v="0"/>
    <n v="-1"/>
    <n v="0"/>
    <x v="0"/>
    <x v="413"/>
    <x v="670"/>
    <s v="1. FC Nürnberg vs FC Schalke 04"/>
  </r>
  <r>
    <s v="Deportivo Morón vs Los Andes / Match Odds"/>
    <s v="Fulltbet"/>
    <x v="1739"/>
    <n v="7.96"/>
    <n v="4.4999999999999998E-2"/>
    <n v="8.335078534031414"/>
    <x v="11"/>
    <x v="44"/>
    <x v="36"/>
    <n v="49.98"/>
    <x v="145"/>
    <n v="0.375078534031414"/>
    <n v="0.15926370548219287"/>
    <n v="1"/>
    <x v="0"/>
    <x v="625"/>
    <x v="671"/>
    <s v="Deportivo Morón vs Los Andes"/>
  </r>
  <r>
    <s v="Górnik Zabrze vs Zaglebie Lubin / Match Odds"/>
    <s v="Fulltbet"/>
    <x v="1740"/>
    <n v="-50.01"/>
    <n v="4.4999999999999998E-2"/>
    <n v="-50.01"/>
    <x v="11"/>
    <x v="44"/>
    <x v="85"/>
    <n v="50"/>
    <x v="145"/>
    <n v="0"/>
    <n v="-1.0002"/>
    <n v="0"/>
    <x v="0"/>
    <x v="626"/>
    <x v="404"/>
    <s v="Górnik Zabrze vs Zaglebie Lubin"/>
  </r>
  <r>
    <s v="FC Luzern vs Servette FC / Correct Score"/>
    <s v="Fulltbet"/>
    <x v="1741"/>
    <n v="2.39"/>
    <n v="4.4999999999999998E-2"/>
    <n v="2.5026178010471205"/>
    <x v="10"/>
    <x v="31"/>
    <x v="18"/>
    <n v="47.5"/>
    <x v="145"/>
    <n v="0.11261780104712038"/>
    <n v="5.0315789473684217E-2"/>
    <n v="1"/>
    <x v="0"/>
    <x v="0"/>
    <x v="668"/>
    <s v="FC Luzern vs Servette FC"/>
  </r>
  <r>
    <s v="1. FC Nürnberg vs FC Schalke 04 / Match Odds"/>
    <s v="Fulltbet"/>
    <x v="1742"/>
    <n v="0.64"/>
    <n v="4.4999999999999998E-2"/>
    <n v="0.67015706806282727"/>
    <x v="10"/>
    <x v="37"/>
    <x v="215"/>
    <n v="10.18"/>
    <x v="145"/>
    <n v="3.0157068062827252E-2"/>
    <n v="6.286836935166995E-2"/>
    <n v="1"/>
    <x v="0"/>
    <x v="413"/>
    <x v="670"/>
    <s v="1. FC Nürnberg vs FC Schalke 04"/>
  </r>
  <r>
    <s v="Chicago Fire vs New York Red Bulls / Match Odds"/>
    <s v="Fulltbet"/>
    <x v="1743"/>
    <n v="-50.02"/>
    <n v="4.4999999999999998E-2"/>
    <n v="-50.02"/>
    <x v="11"/>
    <x v="44"/>
    <x v="116"/>
    <n v="50.02"/>
    <x v="145"/>
    <n v="0"/>
    <n v="-1"/>
    <n v="0"/>
    <x v="0"/>
    <x v="627"/>
    <x v="585"/>
    <s v="Chicago Fire vs New York Red Bulls"/>
  </r>
  <r>
    <s v="Real Sociedad vs Real Betis / Total 3.5"/>
    <s v="Fulltbet"/>
    <x v="1744"/>
    <n v="0.93"/>
    <n v="4.4999999999999998E-2"/>
    <n v="0.97382198952879595"/>
    <x v="10"/>
    <x v="33"/>
    <x v="166"/>
    <n v="5"/>
    <x v="145"/>
    <n v="4.3821989528795902E-2"/>
    <n v="0.186"/>
    <n v="1"/>
    <x v="0"/>
    <x v="218"/>
    <x v="228"/>
    <s v="Real Sociedad vs Real Betis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</r>
  <r>
    <s v="Real Sociedad vs Real Betis / Match Odds"/>
    <s v="Fulltbet"/>
    <x v="1746"/>
    <n v="27.76"/>
    <n v="4.4999999999999998E-2"/>
    <n v="29.068062827225134"/>
    <x v="11"/>
    <x v="44"/>
    <x v="202"/>
    <n v="50"/>
    <x v="145"/>
    <n v="1.3080628272251325"/>
    <n v="0.55520000000000003"/>
    <n v="1"/>
    <x v="0"/>
    <x v="218"/>
    <x v="228"/>
    <s v="Real Sociedad vs Real Betis"/>
  </r>
  <r>
    <s v="Lusitânia de Lourosa vs SC União Torreense / Match Odds"/>
    <s v="Fulltbet"/>
    <x v="1747"/>
    <n v="-42.99"/>
    <n v="4.4999999999999998E-2"/>
    <n v="-42.99"/>
    <x v="10"/>
    <x v="38"/>
    <x v="19"/>
    <n v="42.99"/>
    <x v="145"/>
    <n v="0"/>
    <n v="-1"/>
    <n v="0"/>
    <x v="0"/>
    <x v="628"/>
    <x v="673"/>
    <s v="Lusitânia de Lourosa vs SC União Torreense"/>
  </r>
  <r>
    <s v="Fluminense FC vs EC Vitória / Total 1.5"/>
    <s v="Fulltbet"/>
    <x v="1748"/>
    <n v="-1.85"/>
    <n v="4.4999999999999998E-2"/>
    <n v="-1.85"/>
    <x v="10"/>
    <x v="32"/>
    <x v="151"/>
    <n v="4"/>
    <x v="145"/>
    <n v="0"/>
    <n v="-0.46250000000000002"/>
    <n v="0"/>
    <x v="0"/>
    <x v="87"/>
    <x v="518"/>
    <s v="Fluminense FC vs EC Vitória"/>
  </r>
  <r>
    <s v="CF Montreal vs Orlando City / Correct Score"/>
    <s v="Fulltbet"/>
    <x v="1749"/>
    <n v="2.58"/>
    <n v="4.4999999999999998E-2"/>
    <n v="2.7015706806282727"/>
    <x v="10"/>
    <x v="31"/>
    <x v="24"/>
    <n v="49.95"/>
    <x v="145"/>
    <n v="0.12157068062827259"/>
    <n v="5.1651651651651649E-2"/>
    <n v="1"/>
    <x v="0"/>
    <x v="629"/>
    <x v="674"/>
    <s v="CF Montreal vs Orlando City"/>
  </r>
  <r>
    <s v="CF Montreal vs Orlando City / Match Odds"/>
    <s v="Fulltbet"/>
    <x v="1750"/>
    <n v="1.99"/>
    <n v="4.4999999999999998E-2"/>
    <n v="2.0837696335078535"/>
    <x v="10"/>
    <x v="39"/>
    <x v="95"/>
    <n v="2"/>
    <x v="145"/>
    <n v="9.37696335078535E-2"/>
    <n v="0.995"/>
    <n v="1"/>
    <x v="0"/>
    <x v="629"/>
    <x v="674"/>
    <s v="CF Montreal vs Orlando City"/>
  </r>
  <r>
    <s v="Ceará SC vs Atlético Goianiense / Match Odds"/>
    <s v="Fulltbet"/>
    <x v="1751"/>
    <n v="-50"/>
    <n v="4.4999999999999998E-2"/>
    <n v="-50"/>
    <x v="11"/>
    <x v="44"/>
    <x v="151"/>
    <n v="50"/>
    <x v="145"/>
    <n v="0"/>
    <n v="-1"/>
    <n v="0"/>
    <x v="0"/>
    <x v="630"/>
    <x v="675"/>
    <s v="Ceará SC vs Atlético Goianiense"/>
  </r>
  <r>
    <s v="Charlotte FC vs FC Cincinnati / Total 1.5"/>
    <s v="Fulltbet"/>
    <x v="1752"/>
    <n v="3.82"/>
    <n v="4.4999999999999998E-2"/>
    <n v="4"/>
    <x v="10"/>
    <x v="32"/>
    <x v="33"/>
    <n v="4"/>
    <x v="145"/>
    <n v="0.18000000000000016"/>
    <n v="0.95499999999999996"/>
    <n v="1"/>
    <x v="0"/>
    <x v="631"/>
    <x v="676"/>
    <s v="Charlotte FC vs FC Cincinnati"/>
  </r>
  <r>
    <s v="Esporte Clube Bahia vs Cruzeiro / Total 1.5"/>
    <s v="Fulltbet"/>
    <x v="1753"/>
    <n v="3.82"/>
    <n v="4.4999999999999998E-2"/>
    <n v="4"/>
    <x v="10"/>
    <x v="32"/>
    <x v="9"/>
    <n v="4"/>
    <x v="145"/>
    <n v="0.18000000000000016"/>
    <n v="0.95499999999999996"/>
    <n v="1"/>
    <x v="0"/>
    <x v="366"/>
    <x v="584"/>
    <s v="Esporte Clube Bahia vs Cruzeiro"/>
  </r>
  <r>
    <s v="Indy Eleven vs Sporting Club Jacksonville / Correct Score"/>
    <s v="Fulltbet"/>
    <x v="1754"/>
    <n v="4.1500000000000004"/>
    <n v="4.4999999999999998E-2"/>
    <n v="4.345549738219896"/>
    <x v="10"/>
    <x v="31"/>
    <x v="12"/>
    <n v="50.03"/>
    <x v="145"/>
    <n v="0.19554973821989563"/>
    <n v="8.2950229862082753E-2"/>
    <n v="1"/>
    <x v="0"/>
    <x v="632"/>
    <x v="677"/>
    <s v="Indy Eleven vs Sporting Club Jacksonville"/>
  </r>
  <r>
    <s v="Independiente Rivadavia vs Unión de Santa Fe / 1st Half Total 0.5"/>
    <s v="Fulltbet"/>
    <x v="1755"/>
    <n v="25.4"/>
    <n v="4.4999999999999998E-2"/>
    <n v="26.596858638743456"/>
    <x v="11"/>
    <x v="43"/>
    <x v="86"/>
    <n v="50"/>
    <x v="145"/>
    <n v="1.196858638743457"/>
    <n v="0.50800000000000001"/>
    <n v="1"/>
    <x v="0"/>
    <x v="633"/>
    <x v="678"/>
    <s v="Independiente Rivadavia vs Unión de Santa Fe"/>
  </r>
  <r>
    <s v="Real Tomayapo vs San Antonio / Correct Score"/>
    <s v="Fulltbet"/>
    <x v="1756"/>
    <n v="2.99"/>
    <n v="4.4999999999999998E-2"/>
    <n v="3.1308900523560212"/>
    <x v="10"/>
    <x v="31"/>
    <x v="10"/>
    <n v="50.08"/>
    <x v="145"/>
    <n v="0.14089005235602103"/>
    <n v="5.9704472843450485E-2"/>
    <n v="1"/>
    <x v="0"/>
    <x v="51"/>
    <x v="679"/>
    <s v="Real Tomayapo vs San Antonio"/>
  </r>
  <r>
    <s v="New England Revolution vs Philadelphia Union / Total 2.5"/>
    <s v="Fulltbet"/>
    <x v="1757"/>
    <n v="0.36"/>
    <n v="4.4999999999999998E-2"/>
    <n v="0.37696335078534032"/>
    <x v="10"/>
    <x v="46"/>
    <x v="101"/>
    <n v="10"/>
    <x v="145"/>
    <n v="1.6963350785340336E-2"/>
    <n v="3.5999999999999997E-2"/>
    <n v="1"/>
    <x v="0"/>
    <x v="587"/>
    <x v="680"/>
    <s v="New England Revolution vs Philadelphia Union"/>
  </r>
  <r>
    <s v="Charlotte FC vs FC Cincinnati / Correct Score"/>
    <s v="Fulltbet"/>
    <x v="1758"/>
    <n v="2.5099999999999998"/>
    <n v="4.4999999999999998E-2"/>
    <n v="2.6282722513089003"/>
    <x v="10"/>
    <x v="31"/>
    <x v="18"/>
    <n v="49.97"/>
    <x v="145"/>
    <n v="0.11827225130890051"/>
    <n v="5.0230138082849707E-2"/>
    <n v="1"/>
    <x v="0"/>
    <x v="631"/>
    <x v="676"/>
    <s v="Charlotte FC vs FC Cincinnati"/>
  </r>
  <r>
    <s v="Rhode Island FC vs Tampa Bay Rowdies / Total 2.5"/>
    <s v="Fulltbet"/>
    <x v="1759"/>
    <n v="0.55000000000000004"/>
    <n v="4.4999999999999998E-2"/>
    <n v="0.5759162303664922"/>
    <x v="10"/>
    <x v="46"/>
    <x v="74"/>
    <n v="10"/>
    <x v="145"/>
    <n v="2.5916230366492155E-2"/>
    <n v="5.5000000000000007E-2"/>
    <n v="1"/>
    <x v="0"/>
    <x v="634"/>
    <x v="681"/>
    <s v="Rhode Island FC vs Tampa Bay Rowdies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</r>
  <r>
    <s v="Esporte Clube Bahia vs Cruzeiro / Total 2.5"/>
    <s v="Fulltbet"/>
    <x v="1760"/>
    <n v="0.45"/>
    <n v="4.4999999999999998E-2"/>
    <n v="0.47120418848167545"/>
    <x v="10"/>
    <x v="46"/>
    <x v="64"/>
    <n v="10"/>
    <x v="145"/>
    <n v="2.1204188481675434E-2"/>
    <n v="4.4999999999999998E-2"/>
    <n v="1"/>
    <x v="0"/>
    <x v="366"/>
    <x v="584"/>
    <s v="Esporte Clube Bahia vs Cruzeiro"/>
  </r>
  <r>
    <s v="Independiente del Valle vs Barcelona SC / Total 2.5"/>
    <s v="Fulltbet"/>
    <x v="1761"/>
    <n v="-4.8"/>
    <n v="4.4999999999999998E-2"/>
    <n v="-4.8"/>
    <x v="10"/>
    <x v="46"/>
    <x v="62"/>
    <n v="10"/>
    <x v="145"/>
    <n v="0"/>
    <n v="-0.48"/>
    <n v="0"/>
    <x v="0"/>
    <x v="534"/>
    <x v="682"/>
    <s v="Independiente del Valle vs Barcelona SC"/>
  </r>
  <r>
    <s v="Alianza Lima vs Sporting Cristal / Total 1.5"/>
    <s v="Fulltbet"/>
    <x v="1762"/>
    <n v="-5"/>
    <n v="4.4999999999999998E-2"/>
    <n v="-5"/>
    <x v="10"/>
    <x v="35"/>
    <x v="222"/>
    <n v="5"/>
    <x v="145"/>
    <n v="0"/>
    <n v="-1"/>
    <n v="0"/>
    <x v="0"/>
    <x v="635"/>
    <x v="549"/>
    <s v="Alianza Lima vs Sporting Cristal"/>
  </r>
  <r>
    <s v="Seattle Sounders vs San Diego FC / 1st Half Total 0.5"/>
    <s v="Fulltbet"/>
    <x v="1763"/>
    <n v="13.37"/>
    <n v="4.4999999999999998E-2"/>
    <n v="14"/>
    <x v="11"/>
    <x v="43"/>
    <x v="219"/>
    <n v="50"/>
    <x v="145"/>
    <n v="0.63000000000000078"/>
    <n v="0.26739999999999997"/>
    <n v="1"/>
    <x v="0"/>
    <x v="636"/>
    <x v="564"/>
    <s v="Seattle Sounders vs San Diego FC"/>
  </r>
  <r>
    <s v="Club Jaiba Brava vs CD Tepatitlan de Morelos / Match Odds"/>
    <s v="Fulltbet"/>
    <x v="1764"/>
    <n v="15.41"/>
    <n v="4.4999999999999998E-2"/>
    <n v="16.136125654450261"/>
    <x v="11"/>
    <x v="44"/>
    <x v="223"/>
    <n v="50"/>
    <x v="146"/>
    <n v="0.72612565445026078"/>
    <n v="0.30820000000000003"/>
    <n v="1"/>
    <x v="0"/>
    <x v="637"/>
    <x v="683"/>
    <s v="Club Jaiba Brava vs CD Tepatitlan de Morelos"/>
  </r>
  <r>
    <s v="Alianza Lima vs Sporting Cristal / Total 2.5"/>
    <s v="Fulltbet"/>
    <x v="1765"/>
    <n v="0.5"/>
    <n v="4.4999999999999998E-2"/>
    <n v="0.52356020942408377"/>
    <x v="10"/>
    <x v="46"/>
    <x v="96"/>
    <n v="10"/>
    <x v="146"/>
    <n v="2.3560209424083767E-2"/>
    <n v="0.05"/>
    <n v="1"/>
    <x v="0"/>
    <x v="635"/>
    <x v="549"/>
    <s v="Alianza Lima vs Sporting Cristal"/>
  </r>
  <r>
    <s v="Nashville Soccer Club vs DC United / Total 2.5"/>
    <s v="Fulltbet"/>
    <x v="1766"/>
    <n v="-6.85"/>
    <n v="4.4999999999999998E-2"/>
    <n v="-6.85"/>
    <x v="10"/>
    <x v="46"/>
    <x v="142"/>
    <n v="10"/>
    <x v="146"/>
    <n v="0"/>
    <n v="-0.68499999999999994"/>
    <n v="0"/>
    <x v="0"/>
    <x v="638"/>
    <x v="628"/>
    <s v="Nashville Soccer Club vs DC United"/>
  </r>
  <r>
    <s v="Nashville Soccer Club vs DC United / Match Odds"/>
    <s v="Fulltbet"/>
    <x v="1767"/>
    <n v="-2"/>
    <n v="4.4999999999999998E-2"/>
    <n v="-2"/>
    <x v="10"/>
    <x v="39"/>
    <x v="90"/>
    <n v="2"/>
    <x v="146"/>
    <n v="0"/>
    <n v="-1"/>
    <n v="0"/>
    <x v="0"/>
    <x v="638"/>
    <x v="628"/>
    <s v="Nashville Soccer Club vs DC United"/>
  </r>
  <r>
    <s v="Colorado Rapids vs Saint Louis City SC / Correct Score"/>
    <s v="Fulltbet"/>
    <x v="1768"/>
    <n v="2.58"/>
    <n v="4.4999999999999998E-2"/>
    <n v="2.7015706806282727"/>
    <x v="10"/>
    <x v="31"/>
    <x v="24"/>
    <n v="49.95"/>
    <x v="146"/>
    <n v="0.12157068062827259"/>
    <n v="5.1651651651651649E-2"/>
    <n v="1"/>
    <x v="0"/>
    <x v="639"/>
    <x v="631"/>
    <s v="Colorado Rapids vs Saint Louis City SC"/>
  </r>
  <r>
    <s v="Phoenix Rising FC vs San Antonio FC / Total 2.5"/>
    <s v="Fulltbet"/>
    <x v="1769"/>
    <n v="0.67"/>
    <n v="4.4999999999999998E-2"/>
    <n v="0.70157068062827233"/>
    <x v="10"/>
    <x v="46"/>
    <x v="183"/>
    <n v="10"/>
    <x v="146"/>
    <n v="3.1570680628272285E-2"/>
    <n v="6.7000000000000004E-2"/>
    <n v="1"/>
    <x v="0"/>
    <x v="640"/>
    <x v="684"/>
    <s v="Phoenix Rising FC vs San Antonio FC"/>
  </r>
  <r>
    <s v="San Jose Earthquakes vs Vancouver Whitecaps / Total 1.5"/>
    <s v="Fulltbet"/>
    <x v="1770"/>
    <n v="-3.56"/>
    <n v="4.4999999999999998E-2"/>
    <n v="-3.56"/>
    <x v="10"/>
    <x v="32"/>
    <x v="157"/>
    <n v="4"/>
    <x v="146"/>
    <n v="0"/>
    <n v="-0.89"/>
    <n v="0"/>
    <x v="0"/>
    <x v="515"/>
    <x v="624"/>
    <s v="San Jose Earthquakes vs Vancouver Whitecaps"/>
  </r>
  <r>
    <s v="Seattle Sounders vs San Diego FC / Total 1.5"/>
    <s v="Fulltbet"/>
    <x v="1771"/>
    <n v="-4.18"/>
    <n v="4.4999999999999998E-2"/>
    <n v="-4.18"/>
    <x v="10"/>
    <x v="32"/>
    <x v="16"/>
    <n v="4"/>
    <x v="146"/>
    <n v="0"/>
    <n v="-1.0449999999999999"/>
    <n v="0"/>
    <x v="0"/>
    <x v="636"/>
    <x v="564"/>
    <s v="Seattle Sounders vs San Diego FC"/>
  </r>
  <r>
    <s v="Portland Timbers vs Sporting Kansas City / Match Odds"/>
    <s v="Fulltbet"/>
    <x v="1772"/>
    <n v="27.22"/>
    <n v="4.4999999999999998E-2"/>
    <n v="28.502617801047119"/>
    <x v="11"/>
    <x v="45"/>
    <x v="183"/>
    <n v="50"/>
    <x v="146"/>
    <n v="1.2826178010471203"/>
    <n v="0.5444"/>
    <n v="1"/>
    <x v="0"/>
    <x v="641"/>
    <x v="685"/>
    <s v="Portland Timbers vs Sporting Kansas City"/>
  </r>
  <r>
    <s v="Seattle Sounders vs San Diego FC / Match Odds"/>
    <s v="Fulltbet"/>
    <x v="1773"/>
    <n v="10.38"/>
    <n v="4.4999999999999998E-2"/>
    <n v="10.869109947643981"/>
    <x v="11"/>
    <x v="44"/>
    <x v="224"/>
    <n v="50"/>
    <x v="146"/>
    <n v="0.48910994764398019"/>
    <n v="0.20760000000000001"/>
    <n v="1"/>
    <x v="0"/>
    <x v="636"/>
    <x v="564"/>
    <s v="Seattle Sounders vs San Diego FC"/>
  </r>
  <r>
    <s v="San Jose Earthquakes vs Vancouver Whitecaps / Match Odds"/>
    <s v="Fulltbet"/>
    <x v="1774"/>
    <n v="3.94"/>
    <n v="4.4999999999999998E-2"/>
    <n v="4.1256544502617798"/>
    <x v="10"/>
    <x v="38"/>
    <x v="12"/>
    <n v="47.5"/>
    <x v="146"/>
    <n v="0.18565445026177985"/>
    <n v="8.2947368421052631E-2"/>
    <n v="1"/>
    <x v="0"/>
    <x v="515"/>
    <x v="624"/>
    <s v="San Jose Earthquakes vs Vancouver Whitecaps"/>
  </r>
  <r>
    <s v="Cruz Azul vs Atlas / Match Odds"/>
    <s v="Fulltbet"/>
    <x v="1775"/>
    <n v="7.96"/>
    <n v="4.4999999999999998E-2"/>
    <n v="8.335078534031414"/>
    <x v="11"/>
    <x v="44"/>
    <x v="36"/>
    <n v="49.98"/>
    <x v="146"/>
    <n v="0.375078534031414"/>
    <n v="0.15926370548219287"/>
    <n v="1"/>
    <x v="0"/>
    <x v="642"/>
    <x v="686"/>
    <s v="Cruz Azul vs Atlas"/>
  </r>
  <r>
    <s v="Yokohama F. Marinos vs Kashima Antlers / Match Odds"/>
    <s v="Fulltbet"/>
    <x v="1776"/>
    <n v="3.98"/>
    <n v="4.4999999999999998E-2"/>
    <n v="4.167539267015707"/>
    <x v="10"/>
    <x v="38"/>
    <x v="5"/>
    <n v="50.04"/>
    <x v="146"/>
    <n v="0.187539267015707"/>
    <n v="7.9536370903277379E-2"/>
    <n v="1"/>
    <x v="0"/>
    <x v="643"/>
    <x v="687"/>
    <s v="Yokohama F. Marinos vs Kashima Antlers"/>
  </r>
  <r>
    <s v="Busan I'Park vs Cheonan City / 1st Half Total 0.5"/>
    <s v="Fulltbet"/>
    <x v="1777"/>
    <n v="18.62"/>
    <n v="4.4999999999999998E-2"/>
    <n v="19.497382198952881"/>
    <x v="11"/>
    <x v="43"/>
    <x v="225"/>
    <n v="50"/>
    <x v="146"/>
    <n v="0.87738219895287983"/>
    <n v="0.37240000000000001"/>
    <n v="1"/>
    <x v="0"/>
    <x v="644"/>
    <x v="688"/>
    <s v="Busan I'Park vs Cheonan City"/>
  </r>
  <r>
    <s v="Busan I'Park vs Cheonan City / Match Odds"/>
    <s v="Fulltbet"/>
    <x v="1778"/>
    <n v="9.74"/>
    <n v="4.4999999999999998E-2"/>
    <n v="10.198952879581153"/>
    <x v="11"/>
    <x v="44"/>
    <x v="43"/>
    <n v="49.98"/>
    <x v="146"/>
    <n v="0.45895287958115283"/>
    <n v="0.19487795118047221"/>
    <n v="1"/>
    <x v="0"/>
    <x v="644"/>
    <x v="688"/>
    <s v="Busan I'Park vs Cheonan City"/>
  </r>
  <r>
    <s v="Qingdao West Coast vs Wuhan Three Towns / Match Odds"/>
    <s v="Fulltbet"/>
    <x v="1779"/>
    <n v="2.0699999999999998"/>
    <n v="4.4999999999999998E-2"/>
    <n v="2.1675392670157065"/>
    <x v="10"/>
    <x v="38"/>
    <x v="109"/>
    <n v="49.91"/>
    <x v="146"/>
    <n v="9.7539267015706699E-2"/>
    <n v="4.1474654377880185E-2"/>
    <n v="1"/>
    <x v="0"/>
    <x v="645"/>
    <x v="579"/>
    <s v="Qingdao West Coast vs Wuhan Three Towns"/>
  </r>
  <r>
    <s v="Qingdao West Coast vs Wuhan Three Towns / Total 2.5"/>
    <s v="Fulltbet"/>
    <x v="1780"/>
    <n v="0.4"/>
    <n v="4.4999999999999998E-2"/>
    <n v="0.41884816753926707"/>
    <x v="10"/>
    <x v="46"/>
    <x v="98"/>
    <n v="10"/>
    <x v="146"/>
    <n v="1.8848167539267047E-2"/>
    <n v="0.04"/>
    <n v="1"/>
    <x v="0"/>
    <x v="645"/>
    <x v="579"/>
    <s v="Qingdao West Coast vs Wuhan Three Towns"/>
  </r>
  <r>
    <s v="BG Pathumthani United vs Prachuap FC / Total 1.5"/>
    <s v="Fulltbet"/>
    <x v="1781"/>
    <n v="3.82"/>
    <n v="4.4999999999999998E-2"/>
    <n v="4"/>
    <x v="10"/>
    <x v="32"/>
    <x v="179"/>
    <n v="4"/>
    <x v="146"/>
    <n v="0.18000000000000016"/>
    <n v="0.95499999999999996"/>
    <n v="1"/>
    <x v="0"/>
    <x v="339"/>
    <x v="689"/>
    <s v="BG Pathumthani United vs Prachuap FC"/>
  </r>
  <r>
    <s v="Hellas Verona vs Como / Total 2.5"/>
    <s v="Fulltbet"/>
    <x v="1782"/>
    <n v="0.67"/>
    <n v="4.4999999999999998E-2"/>
    <n v="0.70157068062827233"/>
    <x v="10"/>
    <x v="46"/>
    <x v="63"/>
    <n v="10"/>
    <x v="146"/>
    <n v="3.1570680628272285E-2"/>
    <n v="6.7000000000000004E-2"/>
    <n v="1"/>
    <x v="0"/>
    <x v="245"/>
    <x v="471"/>
    <s v="Hellas Verona vs Como"/>
  </r>
  <r>
    <s v="Chonburi vs Nakhon Ratchasima / Total 0.5"/>
    <s v="Fulltbet"/>
    <x v="1783"/>
    <n v="1.81"/>
    <n v="4.4999999999999998E-2"/>
    <n v="1.8952879581151834"/>
    <x v="10"/>
    <x v="40"/>
    <x v="120"/>
    <n v="2"/>
    <x v="146"/>
    <n v="8.5287958115183304E-2"/>
    <n v="0.90500000000000003"/>
    <n v="1"/>
    <x v="0"/>
    <x v="646"/>
    <x v="690"/>
    <s v="Chonburi vs Nakhon Ratchasima"/>
  </r>
  <r>
    <s v="Kalmar FF vs Halmstads BK / 1st Half Total 0.5"/>
    <s v="Fulltbet"/>
    <x v="1784"/>
    <n v="-50"/>
    <n v="4.4999999999999998E-2"/>
    <n v="-50"/>
    <x v="11"/>
    <x v="43"/>
    <x v="49"/>
    <n v="50"/>
    <x v="146"/>
    <n v="0"/>
    <n v="-1"/>
    <n v="0"/>
    <x v="0"/>
    <x v="647"/>
    <x v="562"/>
    <s v="Kalmar FF vs Halmstads BK"/>
  </r>
  <r>
    <s v="Liaoning Tieren F.C. vs Yunnan Yukun / Correct Score"/>
    <s v="Fulltbet"/>
    <x v="1785"/>
    <n v="2.5099999999999998"/>
    <n v="4.4999999999999998E-2"/>
    <n v="2.6282722513089003"/>
    <x v="10"/>
    <x v="31"/>
    <x v="18"/>
    <n v="49.97"/>
    <x v="146"/>
    <n v="0.11827225130890051"/>
    <n v="5.0230138082849707E-2"/>
    <n v="1"/>
    <x v="0"/>
    <x v="508"/>
    <x v="691"/>
    <s v="Liaoning Tieren F.C. vs Yunnan Yukun"/>
  </r>
  <r>
    <s v="Chonburi vs Nakhon Ratchasima / Correct Score"/>
    <s v="Fulltbet"/>
    <x v="1786"/>
    <n v="2.39"/>
    <n v="4.4999999999999998E-2"/>
    <n v="2.5026178010471205"/>
    <x v="10"/>
    <x v="31"/>
    <x v="11"/>
    <n v="50"/>
    <x v="146"/>
    <n v="0.11261780104712038"/>
    <n v="4.7800000000000002E-2"/>
    <n v="1"/>
    <x v="0"/>
    <x v="646"/>
    <x v="690"/>
    <s v="Chonburi vs Nakhon Ratchasima"/>
  </r>
  <r>
    <s v="Andorra FC vs UD Las Palmas / Total 2.5"/>
    <s v="Fulltbet"/>
    <x v="1787"/>
    <n v="0.69"/>
    <n v="4.4999999999999998E-2"/>
    <n v="0.72251308900523559"/>
    <x v="10"/>
    <x v="46"/>
    <x v="101"/>
    <n v="10"/>
    <x v="146"/>
    <n v="3.251308900523564E-2"/>
    <n v="6.8999999999999992E-2"/>
    <n v="1"/>
    <x v="0"/>
    <x v="375"/>
    <x v="692"/>
    <s v="Andorra FC vs UD Las Palmas"/>
  </r>
  <r>
    <s v="Hertha BSC vs SpVgg Greuther Fürth / Correct Score"/>
    <s v="Fulltbet"/>
    <x v="1788"/>
    <n v="2.99"/>
    <n v="4.4999999999999998E-2"/>
    <n v="3.1308900523560212"/>
    <x v="10"/>
    <x v="31"/>
    <x v="6"/>
    <n v="48.52"/>
    <x v="146"/>
    <n v="0.14089005235602103"/>
    <n v="6.1624072547403132E-2"/>
    <n v="1"/>
    <x v="0"/>
    <x v="350"/>
    <x v="369"/>
    <s v="Hertha BSC vs SpVgg Greuther Fürth"/>
  </r>
  <r>
    <s v="Beijing Guoan vs Shanghai Port / Match Odds"/>
    <s v="Fulltbet"/>
    <x v="1789"/>
    <n v="3.02"/>
    <n v="4.4999999999999998E-2"/>
    <n v="3.162303664921466"/>
    <x v="10"/>
    <x v="41"/>
    <x v="226"/>
    <n v="4.99"/>
    <x v="146"/>
    <n v="0.14230366492146596"/>
    <n v="0.60521042084168331"/>
    <n v="1"/>
    <x v="0"/>
    <x v="527"/>
    <x v="693"/>
    <s v="Beijing Guoan vs Shanghai Port"/>
  </r>
  <r>
    <s v="Burnley vs Aston Villa / Total 1.5"/>
    <s v="Fulltbet"/>
    <x v="1790"/>
    <n v="3.82"/>
    <n v="4.4999999999999998E-2"/>
    <n v="4"/>
    <x v="10"/>
    <x v="32"/>
    <x v="22"/>
    <n v="4"/>
    <x v="146"/>
    <n v="0.18000000000000016"/>
    <n v="0.95499999999999996"/>
    <n v="1"/>
    <x v="0"/>
    <x v="511"/>
    <x v="50"/>
    <s v="Burnley vs Aston Villa"/>
  </r>
  <r>
    <s v="FC Nordsjælland vs FC Midtjylland / Total 2.5"/>
    <s v="Fulltbet"/>
    <x v="1791"/>
    <n v="6.45"/>
    <n v="4.4999999999999998E-2"/>
    <n v="6.7539267015706814"/>
    <x v="10"/>
    <x v="34"/>
    <x v="158"/>
    <n v="5"/>
    <x v="146"/>
    <n v="0.30392670157068125"/>
    <n v="1.29"/>
    <n v="1"/>
    <x v="0"/>
    <x v="80"/>
    <x v="694"/>
    <s v="FC Nordsjælland vs FC Midtjylland"/>
  </r>
  <r>
    <s v="FC Nordsjælland vs FC Midtjylland / Total 3.5"/>
    <s v="Fulltbet"/>
    <x v="1792"/>
    <n v="0.88"/>
    <n v="4.4999999999999998E-2"/>
    <n v="0.92146596858638752"/>
    <x v="10"/>
    <x v="33"/>
    <x v="177"/>
    <n v="5"/>
    <x v="146"/>
    <n v="4.1465968586387514E-2"/>
    <n v="0.17599999999999999"/>
    <n v="1"/>
    <x v="0"/>
    <x v="80"/>
    <x v="694"/>
    <s v="FC Nordsjælland vs FC Midtjylland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</r>
  <r>
    <s v="Hamburger SV vs SC Freiburg / Total 3.5"/>
    <s v="Fulltbet"/>
    <x v="1795"/>
    <n v="-5"/>
    <n v="4.4999999999999998E-2"/>
    <n v="-5"/>
    <x v="10"/>
    <x v="34"/>
    <x v="227"/>
    <n v="5"/>
    <x v="146"/>
    <n v="0"/>
    <n v="-1"/>
    <n v="0"/>
    <x v="0"/>
    <x v="49"/>
    <x v="184"/>
    <s v="Hamburger SV vs SC Freiburg"/>
  </r>
  <r>
    <s v="Hamburger SV vs SC Freiburg / Total 2.5"/>
    <s v="Fulltbet"/>
    <x v="1795"/>
    <n v="-5"/>
    <n v="4.4999999999999998E-2"/>
    <n v="-5"/>
    <x v="10"/>
    <x v="33"/>
    <x v="50"/>
    <n v="5"/>
    <x v="146"/>
    <n v="0"/>
    <n v="-1"/>
    <n v="0"/>
    <x v="0"/>
    <x v="49"/>
    <x v="184"/>
    <s v="Hamburger SV vs SC Freiburg"/>
  </r>
  <r>
    <s v="FC Twente vs Sparta Rotterdam / 1st Half Total 0.5"/>
    <s v="Fulltbet"/>
    <x v="1796"/>
    <n v="-2"/>
    <n v="4.4999999999999998E-2"/>
    <n v="-2"/>
    <x v="10"/>
    <x v="43"/>
    <x v="87"/>
    <n v="2"/>
    <x v="146"/>
    <n v="0"/>
    <n v="-1"/>
    <n v="0"/>
    <x v="0"/>
    <x v="306"/>
    <x v="3"/>
    <s v="FC Twente vs Sparta Rotterdam"/>
  </r>
  <r>
    <s v="SC Telstar vs Heracles Almelo / 1st Half Total 0.5"/>
    <s v="Fulltbet"/>
    <x v="1797"/>
    <n v="-50"/>
    <n v="4.4999999999999998E-2"/>
    <n v="-50"/>
    <x v="11"/>
    <x v="43"/>
    <x v="212"/>
    <n v="50"/>
    <x v="146"/>
    <n v="0"/>
    <n v="-1"/>
    <n v="0"/>
    <x v="0"/>
    <x v="307"/>
    <x v="334"/>
    <s v="SC Telstar vs Heracles Almelo"/>
  </r>
  <r>
    <s v="SC Telstar vs Heracles Almelo / 1st Half Total 0.5"/>
    <s v="Fulltbet"/>
    <x v="1797"/>
    <n v="-2"/>
    <n v="4.4999999999999998E-2"/>
    <n v="-2"/>
    <x v="10"/>
    <x v="43"/>
    <x v="69"/>
    <n v="2"/>
    <x v="146"/>
    <n v="0"/>
    <n v="-1"/>
    <n v="0"/>
    <x v="0"/>
    <x v="307"/>
    <x v="334"/>
    <s v="SC Telstar vs Heracles Almelo"/>
  </r>
  <r>
    <s v="Feyenoord vs AZ Alkmaar / Total 1.5"/>
    <s v="Fulltbet"/>
    <x v="1798"/>
    <n v="-4.13"/>
    <n v="4.4999999999999998E-2"/>
    <n v="-4.13"/>
    <x v="10"/>
    <x v="32"/>
    <x v="5"/>
    <n v="4"/>
    <x v="146"/>
    <n v="0"/>
    <n v="-1.0325"/>
    <n v="0"/>
    <x v="0"/>
    <x v="157"/>
    <x v="124"/>
    <s v="Feyenoord vs AZ Alkmaar"/>
  </r>
  <r>
    <s v="Leganés vs Racing Santander / Total 1.5"/>
    <s v="Fulltbet"/>
    <x v="1799"/>
    <n v="-4.8899999999999997"/>
    <n v="4.4999999999999998E-2"/>
    <n v="-4.8899999999999997"/>
    <x v="10"/>
    <x v="32"/>
    <x v="13"/>
    <n v="4"/>
    <x v="146"/>
    <n v="0"/>
    <n v="-1.2224999999999999"/>
    <n v="0"/>
    <x v="0"/>
    <x v="648"/>
    <x v="225"/>
    <s v="Leganés vs Racing Santander"/>
  </r>
  <r>
    <s v="BSC Young Boys vs FC Basel / Correct Score"/>
    <s v="Fulltbet"/>
    <x v="1800"/>
    <n v="4.3499999999999996"/>
    <n v="4.4999999999999998E-2"/>
    <n v="4.5549738219895284"/>
    <x v="10"/>
    <x v="31"/>
    <x v="2"/>
    <n v="50.05"/>
    <x v="146"/>
    <n v="0.20497382198952874"/>
    <n v="8.6913086913086912E-2"/>
    <n v="1"/>
    <x v="0"/>
    <x v="139"/>
    <x v="450"/>
    <s v="BSC Young Boys vs FC Basel"/>
  </r>
  <r>
    <s v="NAC Breda vs Heerenveen / Total 1.5"/>
    <s v="Fulltbet"/>
    <x v="1801"/>
    <n v="-2.67"/>
    <n v="4.4999999999999998E-2"/>
    <n v="-2.67"/>
    <x v="10"/>
    <x v="32"/>
    <x v="9"/>
    <n v="4"/>
    <x v="146"/>
    <n v="0"/>
    <n v="-0.66749999999999998"/>
    <n v="0"/>
    <x v="0"/>
    <x v="270"/>
    <x v="167"/>
    <s v="NAC Breda vs Heerenveen"/>
  </r>
  <r>
    <s v="FC Twente vs Sparta Rotterdam / Match Odds"/>
    <s v="Fulltbet"/>
    <x v="1802"/>
    <n v="5.97"/>
    <n v="4.4999999999999998E-2"/>
    <n v="6.2513089005235605"/>
    <x v="11"/>
    <x v="44"/>
    <x v="22"/>
    <n v="50"/>
    <x v="146"/>
    <n v="0.28130890052356072"/>
    <n v="0.11939999999999999"/>
    <n v="1"/>
    <x v="0"/>
    <x v="306"/>
    <x v="3"/>
    <s v="FC Twente vs Sparta Rotterdam"/>
  </r>
  <r>
    <s v="Fortuna Sittard vs PEC Zwolle / Match Odds"/>
    <s v="Fulltbet"/>
    <x v="1803"/>
    <n v="2.33"/>
    <n v="4.4999999999999998E-2"/>
    <n v="2.4397905759162306"/>
    <x v="10"/>
    <x v="39"/>
    <x v="227"/>
    <n v="2"/>
    <x v="146"/>
    <n v="0.10979057591623054"/>
    <n v="1.165"/>
    <n v="1"/>
    <x v="0"/>
    <x v="269"/>
    <x v="326"/>
    <s v="Fortuna Sittard vs PEC Zwolle"/>
  </r>
  <r>
    <s v="FK Košice vs KFC Komárno / Match Odds"/>
    <s v="Fulltbet"/>
    <x v="1804"/>
    <n v="12.9"/>
    <n v="4.4999999999999998E-2"/>
    <n v="13.507853403141363"/>
    <x v="11"/>
    <x v="44"/>
    <x v="26"/>
    <n v="49.99"/>
    <x v="146"/>
    <n v="0.60785340314136249"/>
    <n v="0.25805161032206442"/>
    <n v="1"/>
    <x v="0"/>
    <x v="649"/>
    <x v="431"/>
    <s v="FK Košice vs KFC Komárno"/>
  </r>
  <r>
    <s v="SC Telstar vs Heracles Almelo / Match Odds"/>
    <s v="Fulltbet"/>
    <x v="1805"/>
    <n v="21.01"/>
    <n v="4.4999999999999998E-2"/>
    <n v="22.000000000000004"/>
    <x v="11"/>
    <x v="45"/>
    <x v="177"/>
    <n v="50"/>
    <x v="146"/>
    <n v="0.99000000000000199"/>
    <n v="0.42020000000000002"/>
    <n v="1"/>
    <x v="0"/>
    <x v="307"/>
    <x v="334"/>
    <s v="SC Telstar vs Heracles Almelo"/>
  </r>
  <r>
    <s v="AC Omonia Nicosia vs AEK Larnaca / Match Odds"/>
    <s v="Fulltbet"/>
    <x v="1806"/>
    <n v="11.65"/>
    <n v="4.4999999999999998E-2"/>
    <n v="12.198952879581153"/>
    <x v="11"/>
    <x v="44"/>
    <x v="174"/>
    <n v="50.02"/>
    <x v="146"/>
    <n v="0.54895287958115269"/>
    <n v="0.23290683726509395"/>
    <n v="1"/>
    <x v="0"/>
    <x v="650"/>
    <x v="695"/>
    <s v="AC Omonia Nicosia vs AEK Larnaca"/>
  </r>
  <r>
    <s v="Parma vs AS Roma / Total 1.5"/>
    <s v="Fulltbet"/>
    <x v="1807"/>
    <n v="3.82"/>
    <n v="4.4999999999999998E-2"/>
    <n v="4"/>
    <x v="10"/>
    <x v="32"/>
    <x v="116"/>
    <n v="4"/>
    <x v="146"/>
    <n v="0.18000000000000016"/>
    <n v="0.95499999999999996"/>
    <n v="1"/>
    <x v="0"/>
    <x v="228"/>
    <x v="523"/>
    <s v="Parma vs AS Roma"/>
  </r>
  <r>
    <s v="Al-Riyadh vs Al-Fateh Al-Hasa / Match Odds"/>
    <s v="Fulltbet"/>
    <x v="1808"/>
    <n v="2.5099999999999998"/>
    <n v="4.4999999999999998E-2"/>
    <n v="2.6282722513089003"/>
    <x v="10"/>
    <x v="38"/>
    <x v="4"/>
    <n v="55.23"/>
    <x v="146"/>
    <n v="0.11827225130890051"/>
    <n v="4.5446315408292595E-2"/>
    <n v="1"/>
    <x v="0"/>
    <x v="358"/>
    <x v="419"/>
    <s v="Al-Riyadh vs Al-Fateh Al-Hasa"/>
  </r>
  <r>
    <s v="Córdoba CF vs Granada CF / Total 0.5"/>
    <s v="Fulltbet"/>
    <x v="1809"/>
    <n v="1.62"/>
    <n v="4.4999999999999998E-2"/>
    <n v="1.6963350785340316"/>
    <x v="10"/>
    <x v="40"/>
    <x v="78"/>
    <n v="2"/>
    <x v="146"/>
    <n v="7.6335078534031542E-2"/>
    <n v="0.81"/>
    <n v="1"/>
    <x v="0"/>
    <x v="472"/>
    <x v="614"/>
    <s v="Córdoba CF vs Granada CF"/>
  </r>
  <r>
    <s v="AVS Futebol SAD vs FC Porto / Total 1.5"/>
    <s v="Fulltbet"/>
    <x v="1810"/>
    <n v="-3.34"/>
    <n v="4.4999999999999998E-2"/>
    <n v="-3.34"/>
    <x v="10"/>
    <x v="32"/>
    <x v="179"/>
    <n v="4"/>
    <x v="146"/>
    <n v="0"/>
    <n v="-0.83499999999999996"/>
    <n v="0"/>
    <x v="0"/>
    <x v="359"/>
    <x v="294"/>
    <s v="AVS Futebol SAD vs FC Porto"/>
  </r>
  <r>
    <s v="Real Oviedo vs Getafe / Total 0.5"/>
    <s v="Fulltbet"/>
    <x v="1811"/>
    <n v="-2"/>
    <n v="4.4999999999999998E-2"/>
    <n v="-2"/>
    <x v="10"/>
    <x v="40"/>
    <x v="108"/>
    <n v="2"/>
    <x v="146"/>
    <n v="0"/>
    <n v="-1"/>
    <n v="0"/>
    <x v="0"/>
    <x v="651"/>
    <x v="72"/>
    <s v="Real Oviedo vs Getafe"/>
  </r>
  <r>
    <s v="Antofagasta vs Club Deportivo San Luis / Match Odds"/>
    <s v="Fulltbet"/>
    <x v="1812"/>
    <n v="10.85"/>
    <n v="4.4999999999999998E-2"/>
    <n v="11.361256544502618"/>
    <x v="11"/>
    <x v="44"/>
    <x v="228"/>
    <n v="49.98"/>
    <x v="146"/>
    <n v="0.51125654450261848"/>
    <n v="0.21708683473389356"/>
    <n v="1"/>
    <x v="0"/>
    <x v="652"/>
    <x v="696"/>
    <s v="Antofagasta vs Club Deportivo San Luis"/>
  </r>
  <r>
    <s v="1. FSV Mainz 05 vs 1. FC Union Berlin / Total 1.5"/>
    <s v="Fulltbet"/>
    <x v="1813"/>
    <n v="3.82"/>
    <n v="4.4999999999999998E-2"/>
    <n v="4"/>
    <x v="10"/>
    <x v="32"/>
    <x v="89"/>
    <n v="4"/>
    <x v="146"/>
    <n v="0.18000000000000016"/>
    <n v="0.95499999999999996"/>
    <n v="1"/>
    <x v="0"/>
    <x v="250"/>
    <x v="291"/>
    <s v="1. FSV Mainz 05 vs 1. FC Union Berlin"/>
  </r>
  <r>
    <s v="Racing Genk vs Westerlo / Correct Score"/>
    <s v="Fulltbet"/>
    <x v="1814"/>
    <n v="4.1500000000000004"/>
    <n v="4.4999999999999998E-2"/>
    <n v="4.345549738219896"/>
    <x v="10"/>
    <x v="31"/>
    <x v="16"/>
    <n v="54.37"/>
    <x v="146"/>
    <n v="0.19554973821989563"/>
    <n v="7.6328857826006999E-2"/>
    <n v="1"/>
    <x v="0"/>
    <x v="18"/>
    <x v="161"/>
    <s v="Racing Genk vs Westerlo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</r>
  <r>
    <s v="1. FSV Mainz 05 vs 1. FC Union Berlin / Correct Score"/>
    <s v="Fulltbet"/>
    <x v="1816"/>
    <n v="4.1500000000000004"/>
    <n v="4.4999999999999998E-2"/>
    <n v="4.345549738219896"/>
    <x v="10"/>
    <x v="31"/>
    <x v="12"/>
    <n v="50.03"/>
    <x v="146"/>
    <n v="0.19554973821989563"/>
    <n v="8.2950229862082753E-2"/>
    <n v="1"/>
    <x v="0"/>
    <x v="250"/>
    <x v="291"/>
    <s v="1. FSV Mainz 05 vs 1. FC Union Berlin"/>
  </r>
  <r>
    <s v="Al-Ittihad Jeddah vs Dhamk / Total 1.5"/>
    <s v="Fulltbet"/>
    <x v="1817"/>
    <n v="-4.75"/>
    <n v="4.4999999999999998E-2"/>
    <n v="-4.75"/>
    <x v="10"/>
    <x v="32"/>
    <x v="14"/>
    <n v="38"/>
    <x v="146"/>
    <n v="0"/>
    <n v="-0.125"/>
    <n v="0"/>
    <x v="0"/>
    <x v="255"/>
    <x v="697"/>
    <s v="Al-Ittihad Jeddah vs Dhamk"/>
  </r>
  <r>
    <s v="Paris Saint-Germain vs Stade Brestois 29 / 1st Half Total 0.5"/>
    <s v="Fulltbet"/>
    <x v="1818"/>
    <n v="-50"/>
    <n v="4.4999999999999998E-2"/>
    <n v="-50"/>
    <x v="11"/>
    <x v="43"/>
    <x v="229"/>
    <n v="50"/>
    <x v="146"/>
    <n v="0"/>
    <n v="-1"/>
    <n v="0"/>
    <x v="0"/>
    <x v="219"/>
    <x v="13"/>
    <s v="Paris Saint-Germain vs Stade Brestois 29"/>
  </r>
  <r>
    <s v="Paris Saint-Germain vs Stade Brestois 29 / 1st Half Total 0.5"/>
    <s v="Fulltbet"/>
    <x v="1818"/>
    <n v="-2"/>
    <n v="4.4999999999999998E-2"/>
    <n v="-2"/>
    <x v="10"/>
    <x v="43"/>
    <x v="97"/>
    <n v="2"/>
    <x v="146"/>
    <n v="0"/>
    <n v="-1"/>
    <n v="0"/>
    <x v="0"/>
    <x v="219"/>
    <x v="13"/>
    <s v="Paris Saint-Germain vs Stade Brestois 29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</r>
  <r>
    <s v="Stade Rennais vs Paris FC / Total 3.5"/>
    <s v="Fulltbet"/>
    <x v="1820"/>
    <n v="1.08"/>
    <n v="4.4999999999999998E-2"/>
    <n v="1.130890052356021"/>
    <x v="10"/>
    <x v="33"/>
    <x v="222"/>
    <n v="5"/>
    <x v="146"/>
    <n v="5.0890052356020954E-2"/>
    <n v="0.21600000000000003"/>
    <n v="1"/>
    <x v="0"/>
    <x v="275"/>
    <x v="231"/>
    <s v="Stade Rennais vs Paris FC"/>
  </r>
  <r>
    <s v="Atlético Mineiro vs Botafogo FR / Match Odds"/>
    <s v="Fulltbet"/>
    <x v="1821"/>
    <n v="-2"/>
    <n v="4.4999999999999998E-2"/>
    <n v="-2"/>
    <x v="10"/>
    <x v="39"/>
    <x v="167"/>
    <n v="2"/>
    <x v="146"/>
    <n v="0"/>
    <n v="-1"/>
    <n v="0"/>
    <x v="0"/>
    <x v="86"/>
    <x v="397"/>
    <s v="Atlético Mineiro vs Botafogo FR"/>
  </r>
  <r>
    <s v="Paris Saint-Germain vs Stade Brestois 29 / Match Odds"/>
    <s v="Fulltbet"/>
    <x v="1822"/>
    <n v="2.04"/>
    <n v="4.4999999999999998E-2"/>
    <n v="2.1361256544502618"/>
    <x v="10"/>
    <x v="36"/>
    <x v="15"/>
    <n v="29.96"/>
    <x v="146"/>
    <n v="9.6125654450261777E-2"/>
    <n v="6.8090787716955939E-2"/>
    <n v="1"/>
    <x v="0"/>
    <x v="219"/>
    <x v="13"/>
    <s v="Paris Saint-Germain vs Stade Brestois 29"/>
  </r>
  <r>
    <s v="Vitória FC vs Democrata GV / Match Odds"/>
    <s v="Fulltbet"/>
    <x v="1823"/>
    <n v="12.57"/>
    <n v="4.4999999999999998E-2"/>
    <n v="13.162303664921467"/>
    <x v="11"/>
    <x v="44"/>
    <x v="230"/>
    <n v="50.01"/>
    <x v="146"/>
    <n v="0.59230366492146658"/>
    <n v="0.2513497300539892"/>
    <n v="1"/>
    <x v="0"/>
    <x v="654"/>
    <x v="698"/>
    <s v="Vitória FC vs Democrata GV"/>
  </r>
  <r>
    <s v="Imperatriz-MA vs Trem Desportivo / 1st Half Total 0.5"/>
    <s v="Fulltbet"/>
    <x v="1824"/>
    <n v="17.190000000000001"/>
    <n v="4.4999999999999998E-2"/>
    <n v="18.000000000000004"/>
    <x v="11"/>
    <x v="43"/>
    <x v="129"/>
    <n v="50"/>
    <x v="146"/>
    <n v="0.81000000000000227"/>
    <n v="0.34380000000000005"/>
    <n v="1"/>
    <x v="0"/>
    <x v="655"/>
    <x v="699"/>
    <s v="Imperatriz-MA vs Trem Desportivo"/>
  </r>
  <r>
    <s v="The Strongest vs Club Bamin Real Potosí / 1st Half Total 0.5"/>
    <s v="Fulltbet"/>
    <x v="1825"/>
    <n v="-2"/>
    <n v="4.4999999999999998E-2"/>
    <n v="-2"/>
    <x v="10"/>
    <x v="43"/>
    <x v="87"/>
    <n v="2"/>
    <x v="146"/>
    <n v="0"/>
    <n v="-1"/>
    <n v="0"/>
    <x v="0"/>
    <x v="656"/>
    <x v="700"/>
    <s v="The Strongest vs Club Bamin Real Potosí"/>
  </r>
  <r>
    <s v="Santos FC vs Red Bull Bragantino / Match Odds"/>
    <s v="Fulltbet"/>
    <x v="1826"/>
    <n v="2.38"/>
    <n v="4.4999999999999998E-2"/>
    <n v="2.4921465968586389"/>
    <x v="10"/>
    <x v="39"/>
    <x v="221"/>
    <n v="1.98"/>
    <x v="146"/>
    <n v="0.11214659685863904"/>
    <n v="1.202020202020202"/>
    <n v="1"/>
    <x v="0"/>
    <x v="474"/>
    <x v="94"/>
    <s v="Santos FC vs Red Bull Bragantino"/>
  </r>
  <r>
    <s v="Avaí FC vs Fortaleza EC / Total 0.5"/>
    <s v="Fulltbet"/>
    <x v="1827"/>
    <n v="-1.96"/>
    <n v="4.4999999999999998E-2"/>
    <n v="-1.96"/>
    <x v="10"/>
    <x v="47"/>
    <x v="199"/>
    <n v="1.96"/>
    <x v="146"/>
    <n v="0"/>
    <n v="-1"/>
    <n v="0"/>
    <x v="0"/>
    <x v="657"/>
    <x v="95"/>
    <s v="Avaí FC vs Fortaleza EC"/>
  </r>
  <r>
    <s v="River Plate vs San Lorenzo / Match Odds"/>
    <s v="Fulltbet"/>
    <x v="1828"/>
    <n v="7.7"/>
    <n v="4.4999999999999998E-2"/>
    <n v="8.0628272251308903"/>
    <x v="11"/>
    <x v="44"/>
    <x v="28"/>
    <n v="49.97"/>
    <x v="146"/>
    <n v="0.36282722513089016"/>
    <n v="0.15409245547328398"/>
    <n v="1"/>
    <x v="0"/>
    <x v="458"/>
    <x v="701"/>
    <s v="River Plate vs San Lorenzo"/>
  </r>
  <r>
    <s v="Cusco FC vs CD Los Chankas / Correct Score"/>
    <s v="Fulltbet"/>
    <x v="1829"/>
    <n v="1.99"/>
    <n v="4.4999999999999998E-2"/>
    <n v="2.0837696335078535"/>
    <x v="10"/>
    <x v="31"/>
    <x v="109"/>
    <n v="47.84"/>
    <x v="146"/>
    <n v="9.37696335078535E-2"/>
    <n v="4.1596989966555184E-2"/>
    <n v="1"/>
    <x v="0"/>
    <x v="658"/>
    <x v="702"/>
    <s v="Cusco FC vs CD Los Chankas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</r>
  <r>
    <s v="Minnesota United vs Austin FC / Correct Score"/>
    <s v="Fulltbet"/>
    <x v="1831"/>
    <n v="3.18"/>
    <n v="4.4999999999999998E-2"/>
    <n v="3.329842931937173"/>
    <x v="10"/>
    <x v="31"/>
    <x v="34"/>
    <n v="49.95"/>
    <x v="146"/>
    <n v="0.1498429319371728"/>
    <n v="6.3663663663663661E-2"/>
    <n v="1"/>
    <x v="0"/>
    <x v="499"/>
    <x v="566"/>
    <s v="Minnesota United vs Austin FC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</r>
  <r>
    <s v="Al-Nasr (UAE) vs Al-Ittihad Kalba / 1st Half Total 0.5"/>
    <s v="Fulltbet"/>
    <x v="1833"/>
    <n v="17.190000000000001"/>
    <n v="4.4999999999999998E-2"/>
    <n v="18.000000000000004"/>
    <x v="11"/>
    <x v="43"/>
    <x v="129"/>
    <n v="50"/>
    <x v="147"/>
    <n v="0.81000000000000227"/>
    <n v="0.34380000000000005"/>
    <n v="1"/>
    <x v="0"/>
    <x v="659"/>
    <x v="704"/>
    <s v="Al-Nasr (UAE) vs Al-Ittihad Kalba"/>
  </r>
  <r>
    <s v="Emami East Bengal FC vs Roundglass Punjab FC / Correct Score"/>
    <s v="Fulltbet"/>
    <x v="1834"/>
    <n v="1.88"/>
    <n v="4.4999999999999998E-2"/>
    <n v="1.9685863874345551"/>
    <x v="10"/>
    <x v="31"/>
    <x v="117"/>
    <n v="49.19"/>
    <x v="147"/>
    <n v="8.8586387434555158E-2"/>
    <n v="3.8219150233787358E-2"/>
    <n v="1"/>
    <x v="0"/>
    <x v="660"/>
    <x v="705"/>
    <s v="Emami East Bengal FC vs Roundglass Punjab FC"/>
  </r>
  <r>
    <s v="Al-Nasr (UAE) vs Al-Ittihad Kalba / Match Odds"/>
    <s v="Fulltbet"/>
    <x v="1835"/>
    <n v="1.39"/>
    <n v="4.4999999999999998E-2"/>
    <n v="1.4554973821989527"/>
    <x v="10"/>
    <x v="39"/>
    <x v="119"/>
    <n v="2"/>
    <x v="147"/>
    <n v="6.5497382198952847E-2"/>
    <n v="0.69499999999999995"/>
    <n v="1"/>
    <x v="0"/>
    <x v="659"/>
    <x v="704"/>
    <s v="Al-Nasr (UAE) vs Al-Ittihad Kalba"/>
  </r>
  <r>
    <s v="Slask Wroclaw vs LKS Lódz / 1st Half Total 0.5"/>
    <s v="Fulltbet"/>
    <x v="1836"/>
    <n v="15.76"/>
    <n v="4.4999999999999998E-2"/>
    <n v="16.502617801047119"/>
    <x v="11"/>
    <x v="43"/>
    <x v="119"/>
    <n v="50"/>
    <x v="147"/>
    <n v="0.74261780104711939"/>
    <n v="0.31519999999999998"/>
    <n v="1"/>
    <x v="0"/>
    <x v="661"/>
    <x v="706"/>
    <s v="Slask Wroclaw vs LKS Lódz"/>
  </r>
  <r>
    <s v="SK Super Nova vs FK Tukums 2000 / 1st Half Total 0.5"/>
    <s v="Fulltbet"/>
    <x v="1837"/>
    <n v="17.690000000000001"/>
    <n v="4.4999999999999998E-2"/>
    <n v="18.523560209424087"/>
    <x v="11"/>
    <x v="43"/>
    <x v="231"/>
    <n v="50"/>
    <x v="147"/>
    <n v="0.83356020942408549"/>
    <n v="0.3538"/>
    <n v="1"/>
    <x v="0"/>
    <x v="662"/>
    <x v="707"/>
    <s v="SK Super Nova vs FK Tukums 2000"/>
  </r>
  <r>
    <s v="IK Sirius vs Örgryte IS / 1st Half Total 0.5"/>
    <s v="Fulltbet"/>
    <x v="1838"/>
    <n v="1.0900000000000001"/>
    <n v="4.4999999999999998E-2"/>
    <n v="1.1413612565445028"/>
    <x v="10"/>
    <x v="43"/>
    <x v="183"/>
    <n v="2"/>
    <x v="147"/>
    <n v="5.1361256544502742E-2"/>
    <n v="0.54500000000000004"/>
    <n v="1"/>
    <x v="0"/>
    <x v="496"/>
    <x v="708"/>
    <s v="IK Sirius vs Örgryte IS"/>
  </r>
  <r>
    <s v="Slask Wroclaw vs LKS Lódz / Both Teams To Score"/>
    <s v="Fulltbet"/>
    <x v="1839"/>
    <n v="27.76"/>
    <n v="4.4999999999999998E-2"/>
    <n v="29.068062827225134"/>
    <x v="11"/>
    <x v="14"/>
    <x v="192"/>
    <n v="50"/>
    <x v="147"/>
    <n v="1.3080628272251325"/>
    <n v="0.55520000000000003"/>
    <n v="1"/>
    <x v="0"/>
    <x v="661"/>
    <x v="706"/>
    <s v="Slask Wroclaw vs LKS Lódz"/>
  </r>
  <r>
    <s v="Al Ahli Club vs Al Hidd / Both Teams To Score"/>
    <s v="Fulltbet"/>
    <x v="1840"/>
    <n v="-50"/>
    <n v="4.4999999999999998E-2"/>
    <n v="-50"/>
    <x v="11"/>
    <x v="14"/>
    <x v="90"/>
    <n v="50"/>
    <x v="147"/>
    <n v="0"/>
    <n v="-1"/>
    <n v="0"/>
    <x v="0"/>
    <x v="663"/>
    <x v="410"/>
    <s v="Al Ahli Club vs Al Hidd"/>
  </r>
  <r>
    <s v="IK Sirius vs Örgryte IS / Total 1.5"/>
    <s v="Fulltbet"/>
    <x v="1841"/>
    <n v="-2.11"/>
    <n v="4.4999999999999998E-2"/>
    <n v="-2.11"/>
    <x v="10"/>
    <x v="32"/>
    <x v="19"/>
    <n v="4"/>
    <x v="147"/>
    <n v="0"/>
    <n v="-0.52749999999999997"/>
    <n v="0"/>
    <x v="0"/>
    <x v="496"/>
    <x v="708"/>
    <s v="IK Sirius vs Örgryte IS"/>
  </r>
  <r>
    <s v="Al-Jazira Club vs Al-Wasl / Correct Score"/>
    <s v="Fulltbet"/>
    <x v="1842"/>
    <n v="1.64"/>
    <n v="4.4999999999999998E-2"/>
    <n v="1.7172774869109948"/>
    <x v="10"/>
    <x v="31"/>
    <x v="155"/>
    <n v="49.88"/>
    <x v="147"/>
    <n v="7.7277486910994897E-2"/>
    <n v="3.2878909382518043E-2"/>
    <n v="1"/>
    <x v="0"/>
    <x v="664"/>
    <x v="709"/>
    <s v="Al-Jazira Club vs Al-Wasl"/>
  </r>
  <r>
    <s v="Khor Fakkan vs Al-Wahda Abu Dhabi / Match Odds"/>
    <s v="Fulltbet"/>
    <x v="1843"/>
    <n v="6.63"/>
    <n v="4.4999999999999998E-2"/>
    <n v="6.9424083769633507"/>
    <x v="10"/>
    <x v="38"/>
    <x v="37"/>
    <n v="49.97"/>
    <x v="147"/>
    <n v="0.31240837696335078"/>
    <n v="0.13267960776465879"/>
    <n v="1"/>
    <x v="0"/>
    <x v="665"/>
    <x v="469"/>
    <s v="Khor Fakkan vs Al-Wahda Abu Dhabi"/>
  </r>
  <r>
    <s v="Egersund vs Odds Ballklubb / Both Teams To Score"/>
    <s v="Fulltbet"/>
    <x v="1844"/>
    <n v="-50"/>
    <n v="4.4999999999999998E-2"/>
    <n v="-50"/>
    <x v="11"/>
    <x v="14"/>
    <x v="232"/>
    <n v="50"/>
    <x v="147"/>
    <n v="0"/>
    <n v="-1"/>
    <n v="0"/>
    <x v="0"/>
    <x v="666"/>
    <x v="710"/>
    <s v="Egersund vs Odds Ballklubb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</r>
  <r>
    <s v="IK Sirius vs Örgryte IS / Match Odds"/>
    <s v="Fulltbet"/>
    <x v="1845"/>
    <n v="1.6330499999999999"/>
    <n v="4.4999999999999998E-2"/>
    <n v="1.71"/>
    <x v="10"/>
    <x v="36"/>
    <x v="32"/>
    <n v="183.37"/>
    <x v="147"/>
    <n v="7.6950000000000074E-2"/>
    <n v="8.9057643016851162E-3"/>
    <n v="1"/>
    <x v="0"/>
    <x v="496"/>
    <x v="708"/>
    <s v="IK Sirius vs Örgryte IS"/>
  </r>
  <r>
    <s v="FC Vaduz vs FC Aarau / Both Teams To Score"/>
    <s v="Fulltbet"/>
    <x v="1846"/>
    <n v="23.88"/>
    <n v="4.4999999999999998E-2"/>
    <n v="25.005235602094242"/>
    <x v="11"/>
    <x v="14"/>
    <x v="222"/>
    <n v="50"/>
    <x v="147"/>
    <n v="1.1252356020942429"/>
    <n v="0.47759999999999997"/>
    <n v="1"/>
    <x v="0"/>
    <x v="289"/>
    <x v="711"/>
    <s v="FC Vaduz vs FC Aarau"/>
  </r>
  <r>
    <s v="Randers FC vs Odense BK / Correct Score"/>
    <s v="Fulltbet"/>
    <x v="1847"/>
    <n v="2.0699999999999998"/>
    <n v="4.4999999999999998E-2"/>
    <n v="2.1675392670157065"/>
    <x v="10"/>
    <x v="31"/>
    <x v="109"/>
    <n v="49.91"/>
    <x v="147"/>
    <n v="9.7539267015706699E-2"/>
    <n v="4.1474654377880185E-2"/>
    <n v="1"/>
    <x v="0"/>
    <x v="415"/>
    <x v="440"/>
    <s v="Randers FC vs Odense BK"/>
  </r>
  <r>
    <s v="Al-Taawoun Buraidah vs Al Ahli Jeddah / Total 1.5"/>
    <s v="Fulltbet"/>
    <x v="1848"/>
    <n v="-2.17"/>
    <n v="4.4999999999999998E-2"/>
    <n v="-2.17"/>
    <x v="10"/>
    <x v="32"/>
    <x v="81"/>
    <n v="4"/>
    <x v="147"/>
    <n v="0"/>
    <n v="-0.54249999999999998"/>
    <n v="0"/>
    <x v="0"/>
    <x v="328"/>
    <x v="252"/>
    <s v="Al-Taawoun Buraidah vs Al Ahli Jeddah"/>
  </r>
  <r>
    <s v="FC Yverdon-Sport vs FC Rapperswil Jona / Both Teams To Score"/>
    <s v="Fulltbet"/>
    <x v="1849"/>
    <n v="28.77"/>
    <n v="4.4999999999999998E-2"/>
    <n v="30.125654450261781"/>
    <x v="11"/>
    <x v="14"/>
    <x v="97"/>
    <n v="50"/>
    <x v="147"/>
    <n v="1.3556544502617811"/>
    <n v="0.57540000000000002"/>
    <n v="1"/>
    <x v="0"/>
    <x v="10"/>
    <x v="79"/>
    <s v="FC Yverdon-Sport vs FC Rapperswil Jona"/>
  </r>
  <r>
    <s v="Benfica vs Sporting de Braga / 1st Half Total 0.5"/>
    <s v="Fulltbet"/>
    <x v="1850"/>
    <n v="-2"/>
    <n v="4.4999999999999998E-2"/>
    <n v="-2"/>
    <x v="10"/>
    <x v="43"/>
    <x v="104"/>
    <n v="2"/>
    <x v="147"/>
    <n v="0"/>
    <n v="-1"/>
    <n v="0"/>
    <x v="0"/>
    <x v="431"/>
    <x v="180"/>
    <s v="Benfica vs Sporting de Braga"/>
  </r>
  <r>
    <s v="FC Yverdon-Sport vs FC Rapperswil Jona / Match Odds"/>
    <s v="Fulltbet"/>
    <x v="1851"/>
    <n v="1.91"/>
    <n v="4.4999999999999998E-2"/>
    <n v="2"/>
    <x v="10"/>
    <x v="48"/>
    <x v="233"/>
    <n v="50"/>
    <x v="147"/>
    <n v="9.000000000000008E-2"/>
    <n v="3.8199999999999998E-2"/>
    <n v="1"/>
    <x v="0"/>
    <x v="10"/>
    <x v="79"/>
    <s v="FC Yverdon-Sport vs FC Rapperswil Jona"/>
  </r>
  <r>
    <s v="Neuchâtel Xamax vs Etoile-Carouge FC / Match Odds"/>
    <s v="Fulltbet"/>
    <x v="1852"/>
    <n v="3.82"/>
    <n v="4.4999999999999998E-2"/>
    <n v="4"/>
    <x v="10"/>
    <x v="48"/>
    <x v="234"/>
    <n v="50"/>
    <x v="147"/>
    <n v="0.18000000000000016"/>
    <n v="7.6399999999999996E-2"/>
    <n v="1"/>
    <x v="0"/>
    <x v="667"/>
    <x v="10"/>
    <s v="Neuchâtel Xamax vs Etoile-Carouge FC"/>
  </r>
  <r>
    <s v="Neuchâtel Xamax vs Etoile-Carouge FC / Match Odds"/>
    <s v="Fulltbet"/>
    <x v="1852"/>
    <n v="19.892649999999996"/>
    <n v="4.4999999999999998E-2"/>
    <n v="20.83"/>
    <x v="11"/>
    <x v="44"/>
    <x v="235"/>
    <n v="49.99"/>
    <x v="147"/>
    <n v="0.93735000000000213"/>
    <n v="0.39793258651730334"/>
    <n v="1"/>
    <x v="0"/>
    <x v="667"/>
    <x v="10"/>
    <s v="Neuchâtel Xamax vs Etoile-Carouge FC"/>
  </r>
  <r>
    <s v="FC Vaduz vs FC Aarau / Correct Score"/>
    <s v="Fulltbet"/>
    <x v="1853"/>
    <n v="1.77"/>
    <n v="4.4999999999999998E-2"/>
    <n v="1.8534031413612566"/>
    <x v="10"/>
    <x v="31"/>
    <x v="35"/>
    <n v="49.95"/>
    <x v="147"/>
    <n v="8.3403141361256594E-2"/>
    <n v="3.5435435435435432E-2"/>
    <n v="1"/>
    <x v="0"/>
    <x v="289"/>
    <x v="711"/>
    <s v="FC Vaduz vs FC Aarau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</r>
  <r>
    <s v="Rayo Vallecano vs Girona / Total 0.5"/>
    <s v="Fulltbet"/>
    <x v="1855"/>
    <n v="2.56"/>
    <n v="4.4999999999999998E-2"/>
    <n v="2.6806282722513091"/>
    <x v="10"/>
    <x v="40"/>
    <x v="208"/>
    <n v="2"/>
    <x v="147"/>
    <n v="0.12062827225130901"/>
    <n v="1.28"/>
    <n v="1"/>
    <x v="0"/>
    <x v="293"/>
    <x v="274"/>
    <s v="Rayo Vallecano vs Girona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</r>
  <r>
    <s v="Tondela vs Moreirense FC / Match Odds"/>
    <s v="Fulltbet"/>
    <x v="1857"/>
    <n v="1.91"/>
    <n v="4.4999999999999998E-2"/>
    <n v="2"/>
    <x v="10"/>
    <x v="48"/>
    <x v="233"/>
    <n v="50"/>
    <x v="147"/>
    <n v="9.000000000000008E-2"/>
    <n v="3.8199999999999998E-2"/>
    <n v="1"/>
    <x v="0"/>
    <x v="668"/>
    <x v="712"/>
    <s v="Tondela vs Moreirense FC"/>
  </r>
  <r>
    <s v="Gil Vicente vs Futebol Clube de Arouca / Correct Score"/>
    <s v="Fulltbet"/>
    <x v="1858"/>
    <n v="3.08"/>
    <n v="4.4999999999999998E-2"/>
    <n v="3.2251308900523563"/>
    <x v="10"/>
    <x v="31"/>
    <x v="6"/>
    <n v="50.07"/>
    <x v="147"/>
    <n v="0.14513089005235624"/>
    <n v="6.1513880567205914E-2"/>
    <n v="1"/>
    <x v="0"/>
    <x v="4"/>
    <x v="504"/>
    <s v="Gil Vicente vs Futebol Clube de Arouca"/>
  </r>
  <r>
    <s v="Santa Clara vs Nacional da Madeira / Match Odds"/>
    <s v="Fulltbet"/>
    <x v="1859"/>
    <n v="2.58"/>
    <n v="4.4999999999999998E-2"/>
    <n v="2.7015706806282727"/>
    <x v="10"/>
    <x v="38"/>
    <x v="18"/>
    <n v="51.3"/>
    <x v="147"/>
    <n v="0.12157068062827259"/>
    <n v="5.0292397660818715E-2"/>
    <n v="1"/>
    <x v="0"/>
    <x v="161"/>
    <x v="547"/>
    <s v="Santa Clara vs Nacional da Madeira"/>
  </r>
  <r>
    <s v="Benfica vs Sporting de Braga / Match Odds"/>
    <s v="Fulltbet"/>
    <x v="1860"/>
    <n v="2.87"/>
    <n v="4.4999999999999998E-2"/>
    <n v="3.005235602094241"/>
    <x v="10"/>
    <x v="36"/>
    <x v="31"/>
    <n v="30"/>
    <x v="147"/>
    <n v="0.1352356020942409"/>
    <n v="9.5666666666666664E-2"/>
    <n v="1"/>
    <x v="0"/>
    <x v="431"/>
    <x v="180"/>
    <s v="Benfica vs Sporting de Braga"/>
  </r>
  <r>
    <s v="Mushuc Runa vs LDU Quito / Total 0.5"/>
    <s v="Fulltbet"/>
    <x v="1861"/>
    <n v="0.99"/>
    <n v="4.4999999999999998E-2"/>
    <n v="1.036649214659686"/>
    <x v="10"/>
    <x v="47"/>
    <x v="236"/>
    <n v="2"/>
    <x v="147"/>
    <n v="4.6649214659685967E-2"/>
    <n v="0.495"/>
    <n v="1"/>
    <x v="0"/>
    <x v="669"/>
    <x v="713"/>
    <s v="Mushuc Runa vs LDU Quito"/>
  </r>
  <r>
    <s v="Mohun Bagan Super Giants vs Inter Kashi / 1st Half Total 0.5"/>
    <s v="Fulltbet"/>
    <x v="1862"/>
    <n v="-2"/>
    <n v="4.4999999999999998E-2"/>
    <n v="-2"/>
    <x v="10"/>
    <x v="43"/>
    <x v="113"/>
    <n v="2"/>
    <x v="148"/>
    <n v="0"/>
    <n v="-1"/>
    <n v="0"/>
    <x v="0"/>
    <x v="670"/>
    <x v="714"/>
    <s v="Mohun Bagan Super Giants vs Inter Kashi"/>
  </r>
  <r>
    <s v="Celta de Vigo vs Levante UD / 1st Half Total 0.5"/>
    <s v="Fulltbet"/>
    <x v="1863"/>
    <n v="18.62"/>
    <n v="4.4999999999999998E-2"/>
    <n v="19.497382198952881"/>
    <x v="11"/>
    <x v="43"/>
    <x v="225"/>
    <n v="50"/>
    <x v="148"/>
    <n v="0.87738219895287983"/>
    <n v="0.37240000000000001"/>
    <n v="1"/>
    <x v="0"/>
    <x v="371"/>
    <x v="109"/>
    <s v="Celta de Vigo vs Levante UD"/>
  </r>
  <r>
    <s v="FK Mladá Boleslav vs FK Dukla Praha / Correct Score"/>
    <s v="Fulltbet"/>
    <x v="1864"/>
    <n v="1.71"/>
    <n v="4.4999999999999998E-2"/>
    <n v="1.7905759162303665"/>
    <x v="10"/>
    <x v="31"/>
    <x v="80"/>
    <n v="50.12"/>
    <x v="148"/>
    <n v="8.0575916230366529E-2"/>
    <n v="3.4118116520351155E-2"/>
    <n v="1"/>
    <x v="0"/>
    <x v="671"/>
    <x v="715"/>
    <s v="FK Mladá Boleslav vs FK Dukla Praha"/>
  </r>
  <r>
    <s v="Real Betis vs Elche CF / 1st Half Total 0.5"/>
    <s v="Fulltbet"/>
    <x v="1865"/>
    <n v="15.92"/>
    <n v="4.4999999999999998E-2"/>
    <n v="16.670157068062828"/>
    <x v="11"/>
    <x v="43"/>
    <x v="231"/>
    <n v="50"/>
    <x v="148"/>
    <n v="0.750157068062828"/>
    <n v="0.31840000000000002"/>
    <n v="1"/>
    <x v="0"/>
    <x v="78"/>
    <x v="424"/>
    <s v="Real Betis vs Elche CF"/>
  </r>
  <r>
    <s v="Al-Kholood Club vs Al-Akhdoud / Total 0.5"/>
    <s v="Fulltbet"/>
    <x v="1866"/>
    <n v="-2"/>
    <n v="4.4999999999999998E-2"/>
    <n v="-2"/>
    <x v="10"/>
    <x v="49"/>
    <x v="237"/>
    <n v="2"/>
    <x v="148"/>
    <n v="0"/>
    <n v="-1"/>
    <n v="0"/>
    <x v="0"/>
    <x v="333"/>
    <x v="358"/>
    <s v="Al-Kholood Club vs Al-Akhdoud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</r>
  <r>
    <s v="Hapoel Tel Aviv vs Hapoel Petah Tikva / Match Odds"/>
    <s v="Fulltbet"/>
    <x v="1868"/>
    <n v="1.85"/>
    <n v="4.4999999999999998E-2"/>
    <n v="1.9371727748691101"/>
    <x v="10"/>
    <x v="36"/>
    <x v="10"/>
    <n v="31.04"/>
    <x v="148"/>
    <n v="8.7172774869110015E-2"/>
    <n v="5.9600515463917529E-2"/>
    <n v="1"/>
    <x v="0"/>
    <x v="564"/>
    <x v="602"/>
    <s v="Hapoel Tel Aviv vs Hapoel Petah Tikva"/>
  </r>
  <r>
    <s v="Southampton vs Middlesbrough / 1st Half Total 0.5"/>
    <s v="Fulltbet"/>
    <x v="1869"/>
    <n v="18.149999999999999"/>
    <n v="4.4999999999999998E-2"/>
    <n v="19.005235602094242"/>
    <x v="11"/>
    <x v="43"/>
    <x v="238"/>
    <n v="50"/>
    <x v="148"/>
    <n v="0.85523560209424332"/>
    <n v="0.36299999999999999"/>
    <n v="1"/>
    <x v="0"/>
    <x v="171"/>
    <x v="221"/>
    <s v="Southampton vs Middlesbrough"/>
  </r>
  <r>
    <s v="Servette FC vs FC Lausanne-Sport / 1st Half Total 0.5"/>
    <s v="Fulltbet"/>
    <x v="1870"/>
    <n v="-50"/>
    <n v="4.4999999999999998E-2"/>
    <n v="-50"/>
    <x v="11"/>
    <x v="43"/>
    <x v="211"/>
    <n v="50"/>
    <x v="148"/>
    <n v="0"/>
    <n v="-1"/>
    <n v="0"/>
    <x v="0"/>
    <x v="672"/>
    <x v="716"/>
    <s v="Servette FC vs FC Lausanne-Sport"/>
  </r>
  <r>
    <s v="Real Betis vs Elche CF / Total 2.5"/>
    <s v="Fulltbet"/>
    <x v="1871"/>
    <n v="-5"/>
    <n v="4.4999999999999998E-2"/>
    <n v="-5"/>
    <x v="10"/>
    <x v="34"/>
    <x v="221"/>
    <n v="5"/>
    <x v="148"/>
    <n v="0"/>
    <n v="-1"/>
    <n v="0"/>
    <x v="0"/>
    <x v="78"/>
    <x v="424"/>
    <s v="Real Betis vs Elche CF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</r>
  <r>
    <s v="Al-Nassr Riyadh vs Al-Hilal Riyadh / Correct Score"/>
    <s v="Fulltbet"/>
    <x v="1873"/>
    <n v="1.9863999999999999"/>
    <n v="4.4999999999999998E-2"/>
    <n v="2.08"/>
    <x v="10"/>
    <x v="31"/>
    <x v="110"/>
    <n v="49.92"/>
    <x v="148"/>
    <n v="9.3600000000000128E-2"/>
    <n v="3.9791666666666663E-2"/>
    <n v="1"/>
    <x v="0"/>
    <x v="230"/>
    <x v="351"/>
    <s v="Al-Nassr Riyadh vs Al-Hilal Riyadh"/>
  </r>
  <r>
    <s v="Al-Nassr Riyadh vs Al-Hilal Riyadh / Match Odds"/>
    <s v="Fulltbet"/>
    <x v="1874"/>
    <n v="3.18"/>
    <n v="4.4999999999999998E-2"/>
    <n v="3.329842931937173"/>
    <x v="10"/>
    <x v="38"/>
    <x v="34"/>
    <n v="49.95"/>
    <x v="148"/>
    <n v="0.1498429319371728"/>
    <n v="6.3663663663663661E-2"/>
    <n v="1"/>
    <x v="0"/>
    <x v="230"/>
    <x v="351"/>
    <s v="Al-Nassr Riyadh vs Al-Hilal Riyadh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</r>
  <r>
    <s v="Real Betis vs Elche CF / Match Odds"/>
    <s v="Fulltbet"/>
    <x v="1876"/>
    <n v="94.92"/>
    <n v="4.4999999999999998E-2"/>
    <n v="99.392670157068068"/>
    <x v="3"/>
    <x v="7"/>
    <x v="203"/>
    <n v="495.02"/>
    <x v="148"/>
    <n v="4.472670157068066"/>
    <n v="0.19174982828976608"/>
    <n v="1"/>
    <x v="4"/>
    <x v="78"/>
    <x v="424"/>
    <s v="Real Betis vs Elche CF"/>
  </r>
  <r>
    <s v="Servette FC vs FC Lausanne-Sport / Correct Score"/>
    <s v="Fulltbet"/>
    <x v="1877"/>
    <n v="2.8076999999999996"/>
    <n v="4.4999999999999998E-2"/>
    <n v="2.94"/>
    <x v="10"/>
    <x v="31"/>
    <x v="24"/>
    <n v="54.39"/>
    <x v="148"/>
    <n v="0.13230000000000031"/>
    <n v="5.1621621621621615E-2"/>
    <n v="1"/>
    <x v="0"/>
    <x v="672"/>
    <x v="716"/>
    <s v="Servette FC vs FC Lausanne-Sport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</r>
  <r>
    <s v="Servette FC vs FC Lausanne-Sport / Match Odds"/>
    <s v="Fulltbet"/>
    <x v="1878"/>
    <n v="14.93"/>
    <n v="4.4999999999999998E-2"/>
    <n v="15.633507853403142"/>
    <x v="11"/>
    <x v="44"/>
    <x v="182"/>
    <n v="50.02"/>
    <x v="148"/>
    <n v="0.70350785340314204"/>
    <n v="0.29848060775689722"/>
    <n v="1"/>
    <x v="0"/>
    <x v="672"/>
    <x v="716"/>
    <s v="Servette FC vs FC Lausanne-Sport"/>
  </r>
  <r>
    <s v="FC Luzern vs FC Zürich / Match Odds"/>
    <s v="Fulltbet"/>
    <x v="1879"/>
    <n v="8.23"/>
    <n v="4.4999999999999998E-2"/>
    <n v="8.6178010471204196"/>
    <x v="11"/>
    <x v="44"/>
    <x v="121"/>
    <n v="50"/>
    <x v="148"/>
    <n v="0.38780104712041918"/>
    <n v="0.1646"/>
    <n v="1"/>
    <x v="0"/>
    <x v="0"/>
    <x v="193"/>
    <s v="FC Luzern vs FC Zürich"/>
  </r>
  <r>
    <s v="Grasshopper Club Zürich vs FC Winterthur / Correct Score"/>
    <s v="Fulltbet"/>
    <x v="1880"/>
    <n v="2.17"/>
    <n v="4.4999999999999998E-2"/>
    <n v="2.2722513089005236"/>
    <x v="10"/>
    <x v="31"/>
    <x v="7"/>
    <n v="49.94"/>
    <x v="148"/>
    <n v="0.1022513089005237"/>
    <n v="4.3452142571085303E-2"/>
    <n v="1"/>
    <x v="0"/>
    <x v="673"/>
    <x v="0"/>
    <s v="Grasshopper Club Zürich vs FC Winterthur"/>
  </r>
  <r>
    <s v="JS Saoura vs CR Belouizdad / Total 0.5"/>
    <s v="Fulltbet"/>
    <x v="1881"/>
    <n v="-2"/>
    <n v="4.4999999999999998E-2"/>
    <n v="-2"/>
    <x v="10"/>
    <x v="47"/>
    <x v="192"/>
    <n v="2"/>
    <x v="148"/>
    <n v="0"/>
    <n v="-1"/>
    <n v="0"/>
    <x v="0"/>
    <x v="674"/>
    <x v="717"/>
    <s v="JS Saoura vs CR Belouizdad"/>
  </r>
  <r>
    <s v="San Antonio vs Universitario de Vinto / Correct Score"/>
    <s v="Fulltbet"/>
    <x v="1882"/>
    <n v="2.27"/>
    <n v="4.4999999999999998E-2"/>
    <n v="2.3769633507853403"/>
    <x v="10"/>
    <x v="31"/>
    <x v="4"/>
    <n v="49.98"/>
    <x v="148"/>
    <n v="0.10696335078534025"/>
    <n v="4.5418167266906763E-2"/>
    <n v="1"/>
    <x v="0"/>
    <x v="101"/>
    <x v="140"/>
    <s v="San Antonio vs Universitario de Vinto"/>
  </r>
  <r>
    <s v="Osasuna vs Atlético de Madrid / Total 1.5"/>
    <s v="Fulltbet"/>
    <x v="1883"/>
    <n v="-2"/>
    <n v="4.4999999999999998E-2"/>
    <n v="-2"/>
    <x v="10"/>
    <x v="50"/>
    <x v="240"/>
    <n v="2"/>
    <x v="148"/>
    <n v="0"/>
    <n v="-1"/>
    <n v="0"/>
    <x v="0"/>
    <x v="104"/>
    <x v="205"/>
    <s v="Osasuna vs Atlético de Madrid"/>
  </r>
  <r>
    <s v="SC Internacional vs Athletic Club MG / Total 1.5"/>
    <s v="Fulltbet"/>
    <x v="1884"/>
    <n v="3.82"/>
    <n v="4.4999999999999998E-2"/>
    <n v="4"/>
    <x v="10"/>
    <x v="32"/>
    <x v="41"/>
    <n v="4"/>
    <x v="148"/>
    <n v="0.18000000000000016"/>
    <n v="0.95499999999999996"/>
    <n v="1"/>
    <x v="0"/>
    <x v="89"/>
    <x v="718"/>
    <s v="SC Internacional vs Athletic Club MG"/>
  </r>
  <r>
    <s v="Club Aurora vs CDT Real Oruro / Total 1.5"/>
    <s v="Fulltbet"/>
    <x v="1885"/>
    <n v="3.82"/>
    <n v="4.4999999999999998E-2"/>
    <n v="4"/>
    <x v="10"/>
    <x v="32"/>
    <x v="12"/>
    <n v="4"/>
    <x v="148"/>
    <n v="0.18000000000000016"/>
    <n v="0.95499999999999996"/>
    <n v="1"/>
    <x v="0"/>
    <x v="675"/>
    <x v="719"/>
    <s v="Club Aurora vs CDT Real Oruro"/>
  </r>
  <r>
    <s v="Club Aurora vs CDT Real Oruro / Correct Score"/>
    <s v="Fulltbet"/>
    <x v="1886"/>
    <n v="3.53"/>
    <n v="4.4999999999999998E-2"/>
    <n v="3.6963350785340312"/>
    <x v="10"/>
    <x v="31"/>
    <x v="17"/>
    <n v="49.95"/>
    <x v="148"/>
    <n v="0.1663350785340314"/>
    <n v="7.0670670670670663E-2"/>
    <n v="1"/>
    <x v="0"/>
    <x v="675"/>
    <x v="719"/>
    <s v="Club Aurora vs CDT Real Oruro"/>
  </r>
  <r>
    <s v="Cruzeiro vs Goiás EC / Total 1.5"/>
    <s v="Fulltbet"/>
    <x v="1887"/>
    <n v="-2.0499999999999998"/>
    <n v="4.4999999999999998E-2"/>
    <n v="-2.0499999999999998"/>
    <x v="10"/>
    <x v="32"/>
    <x v="116"/>
    <n v="4"/>
    <x v="148"/>
    <n v="0"/>
    <n v="-0.51249999999999996"/>
    <n v="0"/>
    <x v="0"/>
    <x v="482"/>
    <x v="720"/>
    <s v="Cruzeiro vs Goiás EC"/>
  </r>
  <r>
    <s v="Vissel Kobe vs Kyoto Sanga / Total 1.5"/>
    <s v="Fulltbet"/>
    <x v="1888"/>
    <n v="2.39"/>
    <n v="4.4999999999999998E-2"/>
    <n v="2.5026178010471205"/>
    <x v="10"/>
    <x v="35"/>
    <x v="222"/>
    <n v="5"/>
    <x v="149"/>
    <n v="0.11261780104712038"/>
    <n v="0.47800000000000004"/>
    <n v="1"/>
    <x v="0"/>
    <x v="676"/>
    <x v="721"/>
    <s v="Vissel Kobe vs Kyoto Sanga"/>
  </r>
  <r>
    <s v="Al-Raed Buraidah vs Abha / 1st Half Total 0.5"/>
    <s v="Fulltbet"/>
    <x v="1889"/>
    <n v="14.04"/>
    <n v="4.4999999999999998E-2"/>
    <n v="14.701570680628272"/>
    <x v="11"/>
    <x v="43"/>
    <x v="218"/>
    <n v="50"/>
    <x v="149"/>
    <n v="0.66157068062827307"/>
    <n v="0.28079999999999999"/>
    <n v="1"/>
    <x v="0"/>
    <x v="677"/>
    <x v="611"/>
    <s v="Al-Raed Buraidah vs Abha"/>
  </r>
  <r>
    <s v="Akademisk Boldklub vs Roskilde FC"/>
    <s v="Fulltbet"/>
    <x v="1890"/>
    <n v="-50"/>
    <n v="4.4999999999999998E-2"/>
    <n v="-50"/>
    <x v="11"/>
    <x v="44"/>
    <x v="241"/>
    <n v="50"/>
    <x v="149"/>
    <n v="0"/>
    <n v="-1"/>
    <n v="0"/>
    <x v="0"/>
    <x v="678"/>
    <x v="722"/>
    <e v="#VALUE!"/>
  </r>
  <r>
    <s v="Al-Kuwait vs Svay Rieng F.C. / 1st Half Total 0.5"/>
    <s v="Fulltbet"/>
    <x v="1891"/>
    <n v="15.4"/>
    <n v="4.4999999999999998E-2"/>
    <n v="16.125654450261781"/>
    <x v="11"/>
    <x v="43"/>
    <x v="242"/>
    <n v="50"/>
    <x v="149"/>
    <n v="0.72565445026178033"/>
    <n v="0.308"/>
    <n v="1"/>
    <x v="0"/>
    <x v="679"/>
    <x v="723"/>
    <s v="Al-Kuwait vs Svay Rieng F.C."/>
  </r>
  <r>
    <s v="Al-Tai FC vs Jeddah Club / Match Odds"/>
    <s v="Fulltbet"/>
    <x v="1892"/>
    <n v="-29.99"/>
    <n v="4.4999999999999998E-2"/>
    <n v="-29.99"/>
    <x v="10"/>
    <x v="36"/>
    <x v="0"/>
    <n v="29.99"/>
    <x v="149"/>
    <n v="0"/>
    <n v="-1"/>
    <n v="0"/>
    <x v="0"/>
    <x v="680"/>
    <x v="724"/>
    <s v="Al-Tai FC vs Jeddah Club"/>
  </r>
  <r>
    <s v="Villarreal vs Sevilla / 1st Half Total 0.5"/>
    <s v="Fulltbet"/>
    <x v="1893"/>
    <n v="19.100000000000001"/>
    <n v="4.4999999999999998E-2"/>
    <n v="20.000000000000004"/>
    <x v="11"/>
    <x v="43"/>
    <x v="50"/>
    <n v="50"/>
    <x v="149"/>
    <n v="0.90000000000000213"/>
    <n v="0.38200000000000001"/>
    <n v="1"/>
    <x v="0"/>
    <x v="69"/>
    <x v="522"/>
    <s v="Villarreal vs Sevilla"/>
  </r>
  <r>
    <s v="Helsingborgs IF vs IK Oddevold / 1st Half Total 0.5"/>
    <s v="Fulltbet"/>
    <x v="1894"/>
    <n v="17.36"/>
    <n v="4.4999999999999998E-2"/>
    <n v="18.178010471204189"/>
    <x v="11"/>
    <x v="43"/>
    <x v="129"/>
    <n v="50"/>
    <x v="149"/>
    <n v="0.81801047120418957"/>
    <n v="0.34720000000000001"/>
    <n v="1"/>
    <x v="0"/>
    <x v="681"/>
    <x v="725"/>
    <s v="Helsingborgs IF vs IK Oddevold"/>
  </r>
  <r>
    <s v="Stade Brestois 29 vs RC Strasbourg / Total 2.5"/>
    <s v="Fulltbet"/>
    <x v="1895"/>
    <n v="-5"/>
    <n v="4.4999999999999998E-2"/>
    <n v="-5"/>
    <x v="10"/>
    <x v="34"/>
    <x v="46"/>
    <n v="5"/>
    <x v="149"/>
    <n v="0"/>
    <n v="-1"/>
    <n v="0"/>
    <x v="0"/>
    <x v="216"/>
    <x v="590"/>
    <s v="Stade Brestois 29 vs RC Strasbourg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</r>
  <r>
    <s v="Crvena Zvezda vs Vojvodina Novi Sad"/>
    <s v="Fulltbet"/>
    <x v="1897"/>
    <n v="-50"/>
    <n v="4.4999999999999998E-2"/>
    <n v="-50"/>
    <x v="11"/>
    <x v="45"/>
    <x v="243"/>
    <n v="50"/>
    <x v="149"/>
    <n v="0"/>
    <n v="-1"/>
    <n v="0"/>
    <x v="0"/>
    <x v="180"/>
    <x v="726"/>
    <e v="#VALUE!"/>
  </r>
  <r>
    <s v="Dinamo Zagreb vs HNK Rijeka / Match Odds"/>
    <s v="Fulltbet"/>
    <x v="1898"/>
    <n v="8.5299999999999994"/>
    <n v="4.4999999999999998E-2"/>
    <n v="8.9319371727748695"/>
    <x v="11"/>
    <x v="44"/>
    <x v="85"/>
    <n v="50.01"/>
    <x v="149"/>
    <n v="0.40193717277487018"/>
    <n v="0.17056588682263546"/>
    <n v="1"/>
    <x v="0"/>
    <x v="70"/>
    <x v="727"/>
    <s v="Dinamo Zagreb vs HNK Rijeka"/>
  </r>
  <r>
    <s v="Helsingborgs IF vs IK Oddevold / Total 1.5"/>
    <s v="Fulltbet"/>
    <x v="1899"/>
    <n v="-2"/>
    <n v="4.4999999999999998E-2"/>
    <n v="-2"/>
    <x v="10"/>
    <x v="50"/>
    <x v="244"/>
    <n v="2"/>
    <x v="149"/>
    <n v="0"/>
    <n v="-1"/>
    <n v="0"/>
    <x v="0"/>
    <x v="681"/>
    <x v="725"/>
    <s v="Helsingborgs IF vs IK Oddevold"/>
  </r>
  <r>
    <s v="Almere City vs Willem II / 1st Half Total 0.5"/>
    <s v="Fulltbet"/>
    <x v="1900"/>
    <n v="16.75"/>
    <n v="4.4999999999999998E-2"/>
    <n v="17.539267015706805"/>
    <x v="11"/>
    <x v="43"/>
    <x v="45"/>
    <n v="50"/>
    <x v="149"/>
    <n v="0.78926701570680535"/>
    <n v="0.33500000000000002"/>
    <n v="1"/>
    <x v="0"/>
    <x v="62"/>
    <x v="470"/>
    <s v="Almere City vs Willem II"/>
  </r>
  <r>
    <s v="Ironi Tiberias vs Maccabi Bnei Raina / Match Odds"/>
    <s v="Fulltbet"/>
    <x v="1901"/>
    <n v="13.26"/>
    <n v="4.4999999999999998E-2"/>
    <n v="13.884816753926701"/>
    <x v="11"/>
    <x v="44"/>
    <x v="245"/>
    <n v="50"/>
    <x v="149"/>
    <n v="0.62481675392670155"/>
    <n v="0.26519999999999999"/>
    <n v="1"/>
    <x v="0"/>
    <x v="682"/>
    <x v="728"/>
    <s v="Ironi Tiberias vs Maccabi Bnei Raina"/>
  </r>
  <r>
    <s v="Maccabi Netanya vs Hapoel Haifa / Match Odds"/>
    <s v="Fulltbet"/>
    <x v="1902"/>
    <n v="20.32"/>
    <n v="4.4999999999999998E-2"/>
    <n v="21.277486910994767"/>
    <x v="11"/>
    <x v="44"/>
    <x v="146"/>
    <n v="50.01"/>
    <x v="149"/>
    <n v="0.95748691099476702"/>
    <n v="0.40631873625274945"/>
    <n v="1"/>
    <x v="0"/>
    <x v="683"/>
    <x v="380"/>
    <s v="Maccabi Netanya vs Hapoel Haifa"/>
  </r>
  <r>
    <s v="Villarreal vs Sevilla / Match Odds"/>
    <s v="Fulltbet"/>
    <x v="1903"/>
    <n v="-50.02"/>
    <n v="4.4999999999999998E-2"/>
    <n v="-50.02"/>
    <x v="11"/>
    <x v="44"/>
    <x v="153"/>
    <n v="50.02"/>
    <x v="149"/>
    <n v="0"/>
    <n v="-1"/>
    <n v="0"/>
    <x v="0"/>
    <x v="69"/>
    <x v="522"/>
    <s v="Villarreal vs Sevilla"/>
  </r>
  <r>
    <s v="Gençlerbirligi SK vs Trabzonspor / Both Teams To Score"/>
    <s v="Fulltbet"/>
    <x v="1904"/>
    <n v="55.39"/>
    <n v="4.4999999999999998E-2"/>
    <n v="58"/>
    <x v="11"/>
    <x v="14"/>
    <x v="83"/>
    <n v="50"/>
    <x v="149"/>
    <n v="2.6099999999999994"/>
    <n v="1.1078000000000001"/>
    <n v="1"/>
    <x v="0"/>
    <x v="684"/>
    <x v="235"/>
    <s v="Gençlerbirligi SK vs Trabzonspor"/>
  </r>
  <r>
    <s v="Lazio vs Internazionale / 1st Half Total 0.5"/>
    <s v="Fulltbet"/>
    <x v="1905"/>
    <n v="21.49"/>
    <n v="4.4999999999999998E-2"/>
    <n v="22.502617801047119"/>
    <x v="11"/>
    <x v="43"/>
    <x v="172"/>
    <n v="50"/>
    <x v="149"/>
    <n v="1.0126178010471207"/>
    <n v="0.42979999999999996"/>
    <n v="1"/>
    <x v="0"/>
    <x v="185"/>
    <x v="244"/>
    <s v="Lazio vs Internazionale"/>
  </r>
  <r>
    <s v="Motherwell vs Celtic / 1st Half Total 0.5"/>
    <s v="Fulltbet"/>
    <x v="1906"/>
    <n v="13.84"/>
    <n v="4.4999999999999998E-2"/>
    <n v="14.492146596858639"/>
    <x v="11"/>
    <x v="43"/>
    <x v="218"/>
    <n v="49.96"/>
    <x v="149"/>
    <n v="0.65214659685863907"/>
    <n v="0.27702161729383507"/>
    <n v="1"/>
    <x v="0"/>
    <x v="182"/>
    <x v="166"/>
    <s v="Motherwell vs Celtic"/>
  </r>
  <r>
    <s v="RC Lens vs Paris Saint-Germain / 1st Half Total 0.5"/>
    <s v="Fulltbet"/>
    <x v="1907"/>
    <n v="12.91"/>
    <n v="4.4999999999999998E-2"/>
    <n v="13.518324607329843"/>
    <x v="11"/>
    <x v="43"/>
    <x v="209"/>
    <n v="50"/>
    <x v="149"/>
    <n v="0.60832460732984295"/>
    <n v="0.25819999999999999"/>
    <n v="1"/>
    <x v="0"/>
    <x v="147"/>
    <x v="120"/>
    <s v="RC Lens vs Paris Saint-Germain"/>
  </r>
  <r>
    <s v="RC Lens vs Paris Saint-Germain / Total 0.5"/>
    <s v="Fulltbet"/>
    <x v="1908"/>
    <n v="0.12"/>
    <n v="4.4999999999999998E-2"/>
    <n v="0.1256544502617801"/>
    <x v="10"/>
    <x v="49"/>
    <x v="246"/>
    <n v="2"/>
    <x v="149"/>
    <n v="5.6544502617801029E-3"/>
    <n v="0.06"/>
    <n v="1"/>
    <x v="0"/>
    <x v="147"/>
    <x v="120"/>
    <s v="RC Lens vs Paris Saint-Germain"/>
  </r>
  <r>
    <s v="Manchester City vs Crystal Palace / 1st Half Total 0.5"/>
    <s v="Fulltbet"/>
    <x v="1909"/>
    <n v="1.1200000000000001"/>
    <n v="4.4999999999999998E-2"/>
    <n v="1.1727748691099478"/>
    <x v="10"/>
    <x v="43"/>
    <x v="197"/>
    <n v="2"/>
    <x v="149"/>
    <n v="5.2774869109947664E-2"/>
    <n v="0.56000000000000005"/>
    <n v="1"/>
    <x v="0"/>
    <x v="155"/>
    <x v="200"/>
    <s v="Manchester City vs Crystal Palace"/>
  </r>
  <r>
    <s v="Manchester City vs Crystal Palace / Total 1.5"/>
    <s v="Fulltbet"/>
    <x v="1910"/>
    <n v="3.82"/>
    <n v="4.4999999999999998E-2"/>
    <n v="4"/>
    <x v="10"/>
    <x v="32"/>
    <x v="0"/>
    <n v="4"/>
    <x v="149"/>
    <n v="0.18000000000000016"/>
    <n v="0.95499999999999996"/>
    <n v="1"/>
    <x v="0"/>
    <x v="155"/>
    <x v="200"/>
    <s v="Manchester City vs Crystal Palace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</r>
  <r>
    <s v="SK Slavia Praha vs FK Jablonec / Match Odds"/>
    <s v="Fulltbet"/>
    <x v="1912"/>
    <n v="7.02"/>
    <n v="4.4999999999999998E-2"/>
    <n v="7.3507853403141361"/>
    <x v="11"/>
    <x v="44"/>
    <x v="44"/>
    <n v="49.98"/>
    <x v="149"/>
    <n v="0.33078534031413653"/>
    <n v="0.14045618247298919"/>
    <n v="1"/>
    <x v="0"/>
    <x v="279"/>
    <x v="729"/>
    <s v="SK Slavia Praha vs FK Jablonec"/>
  </r>
  <r>
    <s v="Rakow Czestochowa vs Jagiellonia Bialystok / Total 1.5"/>
    <s v="Fulltbet"/>
    <x v="1913"/>
    <n v="-2"/>
    <n v="4.4999999999999998E-2"/>
    <n v="-2"/>
    <x v="10"/>
    <x v="50"/>
    <x v="182"/>
    <n v="2"/>
    <x v="149"/>
    <n v="0"/>
    <n v="-1"/>
    <n v="0"/>
    <x v="0"/>
    <x v="391"/>
    <x v="174"/>
    <s v="Rakow Czestochowa vs Jagiellonia Bialystok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</r>
  <r>
    <s v="Rangers vs Hibernian / Match Odds"/>
    <s v="Fulltbet"/>
    <x v="1915"/>
    <n v="-9.9"/>
    <n v="4.4999999999999998E-2"/>
    <n v="-9.9"/>
    <x v="10"/>
    <x v="41"/>
    <x v="150"/>
    <n v="9.9"/>
    <x v="149"/>
    <n v="0"/>
    <n v="-1"/>
    <n v="0"/>
    <x v="0"/>
    <x v="12"/>
    <x v="444"/>
    <s v="Rangers vs Hibernian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</r>
  <r>
    <s v="RC Lens vs Paris Saint-Germain / Total 1.5"/>
    <s v="Fulltbet"/>
    <x v="1917"/>
    <n v="-4.3900000000000006"/>
    <n v="4.4999999999999998E-2"/>
    <n v="-4.3900000000000006"/>
    <x v="10"/>
    <x v="32"/>
    <x v="5"/>
    <n v="4"/>
    <x v="149"/>
    <n v="0"/>
    <n v="-1.0975000000000001"/>
    <n v="0"/>
    <x v="0"/>
    <x v="147"/>
    <x v="120"/>
    <s v="RC Lens vs Paris Saint-Germain"/>
  </r>
  <r>
    <s v="RC Lens vs Paris Saint-Germain / Total 1.5"/>
    <s v="Fulltbet"/>
    <x v="1917"/>
    <n v="7.38"/>
    <n v="1.9E-2"/>
    <n v="7.522935779816514"/>
    <x v="10"/>
    <x v="50"/>
    <x v="247"/>
    <n v="2"/>
    <x v="149"/>
    <n v="0.14293577981651406"/>
    <n v="3.69"/>
    <n v="1"/>
    <x v="0"/>
    <x v="147"/>
    <x v="120"/>
    <s v="RC Lens vs Paris Saint-Germain"/>
  </r>
  <r>
    <s v="RC Lens vs Paris Saint-Germain / Half Time/Full Time"/>
    <s v="Fulltbet"/>
    <x v="1918"/>
    <n v="69.790000000000006"/>
    <n v="4.4999999999999998E-2"/>
    <n v="73.078534031413625"/>
    <x v="3"/>
    <x v="24"/>
    <x v="116"/>
    <n v="380.02"/>
    <x v="149"/>
    <n v="3.2885340314136187"/>
    <n v="0.18364822904057684"/>
    <n v="1"/>
    <x v="2"/>
    <x v="147"/>
    <x v="120"/>
    <s v="RC Lens vs Paris Saint-Germain"/>
  </r>
  <r>
    <s v="Deportivo Alaves vs FC Barcelona / Total 3.5"/>
    <s v="Fulltbet"/>
    <x v="1919"/>
    <n v="2.72"/>
    <n v="4.4999999999999998E-2"/>
    <n v="2.848167539267016"/>
    <x v="10"/>
    <x v="33"/>
    <x v="47"/>
    <n v="10"/>
    <x v="149"/>
    <n v="0.12816753926701585"/>
    <n v="0.27200000000000002"/>
    <n v="1"/>
    <x v="0"/>
    <x v="685"/>
    <x v="81"/>
    <s v="Deportivo Alaves vs FC Barcelona"/>
  </r>
  <r>
    <s v="Deportivo Alaves vs FC Barcelona / Total 2.5"/>
    <s v="Fulltbet"/>
    <x v="1920"/>
    <n v="6.34"/>
    <n v="4.4999999999999998E-2"/>
    <n v="6.6387434554973828"/>
    <x v="10"/>
    <x v="34"/>
    <x v="248"/>
    <n v="5"/>
    <x v="149"/>
    <n v="0.2987434554973829"/>
    <n v="1.268"/>
    <n v="1"/>
    <x v="0"/>
    <x v="685"/>
    <x v="81"/>
    <s v="Deportivo Alaves vs FC Barcelona"/>
  </r>
  <r>
    <s v="Vasco da Gama vs Paysandu PA / Total 1.5"/>
    <s v="Fulltbet"/>
    <x v="1921"/>
    <n v="3.82"/>
    <n v="4.4999999999999998E-2"/>
    <n v="4"/>
    <x v="10"/>
    <x v="32"/>
    <x v="43"/>
    <n v="4"/>
    <x v="149"/>
    <n v="0.18000000000000016"/>
    <n v="0.95499999999999996"/>
    <n v="1"/>
    <x v="0"/>
    <x v="477"/>
    <x v="730"/>
    <s v="Vasco da Gama vs Paysandu PA"/>
  </r>
  <r>
    <s v="Club Independiente Petrolero vs Blooming Santa Cruz / Total 1.5"/>
    <s v="Fulltbet"/>
    <x v="1922"/>
    <n v="3.82"/>
    <n v="4.4999999999999998E-2"/>
    <n v="4"/>
    <x v="10"/>
    <x v="32"/>
    <x v="33"/>
    <n v="4"/>
    <x v="149"/>
    <n v="0.18000000000000016"/>
    <n v="0.95499999999999996"/>
    <n v="1"/>
    <x v="0"/>
    <x v="525"/>
    <x v="26"/>
    <s v="Club Independiente Petrolero vs Blooming Santa Cruz"/>
  </r>
  <r>
    <s v="Club Independiente Petrolero vs Blooming Santa Cruz / Correct Score"/>
    <s v="Fulltbet"/>
    <x v="1923"/>
    <n v="2.81"/>
    <n v="4.4999999999999998E-2"/>
    <n v="2.9424083769633511"/>
    <x v="10"/>
    <x v="31"/>
    <x v="30"/>
    <n v="49.98"/>
    <x v="149"/>
    <n v="0.13240837696335106"/>
    <n v="5.6222488995598244E-2"/>
    <n v="1"/>
    <x v="0"/>
    <x v="525"/>
    <x v="26"/>
    <s v="Club Independiente Petrolero vs Blooming Santa Cruz"/>
  </r>
  <r>
    <s v="DC United vs Chicago Fire / 1st Half Total 0.5"/>
    <s v="Fulltbet"/>
    <x v="1924"/>
    <n v="16.75"/>
    <n v="4.4999999999999998E-2"/>
    <n v="17.539267015706805"/>
    <x v="11"/>
    <x v="43"/>
    <x v="45"/>
    <n v="50"/>
    <x v="149"/>
    <n v="0.78926701570680535"/>
    <n v="0.33500000000000002"/>
    <n v="1"/>
    <x v="0"/>
    <x v="686"/>
    <x v="553"/>
    <s v="DC United vs Chicago Fire"/>
  </r>
  <r>
    <s v="FC Dallas vs Vancouver Whitecaps / 1st Half Total 0.5"/>
    <s v="Fulltbet"/>
    <x v="1925"/>
    <n v="15.4"/>
    <n v="4.4999999999999998E-2"/>
    <n v="16.125654450261781"/>
    <x v="11"/>
    <x v="43"/>
    <x v="242"/>
    <n v="50"/>
    <x v="149"/>
    <n v="0.72565445026178033"/>
    <n v="0.308"/>
    <n v="1"/>
    <x v="0"/>
    <x v="512"/>
    <x v="624"/>
    <s v="FC Dallas vs Vancouver Whitecaps"/>
  </r>
  <r>
    <s v="Clube do Remo vs Esporte Clube Bahia / 1st Half Total 0.5"/>
    <s v="Fulltbet"/>
    <x v="1926"/>
    <n v="20.53"/>
    <n v="4.4999999999999998E-2"/>
    <n v="21.497382198952881"/>
    <x v="11"/>
    <x v="43"/>
    <x v="162"/>
    <n v="50"/>
    <x v="149"/>
    <n v="0.96738219895287969"/>
    <n v="0.41060000000000002"/>
    <n v="1"/>
    <x v="0"/>
    <x v="469"/>
    <x v="92"/>
    <s v="Clube do Remo vs Esporte Clube Bahia"/>
  </r>
  <r>
    <s v="Charlotte FC vs New York City FC / Correct Score"/>
    <s v="Fulltbet"/>
    <x v="1927"/>
    <n v="1.64"/>
    <n v="4.4999999999999998E-2"/>
    <n v="1.7172774869109948"/>
    <x v="10"/>
    <x v="31"/>
    <x v="155"/>
    <n v="49.98"/>
    <x v="149"/>
    <n v="7.7277486910994897E-2"/>
    <n v="3.2813125250100043E-2"/>
    <n v="1"/>
    <x v="0"/>
    <x v="631"/>
    <x v="731"/>
    <s v="Charlotte FC vs New York City FC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</r>
  <r>
    <s v="DC United vs Chicago Fire / Total 1.5"/>
    <s v="Fulltbet"/>
    <x v="1929"/>
    <n v="-1.57"/>
    <n v="4.4999999999999998E-2"/>
    <n v="-1.57"/>
    <x v="10"/>
    <x v="32"/>
    <x v="25"/>
    <n v="4"/>
    <x v="149"/>
    <n v="0"/>
    <n v="-0.39250000000000002"/>
    <n v="0"/>
    <x v="0"/>
    <x v="686"/>
    <x v="553"/>
    <s v="DC United vs Chicago Fire"/>
  </r>
  <r>
    <s v="FC Cincinnati vs Inter Miami CF / Correct Score"/>
    <s v="Fulltbet"/>
    <x v="1930"/>
    <n v="1.64"/>
    <n v="4.4999999999999998E-2"/>
    <n v="1.7172774869109948"/>
    <x v="10"/>
    <x v="31"/>
    <x v="155"/>
    <n v="49.88"/>
    <x v="149"/>
    <n v="7.7277486910994897E-2"/>
    <n v="3.2878909382518043E-2"/>
    <n v="1"/>
    <x v="0"/>
    <x v="497"/>
    <x v="533"/>
    <s v="FC Cincinnati vs Inter Miami CF"/>
  </r>
  <r>
    <s v="San Diego FC vs Austin FC / 1st Half Total 0.5"/>
    <s v="Fulltbet"/>
    <x v="1931"/>
    <n v="12.91"/>
    <n v="4.4999999999999998E-2"/>
    <n v="13.518324607329843"/>
    <x v="11"/>
    <x v="43"/>
    <x v="209"/>
    <n v="50"/>
    <x v="149"/>
    <n v="0.60832460732984295"/>
    <n v="0.25819999999999999"/>
    <n v="1"/>
    <x v="0"/>
    <x v="588"/>
    <x v="566"/>
    <s v="San Diego FC vs Austin FC"/>
  </r>
  <r>
    <s v="Club Bolívar vs Nacional Potosi / Match Odds"/>
    <s v="Fulltbet"/>
    <x v="1932"/>
    <n v="2.73"/>
    <n v="4.4999999999999998E-2"/>
    <n v="2.8586387434554976"/>
    <x v="10"/>
    <x v="36"/>
    <x v="23"/>
    <n v="30.03"/>
    <x v="149"/>
    <n v="0.12863874345549764"/>
    <n v="9.0909090909090912E-2"/>
    <n v="1"/>
    <x v="0"/>
    <x v="687"/>
    <x v="733"/>
    <s v="Club Bolívar vs Nacional Potosi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</r>
  <r>
    <s v="Seattle Sounders vs San Jose Earthquakes / Total 1.5"/>
    <s v="Fulltbet"/>
    <x v="1934"/>
    <n v="3.82"/>
    <n v="4.4999999999999998E-2"/>
    <n v="4"/>
    <x v="10"/>
    <x v="32"/>
    <x v="31"/>
    <n v="4"/>
    <x v="149"/>
    <n v="0.18000000000000016"/>
    <n v="0.95499999999999996"/>
    <n v="1"/>
    <x v="0"/>
    <x v="636"/>
    <x v="557"/>
    <s v="Seattle Sounders vs San Jose Earthquakes"/>
  </r>
  <r>
    <s v="Real Salt Lake vs Houston Dynamo / 1st Half Total 0.5"/>
    <s v="Fulltbet"/>
    <x v="1935"/>
    <n v="-50"/>
    <n v="4.4999999999999998E-2"/>
    <n v="-50"/>
    <x v="11"/>
    <x v="43"/>
    <x v="211"/>
    <n v="50"/>
    <x v="149"/>
    <n v="0"/>
    <n v="-1"/>
    <n v="0"/>
    <x v="0"/>
    <x v="688"/>
    <x v="734"/>
    <s v="Real Salt Lake vs Houston Dynamo"/>
  </r>
  <r>
    <s v="Minnesota United vs Colorado Rapids / Correct Score"/>
    <s v="Fulltbet"/>
    <x v="1936"/>
    <n v="3.53"/>
    <n v="4.4999999999999998E-2"/>
    <n v="3.6963350785340312"/>
    <x v="10"/>
    <x v="31"/>
    <x v="17"/>
    <n v="49.95"/>
    <x v="149"/>
    <n v="0.1663350785340314"/>
    <n v="7.0670670670670663E-2"/>
    <n v="1"/>
    <x v="0"/>
    <x v="499"/>
    <x v="622"/>
    <s v="Minnesota United vs Colorado Rapids"/>
  </r>
  <r>
    <s v="Minnesota United vs Colorado Rapids / Total 1.5"/>
    <s v="Fulltbet"/>
    <x v="1937"/>
    <n v="-2.72"/>
    <n v="4.4999999999999998E-2"/>
    <n v="-2.72"/>
    <x v="10"/>
    <x v="32"/>
    <x v="38"/>
    <n v="4"/>
    <x v="149"/>
    <n v="0"/>
    <n v="-0.68"/>
    <n v="0"/>
    <x v="0"/>
    <x v="499"/>
    <x v="622"/>
    <s v="Minnesota United vs Colorado Rapids"/>
  </r>
  <r>
    <s v="Saint Louis City SC vs Los Angeles FC / Match Odds"/>
    <s v="Fulltbet"/>
    <x v="1938"/>
    <n v="4.3"/>
    <n v="4.4999999999999998E-2"/>
    <n v="4.5026178010471201"/>
    <x v="10"/>
    <x v="48"/>
    <x v="249"/>
    <n v="50"/>
    <x v="149"/>
    <n v="0.20261780104712024"/>
    <n v="8.5999999999999993E-2"/>
    <n v="1"/>
    <x v="0"/>
    <x v="689"/>
    <x v="623"/>
    <s v="Saint Louis City SC vs Los Angeles FC"/>
  </r>
  <r>
    <s v="Real Salt Lake vs Houston Dynamo / Correct Score"/>
    <s v="Fulltbet"/>
    <x v="1939"/>
    <n v="2.65"/>
    <n v="4.4999999999999998E-2"/>
    <n v="2.7748691099476441"/>
    <x v="10"/>
    <x v="31"/>
    <x v="21"/>
    <n v="50.04"/>
    <x v="150"/>
    <n v="0.12486910994764422"/>
    <n v="5.2957633892885693E-2"/>
    <n v="1"/>
    <x v="0"/>
    <x v="688"/>
    <x v="734"/>
    <s v="Real Salt Lake vs Houston Dynamo"/>
  </r>
  <r>
    <s v="Real Salt Lake vs Houston Dynamo / Total 3.5"/>
    <s v="Fulltbet"/>
    <x v="1940"/>
    <n v="1.65"/>
    <n v="4.4999999999999998E-2"/>
    <n v="1.7277486910994764"/>
    <x v="10"/>
    <x v="33"/>
    <x v="171"/>
    <n v="10"/>
    <x v="150"/>
    <n v="7.7748691099476464E-2"/>
    <n v="0.16499999999999998"/>
    <n v="1"/>
    <x v="0"/>
    <x v="688"/>
    <x v="734"/>
    <s v="Real Salt Lake vs Houston Dynamo"/>
  </r>
  <r>
    <s v="Real Salt Lake vs Houston Dynamo / Both Teams To Score"/>
    <s v="Fulltbet"/>
    <x v="1941"/>
    <n v="-50"/>
    <n v="4.4999999999999998E-2"/>
    <n v="-50"/>
    <x v="11"/>
    <x v="14"/>
    <x v="104"/>
    <n v="50"/>
    <x v="150"/>
    <n v="0"/>
    <n v="-1"/>
    <n v="0"/>
    <x v="0"/>
    <x v="688"/>
    <x v="734"/>
    <s v="Real Salt Lake vs Houston Dynamo"/>
  </r>
  <r>
    <s v="San Diego FC vs Austin FC / Both Teams To Score"/>
    <s v="Fulltbet"/>
    <x v="1942"/>
    <n v="-50"/>
    <n v="4.4999999999999998E-2"/>
    <n v="-50"/>
    <x v="11"/>
    <x v="14"/>
    <x v="198"/>
    <n v="50"/>
    <x v="150"/>
    <n v="0"/>
    <n v="-1"/>
    <n v="0"/>
    <x v="0"/>
    <x v="588"/>
    <x v="566"/>
    <s v="San Diego FC vs Austin FC"/>
  </r>
  <r>
    <s v="Gomel FC vs Baranovichi FC"/>
    <s v="Fulltbet"/>
    <x v="1943"/>
    <n v="18.2"/>
    <n v="0"/>
    <n v="18.2"/>
    <x v="11"/>
    <x v="43"/>
    <x v="214"/>
    <n v="50"/>
    <x v="150"/>
    <n v="0"/>
    <n v="0.36399999999999999"/>
    <n v="1"/>
    <x v="0"/>
    <x v="690"/>
    <x v="735"/>
    <e v="#VALUE!"/>
  </r>
  <r>
    <s v="Gomel FC vs Baranovichi FC"/>
    <s v="Fulltbet"/>
    <x v="1944"/>
    <n v="-50"/>
    <n v="4.4999999999999998E-2"/>
    <n v="-50"/>
    <x v="11"/>
    <x v="45"/>
    <x v="250"/>
    <n v="50"/>
    <x v="150"/>
    <n v="0"/>
    <n v="-1"/>
    <n v="0"/>
    <x v="0"/>
    <x v="690"/>
    <x v="735"/>
    <e v="#VALUE!"/>
  </r>
  <r>
    <s v="FC Basel vs FC St. Gallen / Total 3.5"/>
    <s v="Fulltbet"/>
    <x v="1945"/>
    <n v="1.8"/>
    <n v="4.4999999999999998E-2"/>
    <n v="1.8848167539267018"/>
    <x v="10"/>
    <x v="33"/>
    <x v="172"/>
    <n v="10"/>
    <x v="150"/>
    <n v="8.4816753926701738E-2"/>
    <n v="0.18"/>
    <n v="1"/>
    <x v="0"/>
    <x v="19"/>
    <x v="19"/>
    <s v="FC Basel vs FC St. Gallen"/>
  </r>
  <r>
    <s v="FC Sion vs FC Lugano / Correct Score"/>
    <s v="Fulltbet"/>
    <x v="1946"/>
    <n v="1.64"/>
    <n v="4.4999999999999998E-2"/>
    <n v="1.7172774869109948"/>
    <x v="10"/>
    <x v="31"/>
    <x v="155"/>
    <n v="49.88"/>
    <x v="150"/>
    <n v="7.7277486910994897E-2"/>
    <n v="3.2878909382518043E-2"/>
    <n v="1"/>
    <x v="0"/>
    <x v="411"/>
    <x v="461"/>
    <s v="FC Sion vs FC Lugano"/>
  </r>
  <r>
    <s v="FC Sion vs FC Lugano / Match Odds"/>
    <s v="Fulltbet"/>
    <x v="1947"/>
    <n v="17.36"/>
    <n v="4.4999999999999998E-2"/>
    <n v="18.178010471204189"/>
    <x v="11"/>
    <x v="44"/>
    <x v="163"/>
    <n v="50"/>
    <x v="150"/>
    <n v="0.81801047120418957"/>
    <n v="0.34720000000000001"/>
    <n v="1"/>
    <x v="0"/>
    <x v="411"/>
    <x v="461"/>
    <s v="FC Sion vs FC Lugano"/>
  </r>
  <r>
    <s v="FC Basel vs FC St. Gallen / Correct Score"/>
    <s v="Fulltbet"/>
    <x v="1948"/>
    <n v="3.29"/>
    <n v="4.4999999999999998E-2"/>
    <n v="3.4450261780104712"/>
    <x v="10"/>
    <x v="31"/>
    <x v="29"/>
    <n v="50.03"/>
    <x v="150"/>
    <n v="0.15502617801047114"/>
    <n v="6.5760543673795718E-2"/>
    <n v="1"/>
    <x v="0"/>
    <x v="19"/>
    <x v="19"/>
    <s v="FC Basel vs FC St. Gallen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</r>
  <r>
    <s v="FC København vs FC Midtjylland / Both Teams To Score"/>
    <s v="Fulltbet"/>
    <x v="1950"/>
    <n v="-50"/>
    <n v="4.4999999999999998E-2"/>
    <n v="-50"/>
    <x v="11"/>
    <x v="14"/>
    <x v="251"/>
    <n v="50"/>
    <x v="150"/>
    <n v="0"/>
    <n v="-1"/>
    <n v="0"/>
    <x v="0"/>
    <x v="85"/>
    <x v="694"/>
    <s v="FC København vs FC Midtjylland"/>
  </r>
  <r>
    <s v="Al-Fateh Al-Hasa vs Al Najma Club / Total 2.5"/>
    <s v="Fulltbet"/>
    <x v="1951"/>
    <n v="6.49"/>
    <n v="4.4999999999999998E-2"/>
    <n v="6.7958115183246077"/>
    <x v="10"/>
    <x v="34"/>
    <x v="252"/>
    <n v="5"/>
    <x v="150"/>
    <n v="0.30581151832460751"/>
    <n v="1.298"/>
    <n v="1"/>
    <x v="0"/>
    <x v="248"/>
    <x v="295"/>
    <s v="Al-Fateh Al-Hasa vs Al Najma Club"/>
  </r>
  <r>
    <s v="Al-Fateh Al-Hasa vs Al Najma Club / Match Odds"/>
    <s v="Fulltbet"/>
    <x v="1952"/>
    <n v="1.43"/>
    <n v="4.4999999999999998E-2"/>
    <n v="1.4973821989528795"/>
    <x v="10"/>
    <x v="48"/>
    <x v="253"/>
    <n v="50"/>
    <x v="150"/>
    <n v="6.7382198952879557E-2"/>
    <n v="2.86E-2"/>
    <n v="1"/>
    <x v="0"/>
    <x v="248"/>
    <x v="295"/>
    <s v="Al-Fateh Al-Hasa vs Al Najma Club"/>
  </r>
  <r>
    <s v="Girona vs Real Sociedad / 1st Half Total 0.5"/>
    <s v="Fulltbet"/>
    <x v="1953"/>
    <n v="17.190000000000001"/>
    <n v="4.4999999999999998E-2"/>
    <n v="18.000000000000004"/>
    <x v="11"/>
    <x v="43"/>
    <x v="129"/>
    <n v="50"/>
    <x v="150"/>
    <n v="0.81000000000000227"/>
    <n v="0.34380000000000005"/>
    <n v="1"/>
    <x v="0"/>
    <x v="191"/>
    <x v="457"/>
    <s v="Girona vs Real Sociedad"/>
  </r>
  <r>
    <s v="Girona vs Real Sociedad / Total 0.5"/>
    <s v="Fulltbet"/>
    <x v="1953"/>
    <n v="0.15"/>
    <n v="4.4999999999999998E-2"/>
    <n v="0.15706806282722513"/>
    <x v="10"/>
    <x v="49"/>
    <x v="234"/>
    <n v="2"/>
    <x v="150"/>
    <n v="7.0680628272251356E-3"/>
    <n v="7.4999999999999997E-2"/>
    <n v="1"/>
    <x v="0"/>
    <x v="191"/>
    <x v="457"/>
    <s v="Girona vs Real Sociedad"/>
  </r>
  <r>
    <s v="Girona vs Real Sociedad / Total 1.5"/>
    <s v="Fulltbet"/>
    <x v="1954"/>
    <n v="-2.4700000000000002"/>
    <n v="4.4999999999999998E-2"/>
    <n v="-2.4700000000000002"/>
    <x v="10"/>
    <x v="32"/>
    <x v="31"/>
    <n v="4"/>
    <x v="150"/>
    <n v="0"/>
    <n v="-0.61750000000000005"/>
    <n v="0"/>
    <x v="0"/>
    <x v="191"/>
    <x v="457"/>
    <s v="Girona vs Real Sociedad"/>
  </r>
  <r>
    <s v="Girona vs Real Sociedad / Total 1.5"/>
    <s v="Fulltbet"/>
    <x v="1954"/>
    <n v="-2"/>
    <n v="4.4999999999999998E-2"/>
    <n v="-2"/>
    <x v="10"/>
    <x v="50"/>
    <x v="203"/>
    <n v="2"/>
    <x v="150"/>
    <n v="0"/>
    <n v="-1"/>
    <n v="0"/>
    <x v="0"/>
    <x v="191"/>
    <x v="457"/>
    <s v="Girona vs Real Sociedad"/>
  </r>
  <r>
    <s v="Girona vs Real Sociedad / Match Odds"/>
    <s v="Fulltbet"/>
    <x v="1955"/>
    <n v="-2"/>
    <n v="4.4999999999999998E-2"/>
    <n v="-2"/>
    <x v="10"/>
    <x v="39"/>
    <x v="64"/>
    <n v="2"/>
    <x v="150"/>
    <n v="0"/>
    <n v="-1"/>
    <n v="0"/>
    <x v="0"/>
    <x v="191"/>
    <x v="457"/>
    <s v="Girona vs Real Sociedad"/>
  </r>
  <r>
    <s v="Al-Qadisiyah vs Al Hazm / Match Odds"/>
    <s v="Fulltbet"/>
    <x v="1956"/>
    <n v="1.51"/>
    <n v="4.4999999999999998E-2"/>
    <n v="1.581151832460733"/>
    <x v="10"/>
    <x v="36"/>
    <x v="11"/>
    <n v="31.6"/>
    <x v="150"/>
    <n v="7.1151832460732978E-2"/>
    <n v="4.7784810126582276E-2"/>
    <n v="1"/>
    <x v="0"/>
    <x v="282"/>
    <x v="400"/>
    <s v="Al-Qadisiyah vs Al Hazm"/>
  </r>
  <r>
    <s v="Real Madrid vs Real Oviedo / 1st Half Total 0.5"/>
    <s v="Fulltbet"/>
    <x v="1957"/>
    <n v="1.6425999999999998"/>
    <n v="4.4999999999999998E-2"/>
    <n v="1.72"/>
    <x v="10"/>
    <x v="43"/>
    <x v="68"/>
    <n v="2"/>
    <x v="150"/>
    <n v="7.7400000000000135E-2"/>
    <n v="0.82129999999999992"/>
    <n v="1"/>
    <x v="0"/>
    <x v="91"/>
    <x v="283"/>
    <s v="Real Madrid vs Real Oviedo"/>
  </r>
  <r>
    <s v="Real Madrid vs Real Oviedo / 1st Half Total 0.5"/>
    <s v="Fulltbet"/>
    <x v="1957"/>
    <n v="12.5678"/>
    <n v="4.4999999999999998E-2"/>
    <n v="13.16"/>
    <x v="11"/>
    <x v="43"/>
    <x v="205"/>
    <n v="50"/>
    <x v="150"/>
    <n v="0.59220000000000006"/>
    <n v="0.25135600000000002"/>
    <n v="1"/>
    <x v="0"/>
    <x v="91"/>
    <x v="283"/>
    <s v="Real Madrid vs Real Oviedo"/>
  </r>
  <r>
    <s v="Real Madrid vs Real Oviedo / Match Odds"/>
    <s v="Fulltbet"/>
    <x v="1958"/>
    <n v="12.8925"/>
    <n v="4.4999999999999998E-2"/>
    <n v="13.5"/>
    <x v="11"/>
    <x v="45"/>
    <x v="209"/>
    <n v="50"/>
    <x v="150"/>
    <n v="0.60749999999999993"/>
    <n v="0.25785000000000002"/>
    <n v="1"/>
    <x v="0"/>
    <x v="91"/>
    <x v="283"/>
    <s v="Real Madrid vs Real Oviedo"/>
  </r>
  <r>
    <s v="Real Madrid vs Real Oviedo / Match Odds"/>
    <s v="Fulltbet"/>
    <x v="1958"/>
    <n v="2.2919999999999998"/>
    <n v="4.4999999999999998E-2"/>
    <n v="2.4"/>
    <x v="10"/>
    <x v="36"/>
    <x v="16"/>
    <n v="30"/>
    <x v="150"/>
    <n v="0.1080000000000001"/>
    <n v="7.6399999999999996E-2"/>
    <n v="1"/>
    <x v="0"/>
    <x v="91"/>
    <x v="283"/>
    <s v="Real Madrid vs Real Oviedo"/>
  </r>
  <r>
    <s v="Club Libertad Asunción vs Club 2 de Mayo / Match Odds"/>
    <s v="Fulltbet"/>
    <x v="1959"/>
    <n v="11.94"/>
    <n v="4.4999999999999998E-2"/>
    <n v="12.502617801047121"/>
    <x v="11"/>
    <x v="44"/>
    <x v="135"/>
    <n v="50"/>
    <x v="150"/>
    <n v="0.56261780104712145"/>
    <n v="0.23879999999999998"/>
    <n v="1"/>
    <x v="0"/>
    <x v="692"/>
    <x v="737"/>
    <s v="Club Libertad Asunción vs Club 2 de Mayo"/>
  </r>
  <r>
    <s v="Pachuca vs Pumas UNAM / 1st Half Total 0.5"/>
    <s v="Fulltbet"/>
    <x v="1960"/>
    <n v="18.62"/>
    <n v="4.4999999999999998E-2"/>
    <n v="19.497382198952881"/>
    <x v="11"/>
    <x v="43"/>
    <x v="225"/>
    <n v="50"/>
    <x v="150"/>
    <n v="0.87738219895287983"/>
    <n v="0.37240000000000001"/>
    <n v="1"/>
    <x v="0"/>
    <x v="693"/>
    <x v="738"/>
    <s v="Pachuca vs Pumas UNAM"/>
  </r>
  <r>
    <s v="Pachuca vs Pumas UNAM / Match Odds"/>
    <s v="Fulltbet"/>
    <x v="1961"/>
    <n v="1.29"/>
    <n v="4.4999999999999998E-2"/>
    <n v="1.3507853403141363"/>
    <x v="10"/>
    <x v="38"/>
    <x v="254"/>
    <n v="49.95"/>
    <x v="151"/>
    <n v="6.0785340314136294E-2"/>
    <n v="2.5825825825825825E-2"/>
    <n v="1"/>
    <x v="0"/>
    <x v="693"/>
    <x v="738"/>
    <s v="Pachuca vs Pumas UNAM"/>
  </r>
  <r>
    <s v="Pulau Pinang vs DPMM FC / Match Odds"/>
    <s v="Fulltbet"/>
    <x v="1962"/>
    <n v="7.7"/>
    <n v="4.4999999999999998E-2"/>
    <n v="8.0628272251308903"/>
    <x v="10"/>
    <x v="41"/>
    <x v="167"/>
    <n v="9.99"/>
    <x v="151"/>
    <n v="0.36282722513089016"/>
    <n v="0.77077077077077072"/>
    <n v="1"/>
    <x v="0"/>
    <x v="164"/>
    <x v="739"/>
    <s v="Pulau Pinang vs DPMM FC"/>
  </r>
  <r>
    <s v="Shanghai Port vs Zhejiang Professional / Correct Score"/>
    <s v="Fulltbet"/>
    <x v="1963"/>
    <n v="3.41"/>
    <n v="4.4999999999999998E-2"/>
    <n v="3.5706806282722514"/>
    <x v="10"/>
    <x v="31"/>
    <x v="15"/>
    <n v="49.98"/>
    <x v="151"/>
    <n v="0.16068062827225127"/>
    <n v="6.8227290916366548E-2"/>
    <n v="1"/>
    <x v="0"/>
    <x v="530"/>
    <x v="578"/>
    <s v="Shanghai Port vs Zhejiang Professional"/>
  </r>
  <r>
    <s v="Shanghai Port vs Zhejiang Professional / Match Odds"/>
    <s v="Fulltbet"/>
    <x v="1964"/>
    <n v="16.46"/>
    <n v="4.4999999999999998E-2"/>
    <n v="17.235602094240839"/>
    <x v="11"/>
    <x v="44"/>
    <x v="255"/>
    <n v="50"/>
    <x v="151"/>
    <n v="0.77560209424083837"/>
    <n v="0.32919999999999999"/>
    <n v="1"/>
    <x v="0"/>
    <x v="530"/>
    <x v="578"/>
    <s v="Shanghai Port vs Zhejiang Professional"/>
  </r>
  <r>
    <s v="Al-Sharjah vs Khor Fakkan / Total 1.5"/>
    <s v="Fulltbet"/>
    <x v="1965"/>
    <n v="3.82"/>
    <n v="4.4999999999999998E-2"/>
    <n v="4"/>
    <x v="10"/>
    <x v="32"/>
    <x v="256"/>
    <n v="4"/>
    <x v="151"/>
    <n v="0.18000000000000016"/>
    <n v="0.95499999999999996"/>
    <n v="1"/>
    <x v="0"/>
    <x v="362"/>
    <x v="604"/>
    <s v="Al-Sharjah vs Khor Fakkan"/>
  </r>
  <r>
    <s v="Dhamk vs Al-Fayha FC / 1st Half Total 0.5"/>
    <s v="Fulltbet"/>
    <x v="1966"/>
    <n v="21.97"/>
    <n v="4.4999999999999998E-2"/>
    <n v="23.005235602094242"/>
    <x v="11"/>
    <x v="43"/>
    <x v="159"/>
    <n v="50"/>
    <x v="151"/>
    <n v="1.035235602094243"/>
    <n v="0.43939999999999996"/>
    <n v="1"/>
    <x v="0"/>
    <x v="448"/>
    <x v="303"/>
    <s v="Dhamk vs Al-Fayha FC"/>
  </r>
  <r>
    <s v="Al-Taawoun Buraidah vs Al-Riyadh / 1st Half Total 0.5"/>
    <s v="Fulltbet"/>
    <x v="1967"/>
    <n v="-50"/>
    <n v="4.4999999999999998E-2"/>
    <n v="-50"/>
    <x v="11"/>
    <x v="43"/>
    <x v="213"/>
    <n v="50"/>
    <x v="151"/>
    <n v="0"/>
    <n v="-1"/>
    <n v="0"/>
    <x v="0"/>
    <x v="328"/>
    <x v="264"/>
    <s v="Al-Taawoun Buraidah vs Al-Riyadh"/>
  </r>
  <r>
    <s v="Çorum Belediyespor vs Bodrum Belediyesi Bodrumspor / Match Odds"/>
    <s v="Fulltbet"/>
    <x v="1968"/>
    <n v="9.19"/>
    <n v="4.4999999999999998E-2"/>
    <n v="9.6230366492146597"/>
    <x v="11"/>
    <x v="44"/>
    <x v="116"/>
    <n v="50"/>
    <x v="151"/>
    <n v="0.43303664921466023"/>
    <n v="0.18379999999999999"/>
    <n v="1"/>
    <x v="0"/>
    <x v="694"/>
    <x v="740"/>
    <s v="Çorum Belediyespor vs Bodrum Belediyesi Bodrumspor"/>
  </r>
  <r>
    <s v="CD Castellon vs Cádiz / 1st Half Total 0.5"/>
    <s v="Fulltbet"/>
    <x v="1969"/>
    <n v="-2"/>
    <n v="4.4999999999999998E-2"/>
    <n v="-2"/>
    <x v="10"/>
    <x v="43"/>
    <x v="130"/>
    <n v="2"/>
    <x v="151"/>
    <n v="0"/>
    <n v="-1"/>
    <n v="0"/>
    <x v="0"/>
    <x v="259"/>
    <x v="741"/>
    <s v="CD Castellon vs Cádiz"/>
  </r>
  <r>
    <s v="St. Patrick's Athletic vs Shelbourne FC / 1st Half Total 0.5"/>
    <s v="Fulltbet"/>
    <x v="1970"/>
    <n v="-50"/>
    <n v="4.4999999999999998E-2"/>
    <n v="-50"/>
    <x v="11"/>
    <x v="43"/>
    <x v="180"/>
    <n v="50"/>
    <x v="151"/>
    <n v="0"/>
    <n v="-1"/>
    <n v="0"/>
    <x v="0"/>
    <x v="613"/>
    <x v="173"/>
    <s v="St. Patrick's Athletic vs Shelbourne FC"/>
  </r>
  <r>
    <s v="Bohemian FC vs Drogheda United / 1st Half Total 0.5"/>
    <s v="Fulltbet"/>
    <x v="1971"/>
    <n v="-50"/>
    <n v="4.4999999999999998E-2"/>
    <n v="-50"/>
    <x v="11"/>
    <x v="43"/>
    <x v="50"/>
    <n v="50"/>
    <x v="151"/>
    <n v="0"/>
    <n v="-1"/>
    <n v="0"/>
    <x v="0"/>
    <x v="575"/>
    <x v="573"/>
    <s v="Bohemian FC vs Drogheda United"/>
  </r>
  <r>
    <s v="Puskas Akademia FC vs MTK Budapest / Correct Score"/>
    <s v="Fulltbet"/>
    <x v="1972"/>
    <n v="3.18"/>
    <n v="4.4999999999999998E-2"/>
    <n v="3.329842931937173"/>
    <x v="10"/>
    <x v="31"/>
    <x v="34"/>
    <n v="49.95"/>
    <x v="151"/>
    <n v="0.1498429319371728"/>
    <n v="6.3663663663663661E-2"/>
    <n v="1"/>
    <x v="0"/>
    <x v="695"/>
    <x v="574"/>
    <s v="Puskas Akademia FC vs MTK Budapest"/>
  </r>
  <r>
    <s v="Etoile-Carouge FC vs AC Bellinzona / Total 3.5"/>
    <s v="Fulltbet"/>
    <x v="1973"/>
    <n v="1.94"/>
    <n v="4.4999999999999998E-2"/>
    <n v="2.0314136125654452"/>
    <x v="10"/>
    <x v="33"/>
    <x v="180"/>
    <n v="10"/>
    <x v="151"/>
    <n v="9.1413612565445224E-2"/>
    <n v="0.19400000000000001"/>
    <n v="1"/>
    <x v="0"/>
    <x v="696"/>
    <x v="327"/>
    <s v="Etoile-Carouge FC vs AC Bellinzona"/>
  </r>
  <r>
    <s v="FC Rapperswil Jona vs Stade Nyonnais / Match Odds"/>
    <s v="Fulltbet"/>
    <x v="1974"/>
    <n v="47.27"/>
    <n v="4.4999999999999998E-2"/>
    <n v="49.497382198952884"/>
    <x v="11"/>
    <x v="45"/>
    <x v="142"/>
    <n v="50"/>
    <x v="151"/>
    <n v="2.2273821989528813"/>
    <n v="0.94540000000000002"/>
    <n v="1"/>
    <x v="0"/>
    <x v="697"/>
    <x v="384"/>
    <s v="FC Rapperswil Jona vs Stade Nyonnais"/>
  </r>
  <r>
    <s v="Etoile-Carouge FC vs AC Bellinzona / Match Odds"/>
    <s v="Fulltbet"/>
    <x v="1975"/>
    <n v="6.72"/>
    <n v="4.4999999999999998E-2"/>
    <n v="7.0366492146596862"/>
    <x v="10"/>
    <x v="41"/>
    <x v="257"/>
    <n v="9.7200000000000006"/>
    <x v="151"/>
    <n v="0.31664921465968643"/>
    <n v="0.69135802469135799"/>
    <n v="1"/>
    <x v="0"/>
    <x v="696"/>
    <x v="327"/>
    <s v="Etoile-Carouge FC vs AC Bellinzona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</r>
  <r>
    <s v="CD Castellon vs Cádiz / Match Odds"/>
    <s v="Fulltbet"/>
    <x v="1976"/>
    <n v="1.91"/>
    <n v="4.4999999999999998E-2"/>
    <n v="2"/>
    <x v="10"/>
    <x v="36"/>
    <x v="258"/>
    <n v="30.71"/>
    <x v="151"/>
    <n v="9.000000000000008E-2"/>
    <n v="6.2194724845327252E-2"/>
    <n v="1"/>
    <x v="0"/>
    <x v="259"/>
    <x v="741"/>
    <s v="CD Castellon vs Cádiz"/>
  </r>
  <r>
    <s v="Aston Villa vs Liverpool / Match Odds"/>
    <s v="Fulltbet"/>
    <x v="1977"/>
    <n v="0.32"/>
    <n v="4.4999999999999998E-2"/>
    <n v="0.33507853403141363"/>
    <x v="10"/>
    <x v="37"/>
    <x v="259"/>
    <n v="19.989999999999998"/>
    <x v="151"/>
    <n v="1.5078534031413626E-2"/>
    <n v="1.6008004002001003E-2"/>
    <n v="1"/>
    <x v="0"/>
    <x v="14"/>
    <x v="196"/>
    <s v="Aston Villa vs Liverpool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</r>
  <r>
    <s v="Coquimbo Unido vs Audax Italiano / 1st Half Total 0.5"/>
    <s v="Fulltbet"/>
    <x v="1979"/>
    <n v="22.92"/>
    <n v="4.4999999999999998E-2"/>
    <n v="24.000000000000004"/>
    <x v="11"/>
    <x v="43"/>
    <x v="180"/>
    <n v="50"/>
    <x v="151"/>
    <n v="1.0800000000000018"/>
    <n v="0.45840000000000003"/>
    <n v="1"/>
    <x v="0"/>
    <x v="698"/>
    <x v="743"/>
    <s v="Coquimbo Unido vs Audax Italiano"/>
  </r>
  <r>
    <s v="Coquimbo Unido vs Audax Italiano / Total 1.5"/>
    <s v="Fulltbet"/>
    <x v="1980"/>
    <n v="3.82"/>
    <n v="4.4999999999999998E-2"/>
    <n v="4"/>
    <x v="10"/>
    <x v="32"/>
    <x v="25"/>
    <n v="4"/>
    <x v="151"/>
    <n v="0.18000000000000016"/>
    <n v="0.95499999999999996"/>
    <n v="1"/>
    <x v="0"/>
    <x v="698"/>
    <x v="743"/>
    <s v="Coquimbo Unido vs Audax Italiano"/>
  </r>
  <r>
    <s v="Coquimbo Unido vs Audax Italiano / Match Odds"/>
    <s v="Fulltbet"/>
    <x v="1981"/>
    <n v="1.43"/>
    <n v="4.4999999999999998E-2"/>
    <n v="1.4973821989528795"/>
    <x v="10"/>
    <x v="48"/>
    <x v="253"/>
    <n v="50"/>
    <x v="151"/>
    <n v="6.7382198952879557E-2"/>
    <n v="2.86E-2"/>
    <n v="1"/>
    <x v="0"/>
    <x v="698"/>
    <x v="743"/>
    <s v="Coquimbo Unido vs Audax Italiano"/>
  </r>
  <r>
    <s v="Universitario de Deportes vs Atlético Grau / Match Odds"/>
    <s v="Fulltbet"/>
    <x v="1982"/>
    <n v="-9.82"/>
    <n v="4.4999999999999998E-2"/>
    <n v="-9.82"/>
    <x v="10"/>
    <x v="41"/>
    <x v="232"/>
    <n v="9.82"/>
    <x v="151"/>
    <n v="0"/>
    <n v="-1"/>
    <n v="0"/>
    <x v="0"/>
    <x v="699"/>
    <x v="744"/>
    <s v="Universitario de Deportes vs Atlético Grau"/>
  </r>
  <r>
    <s v="Urawa Red Diamonds vs FC Tokyo / Total 0.5"/>
    <s v="Fulltbet"/>
    <x v="1983"/>
    <n v="-2"/>
    <n v="4.4999999999999998E-2"/>
    <n v="-2"/>
    <x v="10"/>
    <x v="40"/>
    <x v="105"/>
    <n v="2"/>
    <x v="152"/>
    <n v="0"/>
    <n v="-1"/>
    <n v="0"/>
    <x v="0"/>
    <x v="700"/>
    <x v="745"/>
    <s v="Urawa Red Diamonds vs FC Tokyo"/>
  </r>
  <r>
    <s v="Shandong Taishan vs Chongqing Tonglianglong / 1st Half Total 0.5"/>
    <s v="Fulltbet"/>
    <x v="1984"/>
    <n v="1.47"/>
    <n v="4.4999999999999998E-2"/>
    <n v="1.5392670157068062"/>
    <x v="10"/>
    <x v="43"/>
    <x v="53"/>
    <n v="2"/>
    <x v="152"/>
    <n v="6.9267015706806268E-2"/>
    <n v="0.73499999999999999"/>
    <n v="1"/>
    <x v="0"/>
    <x v="566"/>
    <x v="746"/>
    <s v="Shandong Taishan vs Chongqing Tonglianglong"/>
  </r>
  <r>
    <s v="Celtic vs Hearts / 1st Half Total 0.5"/>
    <s v="Fulltbet"/>
    <x v="1985"/>
    <n v="12.42"/>
    <n v="4.4999999999999998E-2"/>
    <n v="13.005235602094242"/>
    <x v="11"/>
    <x v="43"/>
    <x v="205"/>
    <n v="50"/>
    <x v="152"/>
    <n v="0.58523560209424197"/>
    <n v="0.24840000000000001"/>
    <n v="1"/>
    <x v="0"/>
    <x v="83"/>
    <x v="86"/>
    <s v="Celtic vs Hearts"/>
  </r>
  <r>
    <s v="Newcastle United Jets vs Sydney FC / Total 3.5"/>
    <s v="Fulltbet"/>
    <x v="1986"/>
    <n v="1.72"/>
    <n v="4.4999999999999998E-2"/>
    <n v="1.8010471204188483"/>
    <x v="10"/>
    <x v="33"/>
    <x v="181"/>
    <n v="5"/>
    <x v="152"/>
    <n v="8.1047120418848317E-2"/>
    <n v="0.34399999999999997"/>
    <n v="1"/>
    <x v="0"/>
    <x v="701"/>
    <x v="747"/>
    <s v="Newcastle United Jets vs Sydney FC"/>
  </r>
  <r>
    <s v="Newcastle United Jets vs Sydney FC / Total 2.5"/>
    <s v="Fulltbet"/>
    <x v="1986"/>
    <n v="6.28"/>
    <n v="4.4999999999999998E-2"/>
    <n v="6.5759162303664924"/>
    <x v="10"/>
    <x v="34"/>
    <x v="162"/>
    <n v="10"/>
    <x v="152"/>
    <n v="0.29591623036649217"/>
    <n v="0.628"/>
    <n v="1"/>
    <x v="0"/>
    <x v="701"/>
    <x v="747"/>
    <s v="Newcastle United Jets vs Sydney FC"/>
  </r>
  <r>
    <s v="SSV Jahn Regensburg vs Energie Cottbus / Both Teams To Score"/>
    <s v="Fulltbet"/>
    <x v="1987"/>
    <n v="-2"/>
    <n v="4.4999999999999998E-2"/>
    <n v="-2"/>
    <x v="10"/>
    <x v="51"/>
    <x v="52"/>
    <n v="2"/>
    <x v="152"/>
    <n v="0"/>
    <n v="-1"/>
    <n v="0"/>
    <x v="0"/>
    <x v="702"/>
    <x v="277"/>
    <s v="SSV Jahn Regensburg vs Energie Cottbus"/>
  </r>
  <r>
    <s v="Alemannia Aachen vs TSV Havelse / Match Odds"/>
    <s v="Fulltbet"/>
    <x v="1988"/>
    <n v="3.5"/>
    <n v="4.4999999999999998E-2"/>
    <n v="3.6649214659685865"/>
    <x v="10"/>
    <x v="36"/>
    <x v="33"/>
    <n v="30.01"/>
    <x v="152"/>
    <n v="0.16492146596858648"/>
    <n v="0.11662779073642118"/>
    <n v="1"/>
    <x v="0"/>
    <x v="392"/>
    <x v="25"/>
    <s v="Alemannia Aachen vs TSV Havelse"/>
  </r>
  <r>
    <s v="Shandong Taishan vs Chongqing Tonglianglong / Match Odds"/>
    <s v="Fulltbet"/>
    <x v="1989"/>
    <n v="1.43"/>
    <n v="4.4999999999999998E-2"/>
    <n v="1.4973821989528795"/>
    <x v="10"/>
    <x v="48"/>
    <x v="253"/>
    <n v="50"/>
    <x v="152"/>
    <n v="6.7382198952879557E-2"/>
    <n v="2.86E-2"/>
    <n v="1"/>
    <x v="0"/>
    <x v="566"/>
    <x v="746"/>
    <s v="Shandong Taishan vs Chongqing Tonglianglong"/>
  </r>
  <r>
    <s v="Yunnan Yukun vs Shanghai Shenhua / Correct Score"/>
    <s v="Fulltbet"/>
    <x v="1990"/>
    <n v="4.3499999999999996"/>
    <n v="4.4999999999999998E-2"/>
    <n v="4.5549738219895284"/>
    <x v="10"/>
    <x v="31"/>
    <x v="260"/>
    <n v="52.3"/>
    <x v="152"/>
    <n v="0.20497382198952874"/>
    <n v="8.3173996175908219E-2"/>
    <n v="1"/>
    <x v="0"/>
    <x v="495"/>
    <x v="637"/>
    <s v="Yunnan Yukun vs Shanghai Shenhua"/>
  </r>
  <r>
    <s v="Yunnan Yukun vs Shanghai Shenhua / Match Odds"/>
    <s v="Fulltbet"/>
    <x v="1991"/>
    <n v="2.81"/>
    <n v="4.4999999999999998E-2"/>
    <n v="2.9424083769633511"/>
    <x v="10"/>
    <x v="38"/>
    <x v="30"/>
    <n v="49.98"/>
    <x v="152"/>
    <n v="0.13240837696335106"/>
    <n v="5.6222488995598244E-2"/>
    <n v="1"/>
    <x v="0"/>
    <x v="495"/>
    <x v="637"/>
    <s v="Yunnan Yukun vs Shanghai Shenhua"/>
  </r>
  <r>
    <s v="Stabæk vs Raufoss / 1st Half Total 0.5"/>
    <s v="Fulltbet"/>
    <x v="1992"/>
    <n v="11.65"/>
    <n v="4.4999999999999998E-2"/>
    <n v="12.198952879581153"/>
    <x v="11"/>
    <x v="43"/>
    <x v="207"/>
    <n v="50"/>
    <x v="152"/>
    <n v="0.54895287958115269"/>
    <n v="0.23300000000000001"/>
    <n v="1"/>
    <x v="0"/>
    <x v="703"/>
    <x v="748"/>
    <s v="Stabæk vs Raufoss"/>
  </r>
  <r>
    <s v="Bayer 04 Leverkusen vs Hamburger SV / 1st Half Total 0.5"/>
    <s v="Fulltbet"/>
    <x v="1993"/>
    <n v="-50"/>
    <n v="4.4999999999999998E-2"/>
    <n v="-50"/>
    <x v="11"/>
    <x v="43"/>
    <x v="241"/>
    <n v="50"/>
    <x v="152"/>
    <n v="0"/>
    <n v="-1"/>
    <n v="0"/>
    <x v="0"/>
    <x v="129"/>
    <x v="131"/>
    <s v="Bayer 04 Leverkusen vs Hamburger SV"/>
  </r>
  <r>
    <s v="Eintracht Frankfurt vs VfB Stuttgart / Total 1.5"/>
    <s v="Fulltbet"/>
    <x v="1994"/>
    <n v="3.82"/>
    <n v="4.4999999999999998E-2"/>
    <n v="4"/>
    <x v="10"/>
    <x v="32"/>
    <x v="15"/>
    <n v="4"/>
    <x v="152"/>
    <n v="0.18000000000000016"/>
    <n v="0.95499999999999996"/>
    <n v="1"/>
    <x v="0"/>
    <x v="297"/>
    <x v="251"/>
    <s v="Eintracht Frankfurt vs VfB Stuttgart"/>
  </r>
  <r>
    <s v="AmaZulu vs Kaizer Chiefs / Total 0.5"/>
    <s v="Fulltbet"/>
    <x v="1995"/>
    <n v="0.95"/>
    <n v="4.4999999999999998E-2"/>
    <n v="0.99476439790575921"/>
    <x v="10"/>
    <x v="47"/>
    <x v="222"/>
    <n v="2"/>
    <x v="152"/>
    <n v="4.4764397905759257E-2"/>
    <n v="0.47499999999999998"/>
    <n v="1"/>
    <x v="0"/>
    <x v="704"/>
    <x v="749"/>
    <s v="AmaZulu vs Kaizer Chiefs"/>
  </r>
  <r>
    <s v="SC Freiburg vs RB Leipzig / Total 3.5"/>
    <s v="Fulltbet"/>
    <x v="1996"/>
    <n v="-10"/>
    <n v="4.4999999999999998E-2"/>
    <n v="-10"/>
    <x v="10"/>
    <x v="33"/>
    <x v="159"/>
    <n v="10"/>
    <x v="152"/>
    <n v="0"/>
    <n v="-1"/>
    <n v="0"/>
    <x v="0"/>
    <x v="24"/>
    <x v="129"/>
    <s v="SC Freiburg vs RB Leipzig"/>
  </r>
  <r>
    <s v="Fredrikstad vs Hamarkameratene / Total 1.5"/>
    <s v="Fulltbet"/>
    <x v="1997"/>
    <n v="3.82"/>
    <n v="4.4999999999999998E-2"/>
    <n v="4"/>
    <x v="10"/>
    <x v="32"/>
    <x v="128"/>
    <n v="4"/>
    <x v="152"/>
    <n v="0.18000000000000016"/>
    <n v="0.95499999999999996"/>
    <n v="1"/>
    <x v="0"/>
    <x v="705"/>
    <x v="750"/>
    <s v="Fredrikstad vs Hamarkameratene"/>
  </r>
  <r>
    <s v="FC St. Pauli vs VfL Wolfsburg / Total 1.5"/>
    <s v="Fulltbet"/>
    <x v="1998"/>
    <n v="-1.92"/>
    <n v="4.4999999999999998E-2"/>
    <n v="-1.92"/>
    <x v="10"/>
    <x v="32"/>
    <x v="81"/>
    <n v="4"/>
    <x v="152"/>
    <n v="0"/>
    <n v="-0.48"/>
    <n v="0"/>
    <x v="0"/>
    <x v="126"/>
    <x v="260"/>
    <s v="FC St. Pauli vs VfL Wolfsburg"/>
  </r>
  <r>
    <s v="Werder Bremen vs Borussia Dortmund / Total 0.5"/>
    <s v="Fulltbet"/>
    <x v="1999"/>
    <n v="0.15"/>
    <n v="4.4999999999999998E-2"/>
    <n v="0.15706806282722513"/>
    <x v="10"/>
    <x v="49"/>
    <x v="234"/>
    <n v="2"/>
    <x v="152"/>
    <n v="7.0680628272251356E-3"/>
    <n v="7.4999999999999997E-2"/>
    <n v="1"/>
    <x v="0"/>
    <x v="321"/>
    <x v="153"/>
    <s v="Werder Bremen vs Borussia Dortmund"/>
  </r>
  <r>
    <s v="Lillestrøm SK vs Sandefjord Fotball / Total 1.5"/>
    <s v="Fulltbet"/>
    <x v="2000"/>
    <n v="3.82"/>
    <n v="4.4999999999999998E-2"/>
    <n v="4"/>
    <x v="10"/>
    <x v="32"/>
    <x v="28"/>
    <n v="4"/>
    <x v="152"/>
    <n v="0.18000000000000016"/>
    <n v="0.95499999999999996"/>
    <n v="1"/>
    <x v="0"/>
    <x v="545"/>
    <x v="751"/>
    <s v="Lillestrøm SK vs Sandefjord Fotball"/>
  </r>
  <r>
    <s v="Halmstads BK vs IF Elfsborg / Match Odds"/>
    <s v="Fulltbet"/>
    <x v="2001"/>
    <n v="3.82"/>
    <n v="4.4999999999999998E-2"/>
    <n v="4"/>
    <x v="10"/>
    <x v="38"/>
    <x v="16"/>
    <n v="50"/>
    <x v="152"/>
    <n v="0.18000000000000016"/>
    <n v="7.6399999999999996E-2"/>
    <n v="1"/>
    <x v="0"/>
    <x v="706"/>
    <x v="752"/>
    <s v="Halmstads BK vs IF Elfsborg"/>
  </r>
  <r>
    <s v="DAC Dunajská Streda vs Spartak Trnava / 1st Half Total 0.5"/>
    <s v="Fulltbet"/>
    <x v="2002"/>
    <n v="17.36"/>
    <n v="4.4999999999999998E-2"/>
    <n v="18.178010471204189"/>
    <x v="11"/>
    <x v="43"/>
    <x v="129"/>
    <n v="50"/>
    <x v="152"/>
    <n v="0.81801047120418957"/>
    <n v="0.34720000000000001"/>
    <n v="1"/>
    <x v="0"/>
    <x v="707"/>
    <x v="753"/>
    <s v="DAC Dunajská Streda vs Spartak Trnava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</r>
  <r>
    <s v="Borussia Mönchengladbach vs 1899 Hoffenheim / Match Odds"/>
    <s v="Fulltbet"/>
    <x v="2004"/>
    <n v="1.91"/>
    <n v="4.4999999999999998E-2"/>
    <n v="2"/>
    <x v="10"/>
    <x v="48"/>
    <x v="233"/>
    <n v="50"/>
    <x v="152"/>
    <n v="9.000000000000008E-2"/>
    <n v="3.8199999999999998E-2"/>
    <n v="1"/>
    <x v="0"/>
    <x v="38"/>
    <x v="88"/>
    <s v="Borussia Mönchengladbach vs 1899 Hoffenheim"/>
  </r>
  <r>
    <s v="FC Porto vs Santa Clara / 1st Half Total 0.5"/>
    <s v="Fulltbet"/>
    <x v="2005"/>
    <n v="-2"/>
    <n v="4.4999999999999998E-2"/>
    <n v="-2"/>
    <x v="10"/>
    <x v="43"/>
    <x v="68"/>
    <n v="2"/>
    <x v="152"/>
    <n v="0"/>
    <n v="-1"/>
    <n v="0"/>
    <x v="0"/>
    <x v="326"/>
    <x v="537"/>
    <s v="FC Porto vs Santa Clara"/>
  </r>
  <r>
    <s v="Werder Bremen vs Borussia Dortmund / Correct Score"/>
    <s v="Fulltbet"/>
    <x v="2006"/>
    <n v="1.64"/>
    <n v="4.4999999999999998E-2"/>
    <n v="1.7172774869109948"/>
    <x v="10"/>
    <x v="31"/>
    <x v="155"/>
    <n v="49.88"/>
    <x v="152"/>
    <n v="7.7277486910994897E-2"/>
    <n v="3.2878909382518043E-2"/>
    <n v="1"/>
    <x v="0"/>
    <x v="321"/>
    <x v="153"/>
    <s v="Werder Bremen vs Borussia Dortmund"/>
  </r>
  <r>
    <s v="Werder Bremen vs Borussia Dortmund / Total 3.5"/>
    <s v="Fulltbet"/>
    <x v="2007"/>
    <n v="1.7"/>
    <n v="4.4999999999999998E-2"/>
    <n v="1.7801047120418849"/>
    <x v="10"/>
    <x v="33"/>
    <x v="162"/>
    <n v="10"/>
    <x v="152"/>
    <n v="8.0104712041884962E-2"/>
    <n v="0.16999999999999998"/>
    <n v="1"/>
    <x v="0"/>
    <x v="321"/>
    <x v="153"/>
    <s v="Werder Bremen vs Borussia Dortmund"/>
  </r>
  <r>
    <s v="SC Freiburg vs RB Leipzig / Match Odds"/>
    <s v="Fulltbet"/>
    <x v="2008"/>
    <n v="0.72"/>
    <n v="4.4999999999999998E-2"/>
    <n v="0.75392670157068065"/>
    <x v="10"/>
    <x v="37"/>
    <x v="235"/>
    <n v="19.989999999999998"/>
    <x v="152"/>
    <n v="3.3926701570680673E-2"/>
    <n v="3.6018009004502249E-2"/>
    <n v="1"/>
    <x v="0"/>
    <x v="24"/>
    <x v="129"/>
    <s v="SC Freiburg vs RB Leipzig"/>
  </r>
  <r>
    <s v="FC St. Pauli vs VfL Wolfsburg / Match Odds"/>
    <s v="Fulltbet"/>
    <x v="2009"/>
    <n v="1.36"/>
    <n v="4.4999999999999998E-2"/>
    <n v="1.424083769633508"/>
    <x v="10"/>
    <x v="37"/>
    <x v="235"/>
    <n v="19.989999999999998"/>
    <x v="152"/>
    <n v="6.4083769633507925E-2"/>
    <n v="6.8034017008504269E-2"/>
    <n v="1"/>
    <x v="0"/>
    <x v="126"/>
    <x v="260"/>
    <s v="FC St. Pauli vs VfL Wolfsburg"/>
  </r>
  <r>
    <s v="Fredrikstad vs Hamarkameratene / Match Odds"/>
    <s v="Fulltbet"/>
    <x v="2010"/>
    <n v="1.43"/>
    <n v="4.4999999999999998E-2"/>
    <n v="1.4973821989528795"/>
    <x v="10"/>
    <x v="48"/>
    <x v="253"/>
    <n v="50"/>
    <x v="152"/>
    <n v="6.7382198952879557E-2"/>
    <n v="2.86E-2"/>
    <n v="1"/>
    <x v="0"/>
    <x v="705"/>
    <x v="750"/>
    <s v="Fredrikstad vs Hamarkameratene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</r>
  <r>
    <s v="Molde vs Kristiansund BK / Total 3.5"/>
    <s v="Fulltbet"/>
    <x v="2012"/>
    <n v="2.0699999999999998"/>
    <n v="4.4999999999999998E-2"/>
    <n v="2.1675392670157065"/>
    <x v="10"/>
    <x v="33"/>
    <x v="47"/>
    <n v="10"/>
    <x v="152"/>
    <n v="9.7539267015706699E-2"/>
    <n v="0.20699999999999999"/>
    <n v="1"/>
    <x v="0"/>
    <x v="708"/>
    <x v="592"/>
    <s v="Molde vs Kristiansund BK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</r>
  <r>
    <s v="Viking FK vs Start / Match Odds"/>
    <s v="Fulltbet"/>
    <x v="2013"/>
    <n v="11.9375"/>
    <n v="4.4999999999999998E-2"/>
    <n v="12.5"/>
    <x v="8"/>
    <x v="20"/>
    <x v="22"/>
    <n v="100"/>
    <x v="152"/>
    <n v="0.5625"/>
    <n v="0.119375"/>
    <n v="1"/>
    <x v="0"/>
    <x v="571"/>
    <x v="754"/>
    <s v="Viking FK vs Start"/>
  </r>
  <r>
    <s v="Cultural Leonesa vs SD Eibar / Match Odds"/>
    <s v="Fulltbet"/>
    <x v="2014"/>
    <n v="3.82"/>
    <n v="4.4999999999999998E-2"/>
    <n v="4"/>
    <x v="10"/>
    <x v="48"/>
    <x v="234"/>
    <n v="50"/>
    <x v="152"/>
    <n v="0.18000000000000016"/>
    <n v="7.6399999999999996E-2"/>
    <n v="1"/>
    <x v="0"/>
    <x v="709"/>
    <x v="755"/>
    <s v="Cultural Leonesa vs SD Eibar"/>
  </r>
  <r>
    <s v="Bodø/Glimt vs Tromsø / 1st Half Total 0.5"/>
    <s v="Fulltbet"/>
    <x v="2015"/>
    <n v="11.46"/>
    <n v="4.4999999999999998E-2"/>
    <n v="12.000000000000002"/>
    <x v="11"/>
    <x v="43"/>
    <x v="207"/>
    <n v="50"/>
    <x v="152"/>
    <n v="0.54000000000000092"/>
    <n v="0.22920000000000001"/>
    <n v="1"/>
    <x v="0"/>
    <x v="277"/>
    <x v="218"/>
    <s v="Bod"/>
  </r>
  <r>
    <s v="1.FC Slovácko vs FK Mladá Boleslav / Correct Score"/>
    <s v="Fulltbet"/>
    <x v="2016"/>
    <n v="2.65"/>
    <n v="4.4999999999999998E-2"/>
    <n v="2.7748691099476441"/>
    <x v="10"/>
    <x v="31"/>
    <x v="21"/>
    <n v="50.04"/>
    <x v="152"/>
    <n v="0.12486910994764422"/>
    <n v="5.2957633892885693E-2"/>
    <n v="1"/>
    <x v="0"/>
    <x v="710"/>
    <x v="756"/>
    <s v="1.FC Slovácko vs FK Mladá Boleslav"/>
  </r>
  <r>
    <s v="Ústí nad Labem vs SK Slavia Praha B / Match Odds"/>
    <s v="Fulltbet"/>
    <x v="2017"/>
    <n v="11.94"/>
    <n v="4.4999999999999998E-2"/>
    <n v="12.502617801047121"/>
    <x v="11"/>
    <x v="44"/>
    <x v="135"/>
    <n v="50"/>
    <x v="152"/>
    <n v="0.56261780104712145"/>
    <n v="0.23879999999999998"/>
    <n v="1"/>
    <x v="0"/>
    <x v="520"/>
    <x v="757"/>
    <s v="Ústí nad Labem vs SK Slavia Praha B"/>
  </r>
  <r>
    <s v="MŠK Žilina vs FK Železiarne Podbrezová / Match Odds"/>
    <s v="Fulltbet"/>
    <x v="2018"/>
    <n v="-50"/>
    <n v="4.4999999999999998E-2"/>
    <n v="-50"/>
    <x v="11"/>
    <x v="45"/>
    <x v="61"/>
    <n v="50"/>
    <x v="152"/>
    <n v="0"/>
    <n v="-1"/>
    <n v="0"/>
    <x v="0"/>
    <x v="394"/>
    <x v="758"/>
    <s v="MŠK Žilina vs FK Železiarne Podbrezová"/>
  </r>
  <r>
    <s v="SCR Altach vs SV Guntamatic Ried / Correct Score"/>
    <s v="Fulltbet"/>
    <x v="2019"/>
    <n v="2.0699999999999998"/>
    <n v="4.4999999999999998E-2"/>
    <n v="2.1675392670157065"/>
    <x v="10"/>
    <x v="31"/>
    <x v="110"/>
    <n v="52.08"/>
    <x v="152"/>
    <n v="9.7539267015706699E-2"/>
    <n v="3.9746543778801845E-2"/>
    <n v="1"/>
    <x v="0"/>
    <x v="711"/>
    <x v="759"/>
    <s v="SCR Altach vs SV Guntamatic Ried"/>
  </r>
  <r>
    <s v="Racing Santander vs Real Valladolid / 1st Half Total 0.5"/>
    <s v="Fulltbet"/>
    <x v="2020"/>
    <n v="1.57"/>
    <n v="4.4999999999999998E-2"/>
    <n v="1.6439790575916231"/>
    <x v="10"/>
    <x v="43"/>
    <x v="67"/>
    <n v="2"/>
    <x v="152"/>
    <n v="7.3979057591623043E-2"/>
    <n v="0.78500000000000003"/>
    <n v="1"/>
    <x v="0"/>
    <x v="239"/>
    <x v="760"/>
    <s v="Racing Santander vs Real Valladolid"/>
  </r>
  <r>
    <s v="Racing Santander vs Real Valladolid / Total 1.5"/>
    <s v="Fulltbet"/>
    <x v="2021"/>
    <n v="3.82"/>
    <n v="4.4999999999999998E-2"/>
    <n v="4"/>
    <x v="10"/>
    <x v="32"/>
    <x v="9"/>
    <n v="4"/>
    <x v="152"/>
    <n v="0.18000000000000016"/>
    <n v="0.95499999999999996"/>
    <n v="1"/>
    <x v="0"/>
    <x v="239"/>
    <x v="760"/>
    <s v="Racing Santander vs Real Valladolid"/>
  </r>
  <r>
    <s v="Al-Hilal Riyadh vs Neom SC / Total 1.5"/>
    <s v="Fulltbet"/>
    <x v="2022"/>
    <n v="-3.86"/>
    <n v="4.4999999999999998E-2"/>
    <n v="-3.86"/>
    <x v="10"/>
    <x v="32"/>
    <x v="31"/>
    <n v="4"/>
    <x v="152"/>
    <n v="0"/>
    <n v="-0.96499999999999997"/>
    <n v="0"/>
    <x v="0"/>
    <x v="281"/>
    <x v="297"/>
    <s v="Al-Hilal Riyadh vs Neom SC"/>
  </r>
  <r>
    <s v="Bodø/Glimt vs Tromsø / Total 1.5"/>
    <s v="Fulltbet"/>
    <x v="2023"/>
    <n v="-2.13"/>
    <n v="4.4999999999999998E-2"/>
    <n v="-2.13"/>
    <x v="10"/>
    <x v="32"/>
    <x v="89"/>
    <n v="4"/>
    <x v="152"/>
    <n v="0"/>
    <n v="-0.53249999999999997"/>
    <n v="0"/>
    <x v="0"/>
    <x v="277"/>
    <x v="218"/>
    <s v="Bod"/>
  </r>
  <r>
    <s v="Al-Jazira Club vs Bani Yas FC / Match Odds"/>
    <s v="Fulltbet"/>
    <x v="2024"/>
    <n v="3.58"/>
    <n v="4.4999999999999998E-2"/>
    <n v="3.74869109947644"/>
    <x v="10"/>
    <x v="36"/>
    <x v="22"/>
    <n v="30"/>
    <x v="152"/>
    <n v="0.1686910994764399"/>
    <n v="0.11933333333333333"/>
    <n v="1"/>
    <x v="0"/>
    <x v="664"/>
    <x v="761"/>
    <s v="Al-Jazira Club vs Bani Yas FC"/>
  </r>
  <r>
    <s v="Bodø/Glimt vs Tromsø / Total 3.5"/>
    <s v="Fulltbet"/>
    <x v="2025"/>
    <n v="1.6"/>
    <n v="4.4999999999999998E-2"/>
    <n v="1.6753926701570683"/>
    <x v="10"/>
    <x v="33"/>
    <x v="225"/>
    <n v="10"/>
    <x v="152"/>
    <n v="7.5392670157068187E-2"/>
    <n v="0.16"/>
    <n v="1"/>
    <x v="0"/>
    <x v="277"/>
    <x v="218"/>
    <s v="Bod"/>
  </r>
  <r>
    <s v="Zrinjski Mostar vs NK Posušje / Match Odds"/>
    <s v="Fulltbet"/>
    <x v="2026"/>
    <n v="14.05"/>
    <n v="4.4999999999999998E-2"/>
    <n v="14.712041884816756"/>
    <x v="11"/>
    <x v="44"/>
    <x v="261"/>
    <n v="50.01"/>
    <x v="152"/>
    <n v="0.6620418848167553"/>
    <n v="0.28094381123775247"/>
    <n v="1"/>
    <x v="0"/>
    <x v="432"/>
    <x v="762"/>
    <s v="Zrinjski Mostar vs NK Posušje"/>
  </r>
  <r>
    <s v="Asteras Tripolis vs Kifisia FC / Match Odds"/>
    <s v="Fulltbet"/>
    <x v="2027"/>
    <n v="7.24"/>
    <n v="4.4999999999999998E-2"/>
    <n v="7.5811518324607334"/>
    <x v="11"/>
    <x v="44"/>
    <x v="41"/>
    <n v="50.01"/>
    <x v="152"/>
    <n v="0.34115183246073322"/>
    <n v="0.14477104579084185"/>
    <n v="1"/>
    <x v="0"/>
    <x v="381"/>
    <x v="392"/>
    <s v="Asteras Tripolis vs Kifisia FC"/>
  </r>
  <r>
    <s v="AC Oulu vs TPS / Match Odds"/>
    <s v="Fulltbet"/>
    <x v="2028"/>
    <n v="9.9499999999999993"/>
    <n v="4.4999999999999998E-2"/>
    <n v="10.418848167539267"/>
    <x v="11"/>
    <x v="44"/>
    <x v="203"/>
    <n v="50.02"/>
    <x v="152"/>
    <n v="0.46884816753926728"/>
    <n v="0.19892043182726907"/>
    <n v="1"/>
    <x v="0"/>
    <x v="712"/>
    <x v="763"/>
    <s v="AC Oulu vs TPS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</r>
  <r>
    <s v="Al-Hilal Riyadh vs Neom SC / Match Odds"/>
    <s v="Fulltbet"/>
    <x v="2030"/>
    <n v="14.04805"/>
    <n v="4.4999999999999998E-2"/>
    <n v="14.71"/>
    <x v="8"/>
    <x v="20"/>
    <x v="44"/>
    <n v="100.03"/>
    <x v="152"/>
    <n v="0.66195000000000093"/>
    <n v="0.14043836848945315"/>
    <n v="1"/>
    <x v="0"/>
    <x v="281"/>
    <x v="297"/>
    <s v="Al-Hilal Riyadh vs Neom SC"/>
  </r>
  <r>
    <s v="Casa Pia vs Rio Ave / Total 1.5"/>
    <s v="Fulltbet"/>
    <x v="2031"/>
    <n v="3.82"/>
    <n v="4.4999999999999998E-2"/>
    <n v="4"/>
    <x v="10"/>
    <x v="32"/>
    <x v="174"/>
    <n v="4"/>
    <x v="152"/>
    <n v="0.18000000000000016"/>
    <n v="0.95499999999999996"/>
    <n v="1"/>
    <x v="0"/>
    <x v="713"/>
    <x v="199"/>
    <s v="Casa Pia vs Rio Ave"/>
  </r>
  <r>
    <s v="Granada CF vs Burgos CF / Total 0.5"/>
    <s v="Fulltbet"/>
    <x v="2032"/>
    <n v="0.96"/>
    <n v="4.4999999999999998E-2"/>
    <n v="1.0052356020942408"/>
    <x v="10"/>
    <x v="47"/>
    <x v="222"/>
    <n v="2"/>
    <x v="152"/>
    <n v="4.5235602094240823E-2"/>
    <n v="0.48"/>
    <n v="1"/>
    <x v="0"/>
    <x v="195"/>
    <x v="159"/>
    <s v="Granada CF vs Burgos CF"/>
  </r>
  <r>
    <s v="UD Almería vs UD Las Palmas / Match Odds"/>
    <s v="Fulltbet"/>
    <x v="2033"/>
    <n v="-49.94"/>
    <n v="4.4999999999999998E-2"/>
    <n v="-49.94"/>
    <x v="10"/>
    <x v="38"/>
    <x v="7"/>
    <n v="49.94"/>
    <x v="152"/>
    <n v="0"/>
    <n v="-1"/>
    <n v="0"/>
    <x v="0"/>
    <x v="148"/>
    <x v="692"/>
    <s v="UD Almería vs UD Las Palmas"/>
  </r>
  <r>
    <s v="UD Almería vs UD Las Palmas / Match Odds"/>
    <s v="Fulltbet"/>
    <x v="2033"/>
    <n v="-2"/>
    <n v="4.4999999999999998E-2"/>
    <n v="-2"/>
    <x v="10"/>
    <x v="39"/>
    <x v="69"/>
    <n v="2"/>
    <x v="152"/>
    <n v="0"/>
    <n v="-1"/>
    <n v="0"/>
    <x v="0"/>
    <x v="148"/>
    <x v="692"/>
    <s v="UD Almería vs UD Las Palmas"/>
  </r>
  <r>
    <s v="Nacional da Madeira vs Vitoria de Guimaraes / Total 0.5"/>
    <s v="Fulltbet"/>
    <x v="2034"/>
    <n v="1.04"/>
    <n v="4.4999999999999998E-2"/>
    <n v="1.0890052356020943"/>
    <x v="10"/>
    <x v="47"/>
    <x v="232"/>
    <n v="2"/>
    <x v="152"/>
    <n v="4.9005235602094244E-2"/>
    <n v="0.52"/>
    <n v="1"/>
    <x v="0"/>
    <x v="423"/>
    <x v="241"/>
    <s v="Nacional da Madeira vs Vitoria de Guimaraes"/>
  </r>
  <r>
    <s v="Samsunspor vs Göztepe / Total 1.5"/>
    <s v="Fulltbet"/>
    <x v="2035"/>
    <n v="-3.08"/>
    <n v="4.4999999999999998E-2"/>
    <n v="-3.08"/>
    <x v="10"/>
    <x v="32"/>
    <x v="169"/>
    <n v="4"/>
    <x v="152"/>
    <n v="0"/>
    <n v="-0.77"/>
    <n v="0"/>
    <x v="0"/>
    <x v="33"/>
    <x v="484"/>
    <s v="Samsunspor vs Göztepe"/>
  </r>
  <r>
    <s v="Samsunspor vs Göztepe / Match Odds"/>
    <s v="Fulltbet"/>
    <x v="2036"/>
    <n v="5.42"/>
    <n v="4.4999999999999998E-2"/>
    <n v="5.6753926701570681"/>
    <x v="10"/>
    <x v="38"/>
    <x v="13"/>
    <n v="51.12"/>
    <x v="152"/>
    <n v="0.25539267015706812"/>
    <n v="0.10602503912363068"/>
    <n v="1"/>
    <x v="0"/>
    <x v="33"/>
    <x v="484"/>
    <s v="Samsunspor vs Göztepe"/>
  </r>
  <r>
    <s v="Nacional da Madeira vs Vitoria de Guimaraes / Match Odds"/>
    <s v="Fulltbet"/>
    <x v="2037"/>
    <n v="1.37"/>
    <n v="4.4999999999999998E-2"/>
    <n v="1.4345549738219896"/>
    <x v="10"/>
    <x v="38"/>
    <x v="200"/>
    <n v="50.05"/>
    <x v="152"/>
    <n v="6.4554973821989492E-2"/>
    <n v="2.7372627372627377E-2"/>
    <n v="1"/>
    <x v="0"/>
    <x v="423"/>
    <x v="241"/>
    <s v="Nacional da Madeira vs Vitoria de Guimaraes"/>
  </r>
  <r>
    <s v="FBC Melgar vs Sport Huancayo / Total 1.5"/>
    <s v="Fulltbet"/>
    <x v="2038"/>
    <n v="-3.6"/>
    <n v="4.4999999999999998E-2"/>
    <n v="-3.6"/>
    <x v="10"/>
    <x v="32"/>
    <x v="41"/>
    <n v="4"/>
    <x v="152"/>
    <n v="0"/>
    <n v="-0.9"/>
    <n v="0"/>
    <x v="0"/>
    <x v="592"/>
    <x v="764"/>
    <s v="FBC Melgar vs Sport Huancayo"/>
  </r>
  <r>
    <s v="Universitario de Vinto vs Club Bolívar / Total 2.5"/>
    <s v="Fulltbet"/>
    <x v="2039"/>
    <n v="-5"/>
    <n v="4.4999999999999998E-2"/>
    <n v="-5"/>
    <x v="10"/>
    <x v="34"/>
    <x v="262"/>
    <n v="5"/>
    <x v="152"/>
    <n v="0"/>
    <n v="-1"/>
    <n v="0"/>
    <x v="0"/>
    <x v="595"/>
    <x v="765"/>
    <s v="Universitario de Vinto vs Club Bolívar"/>
  </r>
  <r>
    <s v="Dinamo Bucuresti vs CFR Cluj / Match Odds"/>
    <s v="Fulltbet"/>
    <x v="2040"/>
    <n v="16.190000000000001"/>
    <n v="4.4999999999999998E-2"/>
    <n v="16.952879581151834"/>
    <x v="11"/>
    <x v="44"/>
    <x v="240"/>
    <n v="50"/>
    <x v="152"/>
    <n v="0.7628795811518323"/>
    <n v="0.32380000000000003"/>
    <n v="1"/>
    <x v="0"/>
    <x v="336"/>
    <x v="766"/>
    <s v="Dinamo Bucuresti vs CFR Cluj"/>
  </r>
  <r>
    <s v="Dinamo Bucuresti vs CFR Cluj / Total 0.5"/>
    <s v="Fulltbet"/>
    <x v="2041"/>
    <n v="-2"/>
    <n v="4.4999999999999998E-2"/>
    <n v="-2"/>
    <x v="10"/>
    <x v="40"/>
    <x v="181"/>
    <n v="2"/>
    <x v="152"/>
    <n v="0"/>
    <n v="-1"/>
    <n v="0"/>
    <x v="0"/>
    <x v="336"/>
    <x v="766"/>
    <s v="Dinamo Bucuresti vs CFR Cluj"/>
  </r>
  <r>
    <s v="FBC Melgar vs Sport Huancayo / Match Odds"/>
    <s v="Fulltbet"/>
    <x v="2042"/>
    <n v="1.43"/>
    <n v="4.4999999999999998E-2"/>
    <n v="1.4973821989528795"/>
    <x v="10"/>
    <x v="48"/>
    <x v="253"/>
    <n v="50"/>
    <x v="152"/>
    <n v="6.7382198952879557E-2"/>
    <n v="2.86E-2"/>
    <n v="1"/>
    <x v="0"/>
    <x v="592"/>
    <x v="764"/>
    <s v="FBC Melgar vs Sport Huancayo"/>
  </r>
  <r>
    <s v="Al Ahli Jeddah vs Al-Kholood Club / Match Odds"/>
    <s v="Fulltbet"/>
    <x v="2043"/>
    <n v="2.04"/>
    <n v="4.4999999999999998E-2"/>
    <n v="2.1361256544502618"/>
    <x v="10"/>
    <x v="36"/>
    <x v="29"/>
    <n v="31.03"/>
    <x v="152"/>
    <n v="9.6125654450261777E-2"/>
    <n v="6.5742829519819523E-2"/>
    <n v="1"/>
    <x v="14"/>
    <x v="252"/>
    <x v="539"/>
    <s v="Al Ahli Jeddah vs Al-Kholood Club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</r>
  <r>
    <s v="Willem II vs Almere City / Match Odds"/>
    <s v="Fulltbet"/>
    <x v="2045"/>
    <n v="3.68"/>
    <n v="4.4999999999999998E-2"/>
    <n v="3.8534031413612571"/>
    <x v="10"/>
    <x v="38"/>
    <x v="8"/>
    <n v="50.05"/>
    <x v="152"/>
    <n v="0.1734031413612569"/>
    <n v="7.352647352647354E-2"/>
    <n v="1"/>
    <x v="0"/>
    <x v="120"/>
    <x v="127"/>
    <s v="Willem II vs Almere City"/>
  </r>
  <r>
    <s v="Famalicão vs Alverca / Total 0.5"/>
    <s v="Fulltbet"/>
    <x v="2046"/>
    <n v="0.28999999999999998"/>
    <n v="4.4999999999999998E-2"/>
    <n v="0.30366492146596857"/>
    <x v="10"/>
    <x v="49"/>
    <x v="263"/>
    <n v="2"/>
    <x v="152"/>
    <n v="1.3664921465968594E-2"/>
    <n v="0.14499999999999999"/>
    <n v="1"/>
    <x v="0"/>
    <x v="146"/>
    <x v="337"/>
    <s v="Famalicão vs Alverca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</r>
  <r>
    <s v="Sporting CP vs Gil Vicente / Match Odds"/>
    <s v="Fulltbet"/>
    <x v="2047"/>
    <n v="1.8526999999999998"/>
    <n v="4.4999999999999998E-2"/>
    <n v="1.94"/>
    <x v="10"/>
    <x v="36"/>
    <x v="10"/>
    <n v="31.04"/>
    <x v="152"/>
    <n v="8.7300000000000155E-2"/>
    <n v="5.9687499999999998E-2"/>
    <n v="1"/>
    <x v="0"/>
    <x v="204"/>
    <x v="767"/>
    <s v="Sporting CP vs Gil Vicente"/>
  </r>
  <r>
    <s v="CF Montreal vs Chicago Fire / Total 1.5"/>
    <s v="Fulltbet"/>
    <x v="2048"/>
    <n v="-1.49"/>
    <n v="4.4999999999999998E-2"/>
    <n v="-1.49"/>
    <x v="10"/>
    <x v="32"/>
    <x v="36"/>
    <n v="4"/>
    <x v="152"/>
    <n v="0"/>
    <n v="-0.3725"/>
    <n v="0"/>
    <x v="0"/>
    <x v="629"/>
    <x v="553"/>
    <s v="CF Montreal vs Chicago Fire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</r>
  <r>
    <s v="Fluminense FC vs São Paulo / Total 1.5"/>
    <s v="Fulltbet"/>
    <x v="2051"/>
    <n v="3.82"/>
    <n v="4.4999999999999998E-2"/>
    <n v="4"/>
    <x v="10"/>
    <x v="32"/>
    <x v="264"/>
    <n v="4"/>
    <x v="152"/>
    <n v="0.18000000000000016"/>
    <n v="0.95499999999999996"/>
    <n v="1"/>
    <x v="0"/>
    <x v="87"/>
    <x v="534"/>
    <s v="Fluminense FC vs São Paulo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</r>
  <r>
    <s v="Atlético Mineiro vs Mirassol FC / Match Odds"/>
    <s v="Fulltbet"/>
    <x v="2053"/>
    <n v="2.02"/>
    <n v="4.4999999999999998E-2"/>
    <n v="2.1151832460732987"/>
    <x v="10"/>
    <x v="39"/>
    <x v="103"/>
    <n v="2"/>
    <x v="152"/>
    <n v="9.5183246073298644E-2"/>
    <n v="1.01"/>
    <n v="1"/>
    <x v="0"/>
    <x v="86"/>
    <x v="525"/>
    <s v="Atlético Mineiro vs Mirassol FC"/>
  </r>
  <r>
    <s v="O'Higgins vs Universidad de Concepción / Match Odds"/>
    <s v="Fulltbet"/>
    <x v="2054"/>
    <n v="-10"/>
    <n v="4.4999999999999998E-2"/>
    <n v="-10"/>
    <x v="10"/>
    <x v="41"/>
    <x v="265"/>
    <n v="10"/>
    <x v="152"/>
    <n v="0"/>
    <n v="-1"/>
    <n v="0"/>
    <x v="0"/>
    <x v="714"/>
    <x v="768"/>
    <s v="O'Higgins vs Universidad de Concepción"/>
  </r>
  <r>
    <s v="Fluminense FC vs São Paulo / Match Odds"/>
    <s v="Fulltbet"/>
    <x v="2055"/>
    <n v="1.43"/>
    <n v="4.4999999999999998E-2"/>
    <n v="1.4973821989528795"/>
    <x v="10"/>
    <x v="48"/>
    <x v="253"/>
    <n v="50"/>
    <x v="152"/>
    <n v="6.7382198952879557E-2"/>
    <n v="2.86E-2"/>
    <n v="1"/>
    <x v="0"/>
    <x v="87"/>
    <x v="534"/>
    <s v="Fluminense FC vs São Paulo"/>
  </r>
  <r>
    <s v="DC United vs Saint Louis City SC / Correct Score"/>
    <s v="Fulltbet"/>
    <x v="2056"/>
    <n v="1.71"/>
    <n v="4.4999999999999998E-2"/>
    <n v="1.7905759162303665"/>
    <x v="10"/>
    <x v="31"/>
    <x v="35"/>
    <n v="48.33"/>
    <x v="152"/>
    <n v="8.0575916230366529E-2"/>
    <n v="3.5381750465549346E-2"/>
    <n v="1"/>
    <x v="0"/>
    <x v="686"/>
    <x v="631"/>
    <s v="DC United vs Saint Louis City SC"/>
  </r>
  <r>
    <s v="Orlando City vs Atlanta United FC / Total 3.5"/>
    <s v="Fulltbet"/>
    <x v="2057"/>
    <n v="2.08"/>
    <n v="4.4999999999999998E-2"/>
    <n v="2.1780104712041886"/>
    <x v="10"/>
    <x v="33"/>
    <x v="180"/>
    <n v="10"/>
    <x v="152"/>
    <n v="9.8010471204188487E-2"/>
    <n v="0.20800000000000002"/>
    <n v="1"/>
    <x v="0"/>
    <x v="715"/>
    <x v="769"/>
    <s v="Orlando City vs Atlanta United FC"/>
  </r>
  <r>
    <s v="Orlando City vs Atlanta United FC / Match Odds"/>
    <s v="Fulltbet"/>
    <x v="2058"/>
    <n v="2.65"/>
    <n v="4.4999999999999998E-2"/>
    <n v="2.7748691099476441"/>
    <x v="10"/>
    <x v="38"/>
    <x v="30"/>
    <n v="47.26"/>
    <x v="152"/>
    <n v="0.12486910994764422"/>
    <n v="5.6072788827761323E-2"/>
    <n v="1"/>
    <x v="0"/>
    <x v="715"/>
    <x v="769"/>
    <s v="Orlando City vs Atlanta United FC"/>
  </r>
  <r>
    <s v="DC United vs Saint Louis City SC / Match Odds"/>
    <s v="Fulltbet"/>
    <x v="2059"/>
    <n v="-2"/>
    <n v="4.4999999999999998E-2"/>
    <n v="-2"/>
    <x v="10"/>
    <x v="39"/>
    <x v="181"/>
    <n v="2"/>
    <x v="152"/>
    <n v="0"/>
    <n v="-1"/>
    <n v="0"/>
    <x v="0"/>
    <x v="686"/>
    <x v="631"/>
    <s v="DC United vs Saint Louis City SC"/>
  </r>
  <r>
    <s v="DC United vs Saint Louis City SC / Match Odds"/>
    <s v="Fulltbet"/>
    <x v="2059"/>
    <n v="23.38"/>
    <n v="4.1500000000000002E-2"/>
    <n v="24.392279603547209"/>
    <x v="11"/>
    <x v="44"/>
    <x v="266"/>
    <n v="50"/>
    <x v="152"/>
    <n v="1.0122796035472099"/>
    <n v="0.46759999999999996"/>
    <n v="1"/>
    <x v="0"/>
    <x v="686"/>
    <x v="631"/>
    <s v="DC United vs Saint Louis City SC"/>
  </r>
  <r>
    <s v="New York Red Bulls vs New York City FC / Correct Score"/>
    <s v="Fulltbet"/>
    <x v="2060"/>
    <n v="1.71"/>
    <n v="4.4999999999999998E-2"/>
    <n v="1.7905759162303665"/>
    <x v="10"/>
    <x v="31"/>
    <x v="80"/>
    <n v="50.12"/>
    <x v="152"/>
    <n v="8.0575916230366529E-2"/>
    <n v="3.4118116520351155E-2"/>
    <n v="1"/>
    <x v="0"/>
    <x v="586"/>
    <x v="731"/>
    <s v="New York Red Bulls vs New York City FC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</r>
  <r>
    <s v="Palmeiras vs Cruzeiro / Match Odds"/>
    <s v="Fulltbet"/>
    <x v="2062"/>
    <n v="-2"/>
    <n v="4.4999999999999998E-2"/>
    <n v="-2"/>
    <x v="10"/>
    <x v="39"/>
    <x v="62"/>
    <n v="2"/>
    <x v="152"/>
    <n v="0"/>
    <n v="-1"/>
    <n v="0"/>
    <x v="0"/>
    <x v="475"/>
    <x v="584"/>
    <s v="Palmeiras vs Cruzeiro"/>
  </r>
  <r>
    <s v="Real Salt Lake vs Colorado Rapids / Total 1.5"/>
    <s v="Fulltbet"/>
    <x v="2063"/>
    <n v="3.82"/>
    <n v="4.4999999999999998E-2"/>
    <n v="4"/>
    <x v="10"/>
    <x v="32"/>
    <x v="31"/>
    <n v="4"/>
    <x v="152"/>
    <n v="0.18000000000000016"/>
    <n v="0.95499999999999996"/>
    <n v="1"/>
    <x v="0"/>
    <x v="688"/>
    <x v="622"/>
    <s v="Real Salt Lake vs Colorado Rapids"/>
  </r>
  <r>
    <s v="Seattle Sounders vs Los Angeles Galaxy / Total 1.5"/>
    <s v="Fulltbet"/>
    <x v="2064"/>
    <n v="-5"/>
    <n v="4.4999999999999998E-2"/>
    <n v="-5"/>
    <x v="10"/>
    <x v="35"/>
    <x v="54"/>
    <n v="5"/>
    <x v="153"/>
    <n v="0"/>
    <n v="-1"/>
    <n v="0"/>
    <x v="0"/>
    <x v="636"/>
    <x v="771"/>
    <s v="Seattle Sounders vs Los Angeles Galaxy"/>
  </r>
  <r>
    <s v="Seattle Sounders vs Los Angeles Galaxy / Correct Score"/>
    <s v="Fulltbet"/>
    <x v="2065"/>
    <n v="3.53"/>
    <n v="4.4999999999999998E-2"/>
    <n v="3.6963350785340312"/>
    <x v="10"/>
    <x v="31"/>
    <x v="15"/>
    <n v="51.8"/>
    <x v="153"/>
    <n v="0.1663350785340314"/>
    <n v="6.8146718146718147E-2"/>
    <n v="1"/>
    <x v="0"/>
    <x v="636"/>
    <x v="771"/>
    <s v="Seattle Sounders vs Los Angeles Galaxy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</r>
  <r>
    <s v="Seattle Sounders vs Los Angeles Galaxy / Total 3.5"/>
    <s v="Fulltbet"/>
    <x v="2067"/>
    <n v="2.15"/>
    <n v="4.4999999999999998E-2"/>
    <n v="2.25130890052356"/>
    <x v="10"/>
    <x v="33"/>
    <x v="47"/>
    <n v="10"/>
    <x v="153"/>
    <n v="0.10130890052356012"/>
    <n v="0.215"/>
    <n v="1"/>
    <x v="0"/>
    <x v="636"/>
    <x v="771"/>
    <s v="Seattle Sounders vs Los Angeles Galaxy"/>
  </r>
  <r>
    <s v="Deportivo La Coruña vs Andorra FC / Total 1.5"/>
    <s v="Fulltbet"/>
    <x v="2068"/>
    <n v="3.82"/>
    <n v="4.4999999999999998E-2"/>
    <n v="4"/>
    <x v="10"/>
    <x v="32"/>
    <x v="44"/>
    <n v="4"/>
    <x v="153"/>
    <n v="0.18000000000000016"/>
    <n v="0.95499999999999996"/>
    <n v="1"/>
    <x v="0"/>
    <x v="314"/>
    <x v="395"/>
    <s v="Deportivo La Coruña vs Andorra FC"/>
  </r>
  <r>
    <s v="FC Red Bull Salzburg vs TSV Egger Glas Hartberg / Total 1.5"/>
    <s v="Fulltbet"/>
    <x v="2069"/>
    <n v="3.82"/>
    <n v="4.4999999999999998E-2"/>
    <n v="4"/>
    <x v="10"/>
    <x v="32"/>
    <x v="34"/>
    <n v="4"/>
    <x v="153"/>
    <n v="0.18000000000000016"/>
    <n v="0.95499999999999996"/>
    <n v="1"/>
    <x v="0"/>
    <x v="140"/>
    <x v="772"/>
    <s v="FC Red Bull Salzburg vs TSV Egger Glas Hartberg"/>
  </r>
  <r>
    <s v="Internazionale vs Hellas Verona / 1st Half Total 0.5"/>
    <s v="Fulltbet"/>
    <x v="2070"/>
    <n v="-2"/>
    <n v="4.4999999999999998E-2"/>
    <n v="-2"/>
    <x v="10"/>
    <x v="43"/>
    <x v="57"/>
    <n v="2"/>
    <x v="153"/>
    <n v="0"/>
    <n v="-1"/>
    <n v="0"/>
    <x v="0"/>
    <x v="220"/>
    <x v="243"/>
    <s v="Internazionale vs Hellas Verona"/>
  </r>
  <r>
    <s v="IF Brommapojkarna vs Kalmar FF / Match Odds"/>
    <s v="Fulltbet"/>
    <x v="2071"/>
    <n v="3.53"/>
    <n v="4.4999999999999998E-2"/>
    <n v="3.6963350785340312"/>
    <x v="10"/>
    <x v="38"/>
    <x v="17"/>
    <n v="49.95"/>
    <x v="153"/>
    <n v="0.1663350785340314"/>
    <n v="7.0670670670670663E-2"/>
    <n v="1"/>
    <x v="0"/>
    <x v="717"/>
    <x v="773"/>
    <s v="IF Brommapojkarna vs Kalmar FF"/>
  </r>
  <r>
    <s v="FC Utrecht vs Fortuna Sittard / Total 1.5"/>
    <s v="Fulltbet"/>
    <x v="2072"/>
    <n v="-2.19"/>
    <n v="4.4999999999999998E-2"/>
    <n v="-2.19"/>
    <x v="10"/>
    <x v="32"/>
    <x v="3"/>
    <n v="4"/>
    <x v="153"/>
    <n v="0"/>
    <n v="-0.54749999999999999"/>
    <n v="0"/>
    <x v="0"/>
    <x v="387"/>
    <x v="506"/>
    <s v="FC Utrecht vs Fortuna Sittard"/>
  </r>
  <r>
    <s v="Arminia Bielefeld vs Hertha BSC / Total 0.5"/>
    <s v="Fulltbet"/>
    <x v="2073"/>
    <n v="0.13"/>
    <n v="4.4999999999999998E-2"/>
    <n v="0.13612565445026178"/>
    <x v="10"/>
    <x v="49"/>
    <x v="267"/>
    <n v="2"/>
    <x v="153"/>
    <n v="6.1256544502617805E-3"/>
    <n v="6.5000000000000002E-2"/>
    <n v="1"/>
    <x v="0"/>
    <x v="285"/>
    <x v="513"/>
    <s v="Arminia Bielefeld vs Hertha BSC"/>
  </r>
  <r>
    <s v="PEC Zwolle vs Feyenoord / Total 0.5"/>
    <s v="Fulltbet"/>
    <x v="2074"/>
    <n v="0.12"/>
    <n v="4.4999999999999998E-2"/>
    <n v="0.1256544502617801"/>
    <x v="10"/>
    <x v="49"/>
    <x v="246"/>
    <n v="2"/>
    <x v="153"/>
    <n v="5.6544502617801029E-3"/>
    <n v="0.06"/>
    <n v="1"/>
    <x v="0"/>
    <x v="266"/>
    <x v="256"/>
    <s v="PEC Zwolle vs Feyenoord"/>
  </r>
  <r>
    <s v="PEC Zwolle vs Feyenoord / Both Teams To Score"/>
    <s v="Fulltbet"/>
    <x v="2075"/>
    <n v="-2"/>
    <n v="4.4999999999999998E-2"/>
    <n v="-2"/>
    <x v="10"/>
    <x v="51"/>
    <x v="56"/>
    <n v="2"/>
    <x v="153"/>
    <n v="0"/>
    <n v="-1"/>
    <n v="0"/>
    <x v="0"/>
    <x v="266"/>
    <x v="256"/>
    <s v="PEC Zwolle vs Feyenoord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</r>
  <r>
    <s v="Sparta Rotterdam vs Excelsior Rotterdam / Match Odds"/>
    <s v="Fulltbet"/>
    <x v="2077"/>
    <n v="-2"/>
    <n v="4.4999999999999998E-2"/>
    <n v="-2"/>
    <x v="10"/>
    <x v="39"/>
    <x v="103"/>
    <n v="2"/>
    <x v="153"/>
    <n v="0"/>
    <n v="-1"/>
    <n v="0"/>
    <x v="0"/>
    <x v="718"/>
    <x v="253"/>
    <s v="Sparta Rotterdam vs Excelsior Rotterdam"/>
  </r>
  <r>
    <s v="Heerenveen vs Ajax / Total 0.5"/>
    <s v="Fulltbet"/>
    <x v="2078"/>
    <n v="-2"/>
    <n v="4.4999999999999998E-2"/>
    <n v="-2"/>
    <x v="10"/>
    <x v="40"/>
    <x v="98"/>
    <n v="2"/>
    <x v="153"/>
    <n v="0"/>
    <n v="-1"/>
    <n v="0"/>
    <x v="0"/>
    <x v="240"/>
    <x v="198"/>
    <s v="Heerenveen vs Ajax"/>
  </r>
  <r>
    <s v="Arminia Bielefeld vs Hertha BSC / Total 1.5"/>
    <s v="Fulltbet"/>
    <x v="2079"/>
    <n v="3.82"/>
    <n v="4.4999999999999998E-2"/>
    <n v="4"/>
    <x v="10"/>
    <x v="32"/>
    <x v="157"/>
    <n v="4"/>
    <x v="153"/>
    <n v="0.18000000000000016"/>
    <n v="0.95499999999999996"/>
    <n v="1"/>
    <x v="0"/>
    <x v="285"/>
    <x v="513"/>
    <s v="Arminia Bielefeld vs Hertha BSC"/>
  </r>
  <r>
    <s v="Hannover 96 vs 1. FC Nürnberg / Total 3.5"/>
    <s v="Fulltbet"/>
    <x v="2080"/>
    <n v="-10"/>
    <n v="4.4999999999999998E-2"/>
    <n v="-10"/>
    <x v="10"/>
    <x v="33"/>
    <x v="47"/>
    <n v="10"/>
    <x v="153"/>
    <n v="0"/>
    <n v="-1"/>
    <n v="0"/>
    <x v="0"/>
    <x v="291"/>
    <x v="146"/>
    <s v="Hannover 96 vs 1. FC Nürnberg"/>
  </r>
  <r>
    <s v="Wolverhampton Wanderers vs Fulham / Total 1.5"/>
    <s v="Fulltbet"/>
    <x v="2081"/>
    <n v="3.82"/>
    <n v="4.4999999999999998E-2"/>
    <n v="4"/>
    <x v="10"/>
    <x v="32"/>
    <x v="22"/>
    <n v="4"/>
    <x v="153"/>
    <n v="0.18000000000000016"/>
    <n v="0.95499999999999996"/>
    <n v="1"/>
    <x v="0"/>
    <x v="105"/>
    <x v="388"/>
    <s v="Wolverhampton Wanderers vs Fulham"/>
  </r>
  <r>
    <s v="Internazionale vs Hellas Verona / Match Odds"/>
    <s v="Fulltbet"/>
    <x v="2082"/>
    <n v="3.41"/>
    <n v="4.4999999999999998E-2"/>
    <n v="3.5706806282722514"/>
    <x v="10"/>
    <x v="36"/>
    <x v="0"/>
    <n v="29.99"/>
    <x v="153"/>
    <n v="0.16068062827225127"/>
    <n v="0.11370456818939648"/>
    <n v="1"/>
    <x v="0"/>
    <x v="220"/>
    <x v="243"/>
    <s v="Internazionale vs Hellas Verona"/>
  </r>
  <r>
    <s v="NK Slaven Belupo vs Dinamo Zagreb / Total 1.5"/>
    <s v="Fulltbet"/>
    <x v="2083"/>
    <n v="3.82"/>
    <n v="4.4999999999999998E-2"/>
    <n v="4"/>
    <x v="10"/>
    <x v="32"/>
    <x v="89"/>
    <n v="4"/>
    <x v="153"/>
    <n v="0.18000000000000016"/>
    <n v="0.95499999999999996"/>
    <n v="1"/>
    <x v="0"/>
    <x v="719"/>
    <x v="352"/>
    <s v="NK Slaven Belupo vs Dinamo Zagreb"/>
  </r>
  <r>
    <s v="SV Darmstadt 98 vs SC Paderborn 07 / Total 1.5"/>
    <s v="Fulltbet"/>
    <x v="2084"/>
    <n v="-2.62"/>
    <n v="4.4999999999999998E-2"/>
    <n v="-2.62"/>
    <x v="10"/>
    <x v="32"/>
    <x v="3"/>
    <n v="4"/>
    <x v="153"/>
    <n v="0"/>
    <n v="-0.65500000000000003"/>
    <n v="0"/>
    <x v="0"/>
    <x v="137"/>
    <x v="289"/>
    <s v="SV Darmstadt 98 vs SC Paderborn 07"/>
  </r>
  <r>
    <s v="FC Schalke 04 vs Eintracht Braunschweig / Match Odds"/>
    <s v="Fulltbet"/>
    <x v="2085"/>
    <n v="1.9863999999999999"/>
    <n v="4.4999999999999998E-2"/>
    <n v="2.08"/>
    <x v="10"/>
    <x v="38"/>
    <x v="117"/>
    <n v="52"/>
    <x v="153"/>
    <n v="9.3600000000000128E-2"/>
    <n v="3.8199999999999998E-2"/>
    <n v="1"/>
    <x v="0"/>
    <x v="138"/>
    <x v="314"/>
    <s v="FC Schalke 04 vs Eintracht Braunschweig"/>
  </r>
  <r>
    <s v="FC Schalke 04 vs Eintracht Braunschweig / Match Odds"/>
    <s v="Fulltbet"/>
    <x v="2085"/>
    <n v="1.7572000000000001"/>
    <n v="4.4999999999999998E-2"/>
    <n v="1.84"/>
    <x v="10"/>
    <x v="39"/>
    <x v="75"/>
    <n v="2"/>
    <x v="153"/>
    <n v="8.2799999999999985E-2"/>
    <n v="0.87860000000000005"/>
    <n v="1"/>
    <x v="0"/>
    <x v="138"/>
    <x v="314"/>
    <s v="FC Schalke 04 vs Eintracht Braunschweig"/>
  </r>
  <r>
    <s v="FC Schalke 04 vs Eintracht Braunschweig / Total 1.5"/>
    <s v="Fulltbet"/>
    <x v="2086"/>
    <n v="-10.4"/>
    <n v="4.4999999999999998E-2"/>
    <n v="-10.4"/>
    <x v="10"/>
    <x v="32"/>
    <x v="38"/>
    <n v="4"/>
    <x v="153"/>
    <n v="0"/>
    <n v="-2.6"/>
    <n v="0"/>
    <x v="0"/>
    <x v="138"/>
    <x v="314"/>
    <s v="FC Schalke 04 vs Eintracht Braunschweig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</r>
  <r>
    <s v="SV Elversberg vs Preußen Münster / Match Odds"/>
    <s v="Fulltbet"/>
    <x v="2088"/>
    <n v="1.8"/>
    <n v="4.4999999999999998E-2"/>
    <n v="1.8848167539267018"/>
    <x v="10"/>
    <x v="36"/>
    <x v="10"/>
    <n v="30.08"/>
    <x v="153"/>
    <n v="8.4816753926701738E-2"/>
    <n v="5.9840425531914897E-2"/>
    <n v="1"/>
    <x v="0"/>
    <x v="136"/>
    <x v="145"/>
    <s v="SV Elversberg vs Preußen Münster"/>
  </r>
  <r>
    <s v="Dynamo Dresden vs Holstein Kiel / Match Odds"/>
    <s v="Fulltbet"/>
    <x v="2089"/>
    <n v="1.6425999999999998"/>
    <n v="4.4999999999999998E-2"/>
    <n v="1.72"/>
    <x v="10"/>
    <x v="39"/>
    <x v="68"/>
    <n v="2"/>
    <x v="153"/>
    <n v="7.7400000000000135E-2"/>
    <n v="0.82129999999999992"/>
    <n v="1"/>
    <x v="0"/>
    <x v="420"/>
    <x v="51"/>
    <s v="Dynamo Dresden vs Holstein Kiel"/>
  </r>
  <r>
    <s v="Dynamo Dresden vs Holstein Kiel / Match Odds"/>
    <s v="Fulltbet"/>
    <x v="2089"/>
    <n v="2.3874999999999997"/>
    <n v="4.4999999999999998E-2"/>
    <n v="2.5"/>
    <x v="10"/>
    <x v="48"/>
    <x v="268"/>
    <n v="50"/>
    <x v="153"/>
    <n v="0.11250000000000027"/>
    <n v="4.7749999999999994E-2"/>
    <n v="1"/>
    <x v="0"/>
    <x v="420"/>
    <x v="51"/>
    <s v="Dynamo Dresden vs Holstein Kiel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</r>
  <r>
    <s v="Kayserispor vs Konyaspor / Correct Score"/>
    <s v="Fulltbet"/>
    <x v="2091"/>
    <n v="3.41"/>
    <n v="4.4999999999999998E-2"/>
    <n v="3.5706806282722514"/>
    <x v="10"/>
    <x v="31"/>
    <x v="15"/>
    <n v="49.98"/>
    <x v="153"/>
    <n v="0.16068062827225127"/>
    <n v="6.8227290916366548E-2"/>
    <n v="1"/>
    <x v="0"/>
    <x v="466"/>
    <x v="379"/>
    <s v="Kayserispor vs Konyaspor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</r>
  <r>
    <s v="FC St. Gallen vs FC Thun / Match Odds"/>
    <s v="Fulltbet"/>
    <x v="2094"/>
    <n v="2.39"/>
    <n v="4.4999999999999998E-2"/>
    <n v="2.5026178010471205"/>
    <x v="10"/>
    <x v="38"/>
    <x v="11"/>
    <n v="50"/>
    <x v="153"/>
    <n v="0.11261780104712038"/>
    <n v="4.7800000000000002E-2"/>
    <n v="1"/>
    <x v="0"/>
    <x v="720"/>
    <x v="619"/>
    <s v="FC St. Gallen vs FC Thun"/>
  </r>
  <r>
    <s v="BSC Young Boys vs FC Sion / Correct Score"/>
    <s v="Fulltbet"/>
    <x v="2095"/>
    <n v="3.53"/>
    <n v="4.4999999999999998E-2"/>
    <n v="3.6963350785340312"/>
    <x v="10"/>
    <x v="31"/>
    <x v="17"/>
    <n v="49.95"/>
    <x v="153"/>
    <n v="0.1663350785340314"/>
    <n v="7.0670670670670663E-2"/>
    <n v="1"/>
    <x v="0"/>
    <x v="139"/>
    <x v="774"/>
    <s v="BSC Young Boys vs FC Sion"/>
  </r>
  <r>
    <s v="Asociacion Deportiva Tarma vs Comerciantes Unidos / Total 1.5"/>
    <s v="Fulltbet"/>
    <x v="2096"/>
    <n v="3.82"/>
    <n v="4.4999999999999998E-2"/>
    <n v="4"/>
    <x v="10"/>
    <x v="32"/>
    <x v="28"/>
    <n v="4"/>
    <x v="153"/>
    <n v="0.18000000000000016"/>
    <n v="0.95499999999999996"/>
    <n v="1"/>
    <x v="0"/>
    <x v="721"/>
    <x v="775"/>
    <s v="Asociacion Deportiva Tarma vs Comerciantes Unidos"/>
  </r>
  <r>
    <s v="Lechia Gdansk vs Legia Warszawa / Total 1.5"/>
    <s v="Fulltbet"/>
    <x v="2097"/>
    <n v="-0.96"/>
    <n v="4.4999999999999998E-2"/>
    <n v="-0.96"/>
    <x v="10"/>
    <x v="32"/>
    <x v="116"/>
    <n v="4"/>
    <x v="153"/>
    <n v="0"/>
    <n v="-0.24"/>
    <n v="0"/>
    <x v="0"/>
    <x v="372"/>
    <x v="776"/>
    <s v="Lechia Gdansk vs Legia Warszawa"/>
  </r>
  <r>
    <s v="Lechia Gdansk vs Legia Warszawa / Total 1.5"/>
    <s v="Fulltbet"/>
    <x v="2097"/>
    <n v="-2"/>
    <n v="4.4999999999999998E-2"/>
    <n v="-2"/>
    <x v="10"/>
    <x v="50"/>
    <x v="269"/>
    <n v="2"/>
    <x v="153"/>
    <n v="0"/>
    <n v="-1"/>
    <n v="0"/>
    <x v="0"/>
    <x v="372"/>
    <x v="776"/>
    <s v="Lechia Gdansk vs Legia Warszawa"/>
  </r>
  <r>
    <s v="FC Midtjylland vs Brøndby IF / Total 2.5"/>
    <s v="Fulltbet"/>
    <x v="2098"/>
    <n v="-5"/>
    <n v="4.4999999999999998E-2"/>
    <n v="-5"/>
    <x v="10"/>
    <x v="34"/>
    <x v="167"/>
    <n v="5"/>
    <x v="153"/>
    <n v="0"/>
    <n v="-1"/>
    <n v="0"/>
    <x v="0"/>
    <x v="17"/>
    <x v="507"/>
    <s v="FC Midtjylland vs Brøndby IF"/>
  </r>
  <r>
    <s v="Atalanta vs Bologna / Total 0.5"/>
    <s v="Fulltbet"/>
    <x v="2099"/>
    <n v="2.1"/>
    <n v="4.4999999999999998E-2"/>
    <n v="2.1989528795811522"/>
    <x v="10"/>
    <x v="40"/>
    <x v="108"/>
    <n v="2"/>
    <x v="153"/>
    <n v="9.8952879581152065E-2"/>
    <n v="1.05"/>
    <n v="1"/>
    <x v="0"/>
    <x v="22"/>
    <x v="232"/>
    <s v="Atalanta vs Bologna"/>
  </r>
  <r>
    <s v="Fenerbahçe SK vs Eyüpspor / Total 1.5"/>
    <s v="Fulltbet"/>
    <x v="2100"/>
    <n v="3.82"/>
    <n v="4.4999999999999998E-2"/>
    <n v="4"/>
    <x v="10"/>
    <x v="32"/>
    <x v="16"/>
    <n v="4"/>
    <x v="153"/>
    <n v="0.18000000000000016"/>
    <n v="0.95499999999999996"/>
    <n v="1"/>
    <x v="0"/>
    <x v="399"/>
    <x v="627"/>
    <s v="Fenerbahçe SK vs Eyüpspor"/>
  </r>
  <r>
    <s v="Atalanta vs Bologna / Correct Score"/>
    <s v="Fulltbet"/>
    <x v="2101"/>
    <n v="2.65"/>
    <n v="4.4999999999999998E-2"/>
    <n v="2.7748691099476441"/>
    <x v="10"/>
    <x v="31"/>
    <x v="21"/>
    <n v="50.04"/>
    <x v="153"/>
    <n v="0.12486910994764422"/>
    <n v="5.2957633892885693E-2"/>
    <n v="1"/>
    <x v="0"/>
    <x v="22"/>
    <x v="232"/>
    <s v="Atalanta vs Bologna"/>
  </r>
  <r>
    <s v="Atalanta vs Bologna / Total 2.5"/>
    <s v="Fulltbet"/>
    <x v="2102"/>
    <n v="6.3"/>
    <n v="4.4999999999999998E-2"/>
    <n v="6.5968586387434556"/>
    <x v="10"/>
    <x v="34"/>
    <x v="181"/>
    <n v="5"/>
    <x v="153"/>
    <n v="0.29685863874345575"/>
    <n v="1.26"/>
    <n v="1"/>
    <x v="0"/>
    <x v="22"/>
    <x v="232"/>
    <s v="Atalanta vs Bologna"/>
  </r>
  <r>
    <s v="Asociacion Deportiva Tarma vs Comerciantes Unidos / Match Odds"/>
    <s v="Fulltbet"/>
    <x v="2103"/>
    <n v="2.87"/>
    <n v="4.4999999999999998E-2"/>
    <n v="3.005235602094241"/>
    <x v="10"/>
    <x v="48"/>
    <x v="246"/>
    <n v="50"/>
    <x v="153"/>
    <n v="0.1352356020942409"/>
    <n v="5.74E-2"/>
    <n v="1"/>
    <x v="0"/>
    <x v="721"/>
    <x v="775"/>
    <s v="Asociacion Deportiva Tarma vs Comerciantes Unidos"/>
  </r>
  <r>
    <s v="Newcastle United vs West Ham / Total 2.5"/>
    <s v="Fulltbet"/>
    <x v="2104"/>
    <n v="-5"/>
    <n v="4.4999999999999998E-2"/>
    <n v="-5"/>
    <x v="10"/>
    <x v="34"/>
    <x v="248"/>
    <n v="5"/>
    <x v="153"/>
    <n v="0"/>
    <n v="-1"/>
    <n v="0"/>
    <x v="0"/>
    <x v="170"/>
    <x v="58"/>
    <s v="Newcastle United vs West Ham"/>
  </r>
  <r>
    <s v="Atlético de Madrid vs Girona / Total 1.5"/>
    <s v="Fulltbet"/>
    <x v="2105"/>
    <n v="-3.77"/>
    <n v="4.4999999999999998E-2"/>
    <n v="-3.77"/>
    <x v="10"/>
    <x v="32"/>
    <x v="31"/>
    <n v="4"/>
    <x v="153"/>
    <n v="0"/>
    <n v="-0.9425"/>
    <n v="0"/>
    <x v="0"/>
    <x v="231"/>
    <x v="274"/>
    <s v="Atlético de Madrid vs Girona"/>
  </r>
  <r>
    <s v="Rayo Vallecano vs Villarreal / Match Odds"/>
    <s v="Fulltbet"/>
    <x v="2106"/>
    <n v="2.87"/>
    <n v="4.4999999999999998E-2"/>
    <n v="3.005235602094241"/>
    <x v="10"/>
    <x v="48"/>
    <x v="246"/>
    <n v="50"/>
    <x v="153"/>
    <n v="0.1352356020942409"/>
    <n v="5.74E-2"/>
    <n v="1"/>
    <x v="0"/>
    <x v="293"/>
    <x v="288"/>
    <s v="Rayo Vallecano vs Villarreal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</r>
  <r>
    <s v="Kasimpasa SK vs Galatasaray SK / Match Odds"/>
    <s v="Fulltbet"/>
    <x v="2108"/>
    <n v="3.86"/>
    <n v="4.4999999999999998E-2"/>
    <n v="4.0418848167539263"/>
    <x v="10"/>
    <x v="38"/>
    <x v="16"/>
    <n v="50.48"/>
    <x v="153"/>
    <n v="0.18188481675392643"/>
    <n v="7.6465927099841527E-2"/>
    <n v="1"/>
    <x v="0"/>
    <x v="722"/>
    <x v="346"/>
    <s v="Kasimpasa SK vs Galatasaray SK"/>
  </r>
  <r>
    <s v="Antalyaspor vs Kocaelispor / Correct Score"/>
    <s v="Fulltbet"/>
    <x v="2109"/>
    <n v="1.83"/>
    <n v="4.4999999999999998E-2"/>
    <n v="1.9162303664921467"/>
    <x v="10"/>
    <x v="31"/>
    <x v="110"/>
    <n v="46.08"/>
    <x v="153"/>
    <n v="8.6230366492146659E-2"/>
    <n v="3.9713541666666671E-2"/>
    <n v="1"/>
    <x v="0"/>
    <x v="332"/>
    <x v="548"/>
    <s v="Antalyaspor vs Kocaelispor"/>
  </r>
  <r>
    <s v="Antalyaspor vs Kocaelispor / Total 1.5"/>
    <s v="Fulltbet"/>
    <x v="2110"/>
    <n v="1.37"/>
    <n v="4.4999999999999998E-2"/>
    <n v="1.4345549738219896"/>
    <x v="10"/>
    <x v="35"/>
    <x v="159"/>
    <n v="3.12"/>
    <x v="153"/>
    <n v="6.4554973821989492E-2"/>
    <n v="0.4391025641025641"/>
    <n v="1"/>
    <x v="0"/>
    <x v="332"/>
    <x v="548"/>
    <s v="Antalyaspor vs Kocaelispor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</r>
  <r>
    <s v="Al-Shabab Riyadh vs Al-Ittihad Jeddah / Total 0.5"/>
    <s v="Fulltbet"/>
    <x v="2112"/>
    <n v="0.17"/>
    <n v="4.4999999999999998E-2"/>
    <n v="0.1780104712041885"/>
    <x v="10"/>
    <x v="49"/>
    <x v="249"/>
    <n v="2"/>
    <x v="153"/>
    <n v="8.0104712041884907E-3"/>
    <n v="8.5000000000000006E-2"/>
    <n v="1"/>
    <x v="0"/>
    <x v="276"/>
    <x v="304"/>
    <s v="Al-Shabab Riyadh vs Al-Ittihad Jeddah"/>
  </r>
  <r>
    <s v="OGC Nice vs FC Metz / 1st Half Total 0.5"/>
    <s v="Fulltbet"/>
    <x v="2113"/>
    <n v="-2"/>
    <n v="4.4999999999999998E-2"/>
    <n v="-2"/>
    <x v="10"/>
    <x v="43"/>
    <x v="58"/>
    <n v="2"/>
    <x v="153"/>
    <n v="0"/>
    <n v="-1"/>
    <n v="0"/>
    <x v="0"/>
    <x v="582"/>
    <x v="230"/>
    <s v="OGC Nice vs FC Metz"/>
  </r>
  <r>
    <s v="Al-Shabab Riyadh vs Al-Ittihad Jeddah / Match Odds"/>
    <s v="Fulltbet"/>
    <x v="2114"/>
    <n v="4.3"/>
    <n v="4.4999999999999998E-2"/>
    <n v="4.5026178010471201"/>
    <x v="10"/>
    <x v="48"/>
    <x v="249"/>
    <n v="50"/>
    <x v="153"/>
    <n v="0.20261780104712024"/>
    <n v="8.5999999999999993E-2"/>
    <n v="1"/>
    <x v="0"/>
    <x v="276"/>
    <x v="304"/>
    <s v="Al-Shabab Riyadh vs Al-Ittihad Jeddah"/>
  </r>
  <r>
    <s v="FC Barcelona vs Real Betis / Total 1.5"/>
    <s v="Fulltbet"/>
    <x v="2115"/>
    <n v="-1.81"/>
    <n v="4.4999999999999998E-2"/>
    <n v="-1.81"/>
    <x v="10"/>
    <x v="32"/>
    <x v="22"/>
    <n v="4"/>
    <x v="153"/>
    <n v="0"/>
    <n v="-0.45250000000000001"/>
    <n v="0"/>
    <x v="0"/>
    <x v="130"/>
    <x v="228"/>
    <s v="FC Barcelona vs Real Betis"/>
  </r>
  <r>
    <s v="Lille OSC vs AJ Auxerre / Total 1.5"/>
    <s v="Fulltbet"/>
    <x v="2116"/>
    <n v="-2"/>
    <n v="4.4999999999999998E-2"/>
    <n v="-2"/>
    <x v="10"/>
    <x v="50"/>
    <x v="245"/>
    <n v="2"/>
    <x v="153"/>
    <n v="0"/>
    <n v="-1"/>
    <n v="0"/>
    <x v="0"/>
    <x v="68"/>
    <x v="229"/>
    <s v="Lille OSC vs AJ Auxerre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</r>
  <r>
    <s v="Paris FC vs Paris Saint-Germain / Both Teams To Score"/>
    <s v="Fulltbet"/>
    <x v="2118"/>
    <n v="1.1399999999999999"/>
    <n v="4.4999999999999998E-2"/>
    <n v="1.1937172774869109"/>
    <x v="10"/>
    <x v="51"/>
    <x v="97"/>
    <n v="2"/>
    <x v="153"/>
    <n v="5.3717277486911019E-2"/>
    <n v="0.56999999999999995"/>
    <n v="1"/>
    <x v="0"/>
    <x v="312"/>
    <x v="120"/>
    <s v="Paris FC vs Paris Saint-Germain"/>
  </r>
  <r>
    <s v="Paris FC vs Paris Saint-Germain / Total 3.5"/>
    <s v="Fulltbet"/>
    <x v="2119"/>
    <n v="2.0499999999999998"/>
    <n v="4.4999999999999998E-2"/>
    <n v="2.1465968586387434"/>
    <x v="10"/>
    <x v="33"/>
    <x v="47"/>
    <n v="10"/>
    <x v="153"/>
    <n v="9.6596858638743566E-2"/>
    <n v="0.20499999999999999"/>
    <n v="1"/>
    <x v="0"/>
    <x v="312"/>
    <x v="120"/>
    <s v="Paris FC vs Paris Saint-Germain"/>
  </r>
  <r>
    <s v="Esporte Clube Bahia vs Grêmio FBPA / Match Odds"/>
    <s v="Fulltbet"/>
    <x v="2120"/>
    <n v="-2"/>
    <n v="4.4999999999999998E-2"/>
    <n v="-2"/>
    <x v="10"/>
    <x v="39"/>
    <x v="58"/>
    <n v="2"/>
    <x v="153"/>
    <n v="0"/>
    <n v="-1"/>
    <n v="0"/>
    <x v="0"/>
    <x v="366"/>
    <x v="350"/>
    <s v="Esporte Clube Bahia vs Grêmio FBPA"/>
  </r>
  <r>
    <s v="FC Barcelona vs Real Betis / Match Odds"/>
    <s v="Fulltbet"/>
    <x v="2121"/>
    <n v="3.5"/>
    <n v="4.4999999999999998E-2"/>
    <n v="3.6649214659685865"/>
    <x v="10"/>
    <x v="36"/>
    <x v="0"/>
    <n v="30.74"/>
    <x v="153"/>
    <n v="0.16492146596858648"/>
    <n v="0.11385816525699415"/>
    <n v="1"/>
    <x v="0"/>
    <x v="130"/>
    <x v="228"/>
    <s v="FC Barcelona vs Real Betis"/>
  </r>
  <r>
    <s v="CD Los Chankas vs Deportivo Moquegua / Match Odds"/>
    <s v="Fulltbet"/>
    <x v="2122"/>
    <n v="3.5"/>
    <n v="4.4999999999999998E-2"/>
    <n v="3.6649214659685865"/>
    <x v="10"/>
    <x v="36"/>
    <x v="0"/>
    <n v="30.74"/>
    <x v="153"/>
    <n v="0.16492146596858648"/>
    <n v="0.11385816525699415"/>
    <n v="1"/>
    <x v="0"/>
    <x v="723"/>
    <x v="777"/>
    <s v="CD Los Chankas vs Deportivo Moquegua"/>
  </r>
  <r>
    <s v="Criciúma EC vs Atlético Goianiense / Total 0.5"/>
    <s v="Fulltbet"/>
    <x v="2123"/>
    <n v="1.05"/>
    <n v="4.4999999999999998E-2"/>
    <n v="1.0994764397905761"/>
    <x v="10"/>
    <x v="47"/>
    <x v="199"/>
    <n v="2"/>
    <x v="153"/>
    <n v="4.9476439790576032E-2"/>
    <n v="0.52500000000000002"/>
    <n v="1"/>
    <x v="0"/>
    <x v="724"/>
    <x v="675"/>
    <s v="Criciúma EC vs Atlético Goianiense"/>
  </r>
  <r>
    <s v="Inter Miami CF vs Portland Timbers / Total 1.5"/>
    <s v="Fulltbet"/>
    <x v="2124"/>
    <n v="3.82"/>
    <n v="4.4999999999999998E-2"/>
    <n v="4"/>
    <x v="10"/>
    <x v="32"/>
    <x v="6"/>
    <n v="4"/>
    <x v="153"/>
    <n v="0.18000000000000016"/>
    <n v="0.95499999999999996"/>
    <n v="1"/>
    <x v="0"/>
    <x v="725"/>
    <x v="556"/>
    <s v="Inter Miami CF vs Portland Timbers"/>
  </r>
  <r>
    <s v="Vila Nova FC vs Avaí FC / Match Odds"/>
    <s v="Fulltbet"/>
    <x v="2125"/>
    <n v="1.47"/>
    <n v="4.4999999999999998E-2"/>
    <n v="1.5392670157068062"/>
    <x v="10"/>
    <x v="48"/>
    <x v="253"/>
    <n v="50"/>
    <x v="153"/>
    <n v="6.9267015706806268E-2"/>
    <n v="2.9399999999999999E-2"/>
    <n v="1"/>
    <x v="0"/>
    <x v="726"/>
    <x v="778"/>
    <s v="Vila Nova FC vs Avaí FC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</r>
  <r>
    <s v="Inter Miami CF vs Portland Timbers / Match Odds"/>
    <s v="Fulltbet"/>
    <x v="2127"/>
    <n v="1.91"/>
    <n v="4.4999999999999998E-2"/>
    <n v="2"/>
    <x v="10"/>
    <x v="48"/>
    <x v="233"/>
    <n v="50"/>
    <x v="153"/>
    <n v="9.000000000000008E-2"/>
    <n v="3.8199999999999998E-2"/>
    <n v="1"/>
    <x v="0"/>
    <x v="725"/>
    <x v="556"/>
    <s v="Inter Miami CF vs Portland Timbers"/>
  </r>
  <r>
    <s v="Pumas UNAM vs Pachuca / Match Odds"/>
    <s v="Fulltbet"/>
    <x v="2128"/>
    <n v="2.65"/>
    <n v="4.4999999999999998E-2"/>
    <n v="2.7748691099476441"/>
    <x v="10"/>
    <x v="38"/>
    <x v="21"/>
    <n v="50.04"/>
    <x v="154"/>
    <n v="0.12486910994764422"/>
    <n v="5.2957633892885693E-2"/>
    <n v="1"/>
    <x v="0"/>
    <x v="507"/>
    <x v="779"/>
    <s v="Pumas UNAM vs Pachuca"/>
  </r>
  <r>
    <s v="Puszcza Niepolomice vs LKS Lódz / 1st Half Total 0.5"/>
    <s v="Fulltbet"/>
    <x v="2129"/>
    <n v="-50"/>
    <n v="4.4999999999999998E-2"/>
    <n v="-50"/>
    <x v="11"/>
    <x v="43"/>
    <x v="177"/>
    <n v="50"/>
    <x v="154"/>
    <n v="0"/>
    <n v="-1"/>
    <n v="0"/>
    <x v="0"/>
    <x v="727"/>
    <x v="706"/>
    <s v="Puszcza Niepolomice vs LKS Lódz"/>
  </r>
  <r>
    <s v="Puszcza Niepolomice vs LKS Lódz / 1st Half Total 0.5"/>
    <s v="Fulltbet"/>
    <x v="2129"/>
    <n v="-20.6"/>
    <n v="4.4999999999999998E-2"/>
    <n v="-20.6"/>
    <x v="11"/>
    <x v="43"/>
    <x v="271"/>
    <n v="20.6"/>
    <x v="154"/>
    <n v="0"/>
    <n v="-1"/>
    <n v="0"/>
    <x v="0"/>
    <x v="727"/>
    <x v="706"/>
    <s v="Puszcza Niepolomice vs LKS Lódz"/>
  </r>
  <r>
    <s v="Puszcza Niepolomice vs LKS Lódz / AEM - SIM"/>
    <s v="Fulltbet"/>
    <x v="2129"/>
    <n v="-50"/>
    <n v="4.4999999999999998E-2"/>
    <n v="-50"/>
    <x v="11"/>
    <x v="14"/>
    <x v="272"/>
    <n v="50"/>
    <x v="154"/>
    <n v="0"/>
    <n v="-1"/>
    <n v="0"/>
    <x v="0"/>
    <x v="727"/>
    <x v="706"/>
    <s v="Puszcza Niepolomice vs LKS Lódz"/>
  </r>
  <r>
    <s v="FC Haka vs Klubi-04 / Match Odds"/>
    <s v="Fulltbet"/>
    <x v="2130"/>
    <n v="7.7"/>
    <n v="4.4999999999999998E-2"/>
    <n v="8.0628272251308903"/>
    <x v="11"/>
    <x v="44"/>
    <x v="28"/>
    <n v="49.97"/>
    <x v="154"/>
    <n v="0.36282722513089016"/>
    <n v="0.15409245547328398"/>
    <n v="1"/>
    <x v="0"/>
    <x v="728"/>
    <x v="780"/>
    <s v="FC Haka vs Klubi-04"/>
  </r>
  <r>
    <s v="Djurgårdens IF vs IK Sirius / Both Teams To Score"/>
    <s v="Fulltbet"/>
    <x v="2131"/>
    <n v="26.24"/>
    <n v="4.4999999999999998E-2"/>
    <n v="27.476439790575917"/>
    <x v="11"/>
    <x v="14"/>
    <x v="199"/>
    <n v="50"/>
    <x v="154"/>
    <n v="1.2364397905759184"/>
    <n v="0.52479999999999993"/>
    <n v="1"/>
    <x v="0"/>
    <x v="729"/>
    <x v="568"/>
    <s v="Djurgårdens IF vs IK Sirius"/>
  </r>
  <r>
    <s v="Djurgårdens IF vs IK Sirius / Total 2.5"/>
    <s v="Fulltbet"/>
    <x v="2132"/>
    <n v="-5"/>
    <n v="4.4999999999999998E-2"/>
    <n v="-5"/>
    <x v="10"/>
    <x v="34"/>
    <x v="248"/>
    <n v="5"/>
    <x v="154"/>
    <n v="0"/>
    <n v="-1"/>
    <n v="0"/>
    <x v="0"/>
    <x v="729"/>
    <x v="568"/>
    <s v="Djurgårdens IF vs IK Sirius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</r>
  <r>
    <s v="Lokomotiv Sofia vs Slavia Sofia / Match Odds"/>
    <s v="Fulltbet"/>
    <x v="2133"/>
    <n v="9.5500000000000007"/>
    <n v="4.4999999999999998E-2"/>
    <n v="10.000000000000002"/>
    <x v="11"/>
    <x v="44"/>
    <x v="1"/>
    <n v="50"/>
    <x v="154"/>
    <n v="0.45000000000000107"/>
    <n v="0.191"/>
    <n v="1"/>
    <x v="0"/>
    <x v="730"/>
    <x v="101"/>
    <s v="Lokomotiv Sofia vs Slavia Sofia"/>
  </r>
  <r>
    <s v="Al-Ula FC vs Al Orubah / 1st Half Total 0.5"/>
    <s v="Fulltbet"/>
    <x v="2134"/>
    <n v="-50"/>
    <n v="4.4999999999999998E-2"/>
    <n v="-50"/>
    <x v="11"/>
    <x v="43"/>
    <x v="218"/>
    <n v="50"/>
    <x v="154"/>
    <n v="0"/>
    <n v="-1"/>
    <n v="0"/>
    <x v="0"/>
    <x v="206"/>
    <x v="781"/>
    <s v="Al-Ula FC vs Al Orubah"/>
  </r>
  <r>
    <s v="Djurgårdens IF vs IK Sirius / Double Chance"/>
    <s v="Fulltbet"/>
    <x v="2135"/>
    <n v="36.29"/>
    <n v="4.4999999999999998E-2"/>
    <n v="38"/>
    <x v="11"/>
    <x v="44"/>
    <x v="261"/>
    <n v="50.01"/>
    <x v="154"/>
    <n v="1.7100000000000009"/>
    <n v="0.7256548690261948"/>
    <n v="1"/>
    <x v="0"/>
    <x v="729"/>
    <x v="568"/>
    <s v="Djurgårdens IF vs IK Sirius"/>
  </r>
  <r>
    <s v="IK Oddevold vs Örebro SK / Match Odds"/>
    <s v="Fulltbet"/>
    <x v="2135"/>
    <n v="14.05"/>
    <n v="4.4999999999999998E-2"/>
    <n v="14.712041884816756"/>
    <x v="11"/>
    <x v="52"/>
    <x v="79"/>
    <n v="50"/>
    <x v="154"/>
    <n v="0.6620418848167553"/>
    <n v="0.28100000000000003"/>
    <n v="1"/>
    <x v="0"/>
    <x v="731"/>
    <x v="782"/>
    <s v="IK Oddevold vs Örebro SK"/>
  </r>
  <r>
    <s v="Arka Gdynia vs Termalica Bruk-Bet Nieciecza / Correct Score"/>
    <s v="Fulltbet"/>
    <x v="2136"/>
    <n v="3.98"/>
    <n v="4.4999999999999998E-2"/>
    <n v="4.167539267015707"/>
    <x v="10"/>
    <x v="31"/>
    <x v="5"/>
    <n v="50.04"/>
    <x v="154"/>
    <n v="0.187539267015707"/>
    <n v="7.9536370903277379E-2"/>
    <n v="1"/>
    <x v="0"/>
    <x v="732"/>
    <x v="426"/>
    <s v="Arka Gdynia vs Termalica Bruk-Bet Nieciecza"/>
  </r>
  <r>
    <s v="Petrolul Ploiesti vs Otelul Galati / Match Odds"/>
    <s v="Fulltbet"/>
    <x v="2137"/>
    <n v="-50"/>
    <n v="4.4999999999999998E-2"/>
    <n v="-50"/>
    <x v="11"/>
    <x v="44"/>
    <x v="25"/>
    <n v="50"/>
    <x v="154"/>
    <n v="0"/>
    <n v="-1"/>
    <n v="0"/>
    <x v="0"/>
    <x v="733"/>
    <x v="399"/>
    <s v="Petrolul Ploiesti vs Otelul Galati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</r>
  <r>
    <s v="Al-Ula FC vs Al Orubah / Double Chance"/>
    <s v="Fulltbet"/>
    <x v="2139"/>
    <n v="90.73"/>
    <n v="4.4999999999999998E-2"/>
    <n v="95.005235602094245"/>
    <x v="11"/>
    <x v="52"/>
    <x v="273"/>
    <n v="50"/>
    <x v="154"/>
    <n v="4.2752356020942415"/>
    <n v="1.8146"/>
    <n v="1"/>
    <x v="0"/>
    <x v="206"/>
    <x v="781"/>
    <s v="Al-Ula FC vs Al Orubah"/>
  </r>
  <r>
    <s v="Leganés vs Huesca / Total 0.5"/>
    <s v="Fulltbet"/>
    <x v="2140"/>
    <n v="-5"/>
    <n v="4.4999999999999998E-2"/>
    <n v="-5"/>
    <x v="10"/>
    <x v="47"/>
    <x v="236"/>
    <n v="5"/>
    <x v="154"/>
    <n v="0"/>
    <n v="-1"/>
    <n v="0"/>
    <x v="0"/>
    <x v="648"/>
    <x v="435"/>
    <s v="Leganés vs Huesca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</r>
  <r>
    <s v="Arsenal vs Burnley / Total 1.5"/>
    <s v="Fulltbet"/>
    <x v="2142"/>
    <n v="-7.4"/>
    <n v="4.4999999999999998E-2"/>
    <n v="-7.4"/>
    <x v="10"/>
    <x v="32"/>
    <x v="22"/>
    <n v="10"/>
    <x v="154"/>
    <n v="0"/>
    <n v="-0.74"/>
    <n v="0"/>
    <x v="0"/>
    <x v="47"/>
    <x v="447"/>
    <s v="Arsenal vs Burnley"/>
  </r>
  <r>
    <s v="Deportivo Maldonado vs Danubio / Match Odds"/>
    <s v="Fulltbet"/>
    <x v="2143"/>
    <n v="14.05"/>
    <n v="4.4999999999999998E-2"/>
    <n v="14.712041884816756"/>
    <x v="11"/>
    <x v="44"/>
    <x v="261"/>
    <n v="50.01"/>
    <x v="154"/>
    <n v="0.6620418848167553"/>
    <n v="0.28094381123775247"/>
    <n v="1"/>
    <x v="0"/>
    <x v="734"/>
    <x v="783"/>
    <s v="Deportivo Maldonado vs Danubio"/>
  </r>
  <r>
    <s v="ES Ben Aknoun vs ES Mostaganem / Match Odds"/>
    <s v="Fulltbet"/>
    <x v="2144"/>
    <n v="20.05"/>
    <n v="4.4999999999999998E-2"/>
    <n v="20.994764397905762"/>
    <x v="11"/>
    <x v="45"/>
    <x v="166"/>
    <n v="50"/>
    <x v="155"/>
    <n v="0.94476439790576094"/>
    <n v="0.40100000000000002"/>
    <n v="1"/>
    <x v="0"/>
    <x v="735"/>
    <x v="784"/>
    <s v="ES Ben Aknoun vs ES Mostaganem"/>
  </r>
  <r>
    <s v="Helsingborgs IF vs Varbergs BoIS / 1st Half Total 0.5"/>
    <s v="Fulltbet"/>
    <x v="2145"/>
    <n v="22.74"/>
    <n v="4.4999999999999998E-2"/>
    <n v="23.811518324607331"/>
    <x v="11"/>
    <x v="43"/>
    <x v="180"/>
    <n v="50"/>
    <x v="155"/>
    <n v="1.0715183246073323"/>
    <n v="0.45479999999999998"/>
    <n v="1"/>
    <x v="0"/>
    <x v="681"/>
    <x v="785"/>
    <s v="Helsingborgs IF vs Varbergs BoIS"/>
  </r>
  <r>
    <s v="Hapoel Be'er Sheva vs Maccabi Tel Aviv / 1st Half Total 0.5"/>
    <s v="Fulltbet"/>
    <x v="2146"/>
    <n v="15.28"/>
    <n v="4.4999999999999998E-2"/>
    <n v="16"/>
    <x v="11"/>
    <x v="43"/>
    <x v="242"/>
    <n v="50"/>
    <x v="155"/>
    <n v="0.72000000000000064"/>
    <n v="0.30559999999999998"/>
    <n v="1"/>
    <x v="0"/>
    <x v="400"/>
    <x v="306"/>
    <s v="Hapoel Be'er Sheva vs Maccabi Tel Aviv"/>
  </r>
  <r>
    <s v="Monza vs Juve Stabia / Match Odds"/>
    <s v="Fulltbet"/>
    <x v="2147"/>
    <n v="10.16"/>
    <n v="4.4999999999999998E-2"/>
    <n v="10.638743455497384"/>
    <x v="11"/>
    <x v="44"/>
    <x v="76"/>
    <n v="50.01"/>
    <x v="155"/>
    <n v="0.47874345549738351"/>
    <n v="0.20315936812637472"/>
    <n v="1"/>
    <x v="0"/>
    <x v="95"/>
    <x v="460"/>
    <s v="Monza vs Juve Stabia"/>
  </r>
  <r>
    <s v="AFC Bournemouth vs Manchester City / Both Teams To Score"/>
    <s v="Fulltbet"/>
    <x v="2148"/>
    <n v="1.49"/>
    <n v="4.4999999999999998E-2"/>
    <n v="1.5602094240837696"/>
    <x v="10"/>
    <x v="51"/>
    <x v="69"/>
    <n v="2"/>
    <x v="155"/>
    <n v="7.0209424083769623E-2"/>
    <n v="0.745"/>
    <n v="1"/>
    <x v="0"/>
    <x v="380"/>
    <x v="151"/>
    <s v="AFC Bournemouth vs Manchester City"/>
  </r>
  <r>
    <s v="AFC Bournemouth vs Manchester City / Total 1.5"/>
    <s v="Fulltbet"/>
    <x v="2149"/>
    <n v="-2.5"/>
    <n v="4.4999999999999998E-2"/>
    <n v="-2.5"/>
    <x v="10"/>
    <x v="32"/>
    <x v="22"/>
    <n v="10"/>
    <x v="155"/>
    <n v="0"/>
    <n v="-0.25"/>
    <n v="0"/>
    <x v="0"/>
    <x v="380"/>
    <x v="151"/>
    <s v="AFC Bournemouth vs Manchester City"/>
  </r>
  <r>
    <s v="AFC Bournemouth vs Manchester City / Total 3.5"/>
    <s v="Fulltbet"/>
    <x v="2150"/>
    <n v="2.8"/>
    <n v="4.4999999999999998E-2"/>
    <n v="2.9319371727748691"/>
    <x v="10"/>
    <x v="33"/>
    <x v="166"/>
    <n v="15"/>
    <x v="155"/>
    <n v="0.13193717277486927"/>
    <n v="0.18666666666666665"/>
    <n v="1"/>
    <x v="0"/>
    <x v="380"/>
    <x v="151"/>
    <s v="AFC Bournemouth vs Manchester City"/>
  </r>
  <r>
    <s v="Chelsea vs Tottenham Hotspur / Match Odds"/>
    <s v="Fulltbet"/>
    <x v="2151"/>
    <n v="1.91"/>
    <n v="4.4999999999999998E-2"/>
    <n v="2"/>
    <x v="10"/>
    <x v="48"/>
    <x v="233"/>
    <n v="50"/>
    <x v="155"/>
    <n v="9.000000000000008E-2"/>
    <n v="3.8199999999999998E-2"/>
    <n v="1"/>
    <x v="0"/>
    <x v="127"/>
    <x v="214"/>
    <s v="Chelsea vs Tottenham Hotspur"/>
  </r>
  <r>
    <s v="Coquimbo Unido vs Deportes Tolima / Match Odds"/>
    <s v="Fulltbet"/>
    <x v="2152"/>
    <n v="4.24"/>
    <n v="4.4999999999999998E-2"/>
    <n v="4.4397905759162306"/>
    <x v="12"/>
    <x v="53"/>
    <x v="187"/>
    <n v="9.99"/>
    <x v="155"/>
    <n v="0.1997905759162304"/>
    <n v="0.42442442442442446"/>
    <n v="1"/>
    <x v="0"/>
    <x v="698"/>
    <x v="786"/>
    <s v="Coquimbo Unido vs Deportes Tolima"/>
  </r>
  <r>
    <s v="Fluminense FC vs Club Bolívar / Match Odds"/>
    <s v="Fulltbet"/>
    <x v="2153"/>
    <n v="1.45"/>
    <n v="4.4999999999999998E-2"/>
    <n v="1.5183246073298429"/>
    <x v="12"/>
    <x v="53"/>
    <x v="41"/>
    <n v="10.029999999999999"/>
    <x v="155"/>
    <n v="6.8324607329842912E-2"/>
    <n v="0.14456630109670987"/>
    <n v="1"/>
    <x v="0"/>
    <x v="87"/>
    <x v="765"/>
    <s v="Fluminense FC vs Club Bolívar"/>
  </r>
  <r>
    <s v="LDU de Portoviejo vs Libertad FC / Match Odds"/>
    <s v="Fulltbet"/>
    <x v="2154"/>
    <n v="-9.99"/>
    <n v="4.4999999999999998E-2"/>
    <n v="-9.99"/>
    <x v="12"/>
    <x v="53"/>
    <x v="266"/>
    <n v="9.99"/>
    <x v="155"/>
    <n v="0"/>
    <n v="-1"/>
    <n v="0"/>
    <x v="0"/>
    <x v="736"/>
    <x v="552"/>
    <s v="LDU de Portoviejo vs Libertad FC"/>
  </r>
  <r>
    <s v="Santa Fe vs Platense / Match Odds"/>
    <s v="Fulltbet"/>
    <x v="2155"/>
    <n v="4.3452500000000001"/>
    <n v="4.4999999999999998E-2"/>
    <n v="4.55"/>
    <x v="12"/>
    <x v="53"/>
    <x v="145"/>
    <n v="10.01"/>
    <x v="155"/>
    <n v="0.20474999999999977"/>
    <n v="0.43409090909090908"/>
    <n v="1"/>
    <x v="0"/>
    <x v="737"/>
    <x v="467"/>
    <s v="Santa Fe vs Platense"/>
  </r>
  <r>
    <s v="Santa Fe vs Platense / Match Odds"/>
    <s v="Fulltbet"/>
    <x v="2155"/>
    <n v="16.750699999999998"/>
    <n v="4.4999999999999998E-2"/>
    <n v="17.54"/>
    <x v="11"/>
    <x v="44"/>
    <x v="122"/>
    <n v="49.99"/>
    <x v="155"/>
    <n v="0.78930000000000078"/>
    <n v="0.3350810162032406"/>
    <n v="1"/>
    <x v="0"/>
    <x v="737"/>
    <x v="467"/>
    <s v="Santa Fe vs Platense"/>
  </r>
  <r>
    <s v="Saint Louis City SC vs Houston Dynamo / Match Odds"/>
    <s v="Fulltbet"/>
    <x v="2156"/>
    <n v="8.5299999999999994"/>
    <n v="4.4999999999999998E-2"/>
    <n v="8.9319371727748695"/>
    <x v="12"/>
    <x v="54"/>
    <x v="125"/>
    <n v="10"/>
    <x v="155"/>
    <n v="0.40193717277487018"/>
    <n v="0.85299999999999998"/>
    <n v="1"/>
    <x v="0"/>
    <x v="689"/>
    <x v="734"/>
    <s v="Saint Louis City SC vs Houston Dynamo"/>
  </r>
  <r>
    <s v="FC Iberia 1999 vs Gagra Tblisi"/>
    <s v="Fulltbet"/>
    <x v="2157"/>
    <n v="6.21"/>
    <n v="0"/>
    <n v="6.21"/>
    <x v="11"/>
    <x v="44"/>
    <x v="274"/>
    <n v="50"/>
    <x v="156"/>
    <n v="0"/>
    <n v="0.1242"/>
    <n v="1"/>
    <x v="0"/>
    <x v="738"/>
    <x v="787"/>
    <e v="#VALUE!"/>
  </r>
  <r>
    <s v="Shanghai Shenhua vs Wuhan Three Towns / Total 1.5"/>
    <s v="Fulltbet"/>
    <x v="2158"/>
    <n v="9.5500000000000007"/>
    <n v="4.4999999999999998E-2"/>
    <n v="10.000000000000002"/>
    <x v="10"/>
    <x v="32"/>
    <x v="14"/>
    <n v="10"/>
    <x v="156"/>
    <n v="0.45000000000000107"/>
    <n v="0.95500000000000007"/>
    <n v="1"/>
    <x v="0"/>
    <x v="739"/>
    <x v="579"/>
    <s v="Shanghai Shenhua vs Wuhan Three Towns"/>
  </r>
  <r>
    <s v="Liaoning Tieren F.C. vs Qingdao Hainiu / Total 1.5"/>
    <s v="Fulltbet"/>
    <x v="2159"/>
    <n v="-5.51"/>
    <n v="4.4999999999999998E-2"/>
    <n v="-5.51"/>
    <x v="10"/>
    <x v="32"/>
    <x v="41"/>
    <n v="10"/>
    <x v="156"/>
    <n v="0"/>
    <n v="-0.55099999999999993"/>
    <n v="0"/>
    <x v="0"/>
    <x v="508"/>
    <x v="788"/>
    <s v="Liaoning Tieren F.C. vs Qingdao Hainiu"/>
  </r>
  <r>
    <s v="Shanghai Shenhua vs Wuhan Three Towns / Match Odds"/>
    <s v="Fulltbet"/>
    <x v="2160"/>
    <n v="8.23"/>
    <n v="4.4999999999999998E-2"/>
    <n v="8.6178010471204196"/>
    <x v="11"/>
    <x v="44"/>
    <x v="121"/>
    <n v="50"/>
    <x v="156"/>
    <n v="0.38780104712041918"/>
    <n v="0.1646"/>
    <n v="1"/>
    <x v="0"/>
    <x v="739"/>
    <x v="579"/>
    <s v="Shanghai Shenhua vs Wuhan Three Towns"/>
  </r>
  <r>
    <s v="Chongqing Tonglianglong vs Yunnan Yukun / Match Odds"/>
    <s v="Fulltbet"/>
    <x v="2161"/>
    <n v="-9.9499999999999993"/>
    <n v="4.4999999999999998E-2"/>
    <n v="-9.9499999999999993"/>
    <x v="12"/>
    <x v="53"/>
    <x v="259"/>
    <n v="9.9499999999999993"/>
    <x v="156"/>
    <n v="0"/>
    <n v="-1"/>
    <n v="0"/>
    <x v="0"/>
    <x v="740"/>
    <x v="691"/>
    <s v="Chongqing Tonglianglong vs Yunnan Yukun"/>
  </r>
  <r>
    <s v="Chongqing Tonglianglong vs Yunnan Yukun / Both Teams To Score"/>
    <s v="Fulltbet"/>
    <x v="2162"/>
    <n v="-50"/>
    <n v="4.4999999999999998E-2"/>
    <n v="-50"/>
    <x v="11"/>
    <x v="14"/>
    <x v="104"/>
    <n v="50"/>
    <x v="156"/>
    <n v="0"/>
    <n v="-1"/>
    <n v="0"/>
    <x v="0"/>
    <x v="740"/>
    <x v="691"/>
    <s v="Chongqing Tonglianglong vs Yunnan Yukun"/>
  </r>
  <r>
    <s v="Ilves vs FC Inter Turku / 1st Half Total 0.5"/>
    <s v="Fulltbet"/>
    <x v="2163"/>
    <n v="19.899999999999999"/>
    <n v="4.4999999999999998E-2"/>
    <n v="20.837696335078533"/>
    <x v="11"/>
    <x v="43"/>
    <x v="166"/>
    <n v="50"/>
    <x v="156"/>
    <n v="0.93769633507853456"/>
    <n v="0.39799999999999996"/>
    <n v="1"/>
    <x v="0"/>
    <x v="600"/>
    <x v="789"/>
    <s v="Ilves vs FC Inter Turku"/>
  </r>
  <r>
    <s v="FK Tukums 2000 vs Riga FC / 1st Half Total 0.5"/>
    <s v="Fulltbet"/>
    <x v="2164"/>
    <n v="10.51"/>
    <n v="4.4999999999999998E-2"/>
    <n v="11.005235602094242"/>
    <x v="11"/>
    <x v="43"/>
    <x v="212"/>
    <n v="50"/>
    <x v="156"/>
    <n v="0.49523560209424211"/>
    <n v="0.2102"/>
    <n v="1"/>
    <x v="0"/>
    <x v="741"/>
    <x v="790"/>
    <s v="FK Tukums 2000 vs Riga FC"/>
  </r>
  <r>
    <s v="Ilves vs FC Inter Turku / Both Teams To Score"/>
    <s v="Fulltbet"/>
    <x v="2165"/>
    <n v="37.25"/>
    <n v="4.4999999999999998E-2"/>
    <n v="39.005235602094245"/>
    <x v="11"/>
    <x v="14"/>
    <x v="69"/>
    <n v="50"/>
    <x v="156"/>
    <n v="1.7552356020942455"/>
    <n v="0.745"/>
    <n v="1"/>
    <x v="0"/>
    <x v="600"/>
    <x v="789"/>
    <s v="Ilves vs FC Inter Turku"/>
  </r>
  <r>
    <s v="FK Tukums 2000 vs Riga FC / Both Teams To Score"/>
    <s v="Fulltbet"/>
    <x v="2166"/>
    <n v="38.68"/>
    <n v="4.4999999999999998E-2"/>
    <n v="40.502617801047123"/>
    <x v="11"/>
    <x v="14"/>
    <x v="96"/>
    <n v="50"/>
    <x v="156"/>
    <n v="1.822617801047123"/>
    <n v="0.77359999999999995"/>
    <n v="1"/>
    <x v="0"/>
    <x v="741"/>
    <x v="790"/>
    <s v="FK Tukums 2000 vs Riga FC"/>
  </r>
  <r>
    <s v="Ilves vs FC Inter Turku / Half-time Result"/>
    <s v="Fulltbet"/>
    <x v="2167"/>
    <n v="3.29"/>
    <n v="4.4999999999999998E-2"/>
    <n v="3.4450261780104712"/>
    <x v="12"/>
    <x v="55"/>
    <x v="255"/>
    <n v="10.01"/>
    <x v="156"/>
    <n v="0.15502617801047114"/>
    <n v="0.3286713286713287"/>
    <n v="1"/>
    <x v="0"/>
    <x v="600"/>
    <x v="789"/>
    <s v="Ilves vs FC Inter Turku"/>
  </r>
  <r>
    <s v="FC Kuressaare vs FC Nõmme United / Half-time Result"/>
    <s v="Fulltbet"/>
    <x v="2168"/>
    <n v="-10.01"/>
    <n v="4.4999999999999998E-2"/>
    <n v="-10.01"/>
    <x v="12"/>
    <x v="55"/>
    <x v="146"/>
    <n v="10.01"/>
    <x v="156"/>
    <n v="0"/>
    <n v="-1"/>
    <n v="0"/>
    <x v="0"/>
    <x v="742"/>
    <x v="791"/>
    <s v="FC Kuressaare vs FC Nõmme United"/>
  </r>
  <r>
    <s v="Narva Trans vs Paide Linnameeskond / 1st Half Total 0.5"/>
    <s v="Fulltbet"/>
    <x v="2169"/>
    <n v="-50"/>
    <n v="4.4999999999999998E-2"/>
    <n v="-50"/>
    <x v="11"/>
    <x v="43"/>
    <x v="218"/>
    <n v="50"/>
    <x v="156"/>
    <n v="0"/>
    <n v="-1"/>
    <n v="0"/>
    <x v="0"/>
    <x v="743"/>
    <x v="792"/>
    <s v="Narva Trans vs Paide Linnameeskond"/>
  </r>
  <r>
    <s v="FK Tukums 2000 vs Riga FC / Match Odds"/>
    <s v="Fulltbet"/>
    <x v="2170"/>
    <n v="1.77"/>
    <n v="4.4999999999999998E-2"/>
    <n v="1.8534031413612566"/>
    <x v="12"/>
    <x v="53"/>
    <x v="25"/>
    <n v="9.99"/>
    <x v="156"/>
    <n v="8.3403141361256594E-2"/>
    <n v="0.17717717717717718"/>
    <n v="1"/>
    <x v="0"/>
    <x v="741"/>
    <x v="790"/>
    <s v="FK Tukums 2000 vs Riga FC"/>
  </r>
  <r>
    <s v="FC Kuressaare vs FC Nõmme United / Double Chance"/>
    <s v="Fulltbet"/>
    <x v="2171"/>
    <n v="7.74"/>
    <n v="4.4999999999999998E-2"/>
    <n v="8.1047120418848166"/>
    <x v="12"/>
    <x v="56"/>
    <x v="96"/>
    <n v="10"/>
    <x v="156"/>
    <n v="0.36471204188481643"/>
    <n v="0.77400000000000002"/>
    <n v="1"/>
    <x v="0"/>
    <x v="742"/>
    <x v="791"/>
    <s v="FC Kuressaare vs FC Nõmme United"/>
  </r>
  <r>
    <s v="Narva Trans vs Paide Linnameeskond / Draw No Bet"/>
    <s v="Fulltbet"/>
    <x v="2172"/>
    <n v="-10"/>
    <n v="4.4999999999999998E-2"/>
    <n v="-10"/>
    <x v="12"/>
    <x v="57"/>
    <x v="231"/>
    <n v="10"/>
    <x v="156"/>
    <n v="0"/>
    <n v="-1"/>
    <n v="0"/>
    <x v="0"/>
    <x v="743"/>
    <x v="792"/>
    <s v="Narva Trans vs Paide Linnameeskond"/>
  </r>
  <r>
    <s v="Lokomotiv Plovdiv vs CSKA Sofia / Double Chance"/>
    <s v="Fulltbet"/>
    <x v="2173"/>
    <n v="-10"/>
    <n v="4.4999999999999998E-2"/>
    <n v="-10"/>
    <x v="12"/>
    <x v="58"/>
    <x v="242"/>
    <n v="10"/>
    <x v="156"/>
    <n v="0"/>
    <n v="-1"/>
    <n v="0"/>
    <x v="0"/>
    <x v="744"/>
    <x v="793"/>
    <s v="Lokomotiv Plovdiv vs CSKA Sofia"/>
  </r>
  <r>
    <s v="Palermo vs Catanzaro / 1st Half Total 0.5"/>
    <s v="Fulltbet"/>
    <x v="2174"/>
    <n v="17.36"/>
    <n v="4.4999999999999998E-2"/>
    <n v="18.178010471204189"/>
    <x v="11"/>
    <x v="43"/>
    <x v="129"/>
    <n v="50"/>
    <x v="156"/>
    <n v="0.81801047120418957"/>
    <n v="0.34720000000000001"/>
    <n v="1"/>
    <x v="0"/>
    <x v="274"/>
    <x v="97"/>
    <s v="Palermo vs Catanzaro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</r>
  <r>
    <s v="Aalesunds FK vs Brann / 1st Half Total 0.5"/>
    <s v="Fulltbet"/>
    <x v="2176"/>
    <n v="12.24"/>
    <n v="4.4999999999999998E-2"/>
    <n v="12.816753926701571"/>
    <x v="11"/>
    <x v="43"/>
    <x v="205"/>
    <n v="50"/>
    <x v="156"/>
    <n v="0.57675392670157066"/>
    <n v="0.24480000000000002"/>
    <n v="1"/>
    <x v="0"/>
    <x v="543"/>
    <x v="500"/>
    <s v="Aalesunds FK vs Brann"/>
  </r>
  <r>
    <s v="Willem II vs FC Volendam / Draw No Bet"/>
    <s v="Fulltbet"/>
    <x v="2177"/>
    <n v="-10"/>
    <n v="4.4999999999999998E-2"/>
    <n v="-10"/>
    <x v="12"/>
    <x v="57"/>
    <x v="221"/>
    <n v="10"/>
    <x v="156"/>
    <n v="0"/>
    <n v="-1"/>
    <n v="0"/>
    <x v="0"/>
    <x v="120"/>
    <x v="420"/>
    <s v="Willem II vs FC Volendam"/>
  </r>
  <r>
    <s v="Al Najma Club vs Al-Shabab Riyadh / 1st Half Total 0.5"/>
    <s v="Fulltbet"/>
    <x v="2178"/>
    <n v="13.64"/>
    <n v="4.4999999999999998E-2"/>
    <n v="14.282722513089006"/>
    <x v="11"/>
    <x v="43"/>
    <x v="218"/>
    <n v="50"/>
    <x v="156"/>
    <n v="0.64272251308900508"/>
    <n v="0.27279999999999999"/>
    <n v="1"/>
    <x v="0"/>
    <x v="516"/>
    <x v="282"/>
    <s v="Al Najma Club vs Al-Shabab Riyadh"/>
  </r>
  <r>
    <s v="GAIS vs Hammarby IF / Match Odds"/>
    <s v="Fulltbet"/>
    <x v="2179"/>
    <n v="3.5335000000000001"/>
    <n v="4.4999999999999998E-2"/>
    <n v="3.7"/>
    <x v="12"/>
    <x v="53"/>
    <x v="215"/>
    <n v="9.99"/>
    <x v="156"/>
    <n v="0.16650000000000009"/>
    <n v="0.35370370370370369"/>
    <n v="1"/>
    <x v="0"/>
    <x v="746"/>
    <x v="795"/>
    <s v="GAIS vs Hammarby IF"/>
  </r>
  <r>
    <s v="GAIS vs Hammarby IF / Match Odds"/>
    <s v="Fulltbet"/>
    <x v="2179"/>
    <n v="6.3698499999999996"/>
    <n v="4.4999999999999998E-2"/>
    <n v="6.67"/>
    <x v="10"/>
    <x v="38"/>
    <x v="23"/>
    <n v="70.040000000000006"/>
    <x v="156"/>
    <n v="0.30015000000000036"/>
    <n v="9.0945888063963434E-2"/>
    <n v="1"/>
    <x v="0"/>
    <x v="746"/>
    <x v="795"/>
    <s v="GAIS vs Hammarby IF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</r>
  <r>
    <s v="Ranheim vs Hødd / Match Odds"/>
    <s v="Fulltbet"/>
    <x v="2181"/>
    <n v="31.99"/>
    <n v="4.4999999999999998E-2"/>
    <n v="33.497382198952877"/>
    <x v="11"/>
    <x v="45"/>
    <x v="82"/>
    <n v="50"/>
    <x v="156"/>
    <n v="1.5073821989528788"/>
    <n v="0.63979999999999992"/>
    <n v="1"/>
    <x v="0"/>
    <x v="745"/>
    <x v="794"/>
    <s v="Ranheim vs Hødd"/>
  </r>
  <r>
    <s v="SC União Torreense vs Casa Pia / Match Odds"/>
    <s v="Fulltbet"/>
    <x v="2182"/>
    <n v="-10"/>
    <n v="4.4999999999999998E-2"/>
    <n v="-10"/>
    <x v="12"/>
    <x v="54"/>
    <x v="265"/>
    <n v="10"/>
    <x v="156"/>
    <n v="0"/>
    <n v="-1"/>
    <n v="0"/>
    <x v="0"/>
    <x v="748"/>
    <x v="492"/>
    <s v="SC União Torreense vs Casa Pia"/>
  </r>
  <r>
    <s v="SC União Torreense vs Casa Pia / Match Odds"/>
    <s v="Fulltbet"/>
    <x v="2182"/>
    <n v="6.1"/>
    <n v="0"/>
    <n v="6.1"/>
    <x v="12"/>
    <x v="53"/>
    <x v="147"/>
    <n v="10"/>
    <x v="156"/>
    <n v="0"/>
    <n v="0.61"/>
    <n v="1"/>
    <x v="0"/>
    <x v="748"/>
    <x v="492"/>
    <s v="SC União Torreense vs Casa Pia"/>
  </r>
  <r>
    <s v="Aalesunds FK vs Brann / Total 1.5"/>
    <s v="Fulltbet"/>
    <x v="2183"/>
    <n v="-6.25"/>
    <n v="4.4999999999999998E-2"/>
    <n v="-6.25"/>
    <x v="10"/>
    <x v="32"/>
    <x v="5"/>
    <n v="10"/>
    <x v="156"/>
    <n v="0"/>
    <n v="-0.625"/>
    <n v="0"/>
    <x v="0"/>
    <x v="543"/>
    <x v="500"/>
    <s v="Aalesunds FK vs Brann"/>
  </r>
  <r>
    <s v="CR Belouizdad vs MC Oran / 1st Half Total 0.5"/>
    <s v="Fulltbet"/>
    <x v="2184"/>
    <n v="22.44"/>
    <n v="4.4999999999999998E-2"/>
    <n v="23.497382198952881"/>
    <x v="11"/>
    <x v="43"/>
    <x v="47"/>
    <n v="50"/>
    <x v="156"/>
    <n v="1.0573821989528795"/>
    <n v="0.44880000000000003"/>
    <n v="1"/>
    <x v="0"/>
    <x v="439"/>
    <x v="796"/>
    <s v="CR Belouizdad vs MC Oran"/>
  </r>
  <r>
    <s v="SC Freiburg vs Aston Villa / 1st Half Total 0.5"/>
    <s v="Fulltbet"/>
    <x v="2185"/>
    <n v="22.21"/>
    <n v="4.4999999999999998E-2"/>
    <n v="23.256544502617803"/>
    <x v="11"/>
    <x v="43"/>
    <x v="47"/>
    <n v="50"/>
    <x v="156"/>
    <n v="1.0465445026178024"/>
    <n v="0.44420000000000004"/>
    <n v="1"/>
    <x v="0"/>
    <x v="24"/>
    <x v="50"/>
    <s v="SC Freiburg vs Aston Villa"/>
  </r>
  <r>
    <s v="Lillestrøm SK vs Kristiansund BK / Match Odds"/>
    <s v="Fulltbet"/>
    <x v="2186"/>
    <n v="-390.02"/>
    <n v="4.4999999999999998E-2"/>
    <n v="-390.02"/>
    <x v="3"/>
    <x v="7"/>
    <x v="81"/>
    <n v="390.02"/>
    <x v="156"/>
    <n v="0"/>
    <n v="-1"/>
    <n v="0"/>
    <x v="34"/>
    <x v="545"/>
    <x v="592"/>
    <s v="Lillestrøm SK vs Kristiansund BK"/>
  </r>
  <r>
    <s v="Lillestrøm SK vs Kristiansund BK / Match Odds"/>
    <s v="Fulltbet"/>
    <x v="2186"/>
    <n v="-50"/>
    <n v="4.4999999999999998E-2"/>
    <n v="-50"/>
    <x v="11"/>
    <x v="45"/>
    <x v="47"/>
    <n v="50"/>
    <x v="156"/>
    <n v="0"/>
    <n v="-1"/>
    <n v="0"/>
    <x v="0"/>
    <x v="545"/>
    <x v="592"/>
    <s v="Lillestrøm SK vs Kristiansund BK"/>
  </r>
  <r>
    <s v="Palermo vs Catanzaro / Total 1.5"/>
    <s v="Fulltbet"/>
    <x v="2187"/>
    <n v="-9.4"/>
    <n v="4.4999999999999998E-2"/>
    <n v="-9.4"/>
    <x v="10"/>
    <x v="32"/>
    <x v="168"/>
    <n v="10"/>
    <x v="156"/>
    <n v="0"/>
    <n v="-0.94000000000000006"/>
    <n v="0"/>
    <x v="0"/>
    <x v="274"/>
    <x v="97"/>
    <s v="Palermo vs Catanzaro"/>
  </r>
  <r>
    <s v="Aalesunds FK vs Brann / Double Chance"/>
    <s v="Fulltbet"/>
    <x v="2188"/>
    <n v="45.36"/>
    <n v="4.4999999999999998E-2"/>
    <n v="47.497382198952884"/>
    <x v="11"/>
    <x v="56"/>
    <x v="120"/>
    <n v="50"/>
    <x v="156"/>
    <n v="2.1373821989528849"/>
    <n v="0.90720000000000001"/>
    <n v="1"/>
    <x v="0"/>
    <x v="543"/>
    <x v="500"/>
    <s v="Aalesunds FK vs Brann"/>
  </r>
  <r>
    <s v="Al Najma Club vs Al-Shabab Riyadh / Match Odds"/>
    <s v="Fulltbet"/>
    <x v="2189"/>
    <n v="9.2799999999999994"/>
    <n v="4.4999999999999998E-2"/>
    <n v="9.7172774869109944"/>
    <x v="10"/>
    <x v="38"/>
    <x v="44"/>
    <n v="66.099999999999994"/>
    <x v="156"/>
    <n v="0.43727748691099499"/>
    <n v="0.14039334341906204"/>
    <n v="1"/>
    <x v="0"/>
    <x v="516"/>
    <x v="282"/>
    <s v="Al Najma Club vs Al-Shabab Riyadh"/>
  </r>
  <r>
    <s v="Al Najma Club vs Al-Shabab Riyadh / Total 2.5"/>
    <s v="Fulltbet"/>
    <x v="2190"/>
    <n v="6.49"/>
    <n v="4.4999999999999998E-2"/>
    <n v="6.7958115183246077"/>
    <x v="10"/>
    <x v="34"/>
    <x v="252"/>
    <n v="5"/>
    <x v="156"/>
    <n v="0.30581151832460751"/>
    <n v="1.298"/>
    <n v="1"/>
    <x v="0"/>
    <x v="516"/>
    <x v="282"/>
    <s v="Al Najma Club vs Al-Shabab Riyadh"/>
  </r>
  <r>
    <s v="Palermo vs Catanzaro / Both Teams To Score"/>
    <s v="Fulltbet"/>
    <x v="2191"/>
    <n v="-50"/>
    <n v="4.4999999999999998E-2"/>
    <n v="-50"/>
    <x v="11"/>
    <x v="14"/>
    <x v="60"/>
    <n v="50"/>
    <x v="156"/>
    <n v="0"/>
    <n v="-1"/>
    <n v="0"/>
    <x v="0"/>
    <x v="274"/>
    <x v="97"/>
    <s v="Palermo vs Catanzaro"/>
  </r>
  <r>
    <s v="SC Freiburg vs Aston Villa / Both Teams To Score"/>
    <s v="Fulltbet"/>
    <x v="2192"/>
    <n v="-50"/>
    <n v="4.4999999999999998E-2"/>
    <n v="-50"/>
    <x v="11"/>
    <x v="14"/>
    <x v="95"/>
    <n v="50"/>
    <x v="156"/>
    <n v="0"/>
    <n v="-1"/>
    <n v="0"/>
    <x v="0"/>
    <x v="24"/>
    <x v="50"/>
    <s v="SC Freiburg vs Aston Villa"/>
  </r>
  <r>
    <s v="Talleres de Córdoba vs Atlético Tucumán / Match Odds"/>
    <s v="Fulltbet"/>
    <x v="2193"/>
    <n v="-10"/>
    <n v="4.4999999999999998E-2"/>
    <n v="-10"/>
    <x v="12"/>
    <x v="44"/>
    <x v="170"/>
    <n v="10"/>
    <x v="156"/>
    <n v="0"/>
    <n v="-1"/>
    <n v="0"/>
    <x v="0"/>
    <x v="749"/>
    <x v="630"/>
    <s v="Talleres de Córdoba vs Atlético Tucumán"/>
  </r>
  <r>
    <s v="Fortaleza FC vs Orsomarso SC / Match Odds"/>
    <s v="Fulltbet"/>
    <x v="2194"/>
    <n v="-9.99"/>
    <n v="4.4999999999999998E-2"/>
    <n v="-9.99"/>
    <x v="12"/>
    <x v="53"/>
    <x v="230"/>
    <n v="9.99"/>
    <x v="156"/>
    <n v="0"/>
    <n v="-1"/>
    <n v="0"/>
    <x v="0"/>
    <x v="750"/>
    <x v="797"/>
    <s v="Fortaleza FC vs Orsomarso SC"/>
  </r>
  <r>
    <s v="Gremio Novorizontino vs Chapecoense / Match Odds"/>
    <s v="Fulltbet"/>
    <x v="2195"/>
    <n v="4.4400000000000004"/>
    <n v="4.4999999999999998E-2"/>
    <n v="4.6492146596858648"/>
    <x v="12"/>
    <x v="53"/>
    <x v="147"/>
    <n v="10"/>
    <x v="156"/>
    <n v="0.20921465968586439"/>
    <n v="0.44400000000000006"/>
    <n v="1"/>
    <x v="0"/>
    <x v="751"/>
    <x v="520"/>
    <s v="Gremio Novorizontino vs Chapecoense"/>
  </r>
  <r>
    <s v="Flamengo vs Estudiantes de La Plata / Match Odds"/>
    <s v="Fulltbet"/>
    <x v="2196"/>
    <n v="5.55"/>
    <n v="4.4999999999999998E-2"/>
    <n v="5.8115183246073299"/>
    <x v="11"/>
    <x v="44"/>
    <x v="3"/>
    <n v="49.97"/>
    <x v="156"/>
    <n v="0.26151832460733004"/>
    <n v="0.1110666399839904"/>
    <n v="1"/>
    <x v="0"/>
    <x v="486"/>
    <x v="798"/>
    <s v="Flamengo vs Estudiantes de La Plata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</r>
  <r>
    <s v="Metallurg Rustavi FC vs Samgurali FC"/>
    <s v="Fulltbet"/>
    <x v="2199"/>
    <n v="14.14"/>
    <n v="0"/>
    <n v="14.14"/>
    <x v="11"/>
    <x v="44"/>
    <x v="275"/>
    <n v="50"/>
    <x v="157"/>
    <n v="0"/>
    <n v="0.2828"/>
    <n v="1"/>
    <x v="0"/>
    <x v="752"/>
    <x v="800"/>
    <e v="#VALUE!"/>
  </r>
  <r>
    <s v="Shakhtar Donetsk vs Kolos Kovalyovka / Match Odds"/>
    <s v="Fulltbet"/>
    <x v="2200"/>
    <n v="-10"/>
    <n v="4.4999999999999998E-2"/>
    <n v="-10"/>
    <x v="10"/>
    <x v="41"/>
    <x v="46"/>
    <n v="10"/>
    <x v="157"/>
    <n v="0"/>
    <n v="-1"/>
    <n v="0"/>
    <x v="0"/>
    <x v="32"/>
    <x v="801"/>
    <s v="Shakhtar Donetsk vs Kolos Kovalyovka"/>
  </r>
  <r>
    <s v="Atromitos Athens vs Panserraikos / Match Odds"/>
    <s v="Fulltbet"/>
    <x v="2201"/>
    <n v="8.5299999999999994"/>
    <n v="4.4999999999999998E-2"/>
    <n v="8.9319371727748695"/>
    <x v="11"/>
    <x v="44"/>
    <x v="85"/>
    <n v="50.01"/>
    <x v="157"/>
    <n v="0.40193717277487018"/>
    <n v="0.17056588682263546"/>
    <n v="1"/>
    <x v="0"/>
    <x v="489"/>
    <x v="802"/>
    <s v="Atromitos Athens vs Panserraikos"/>
  </r>
  <r>
    <s v="Ajax vs FC Groningen / 1st Half Total 0.5"/>
    <s v="Fulltbet"/>
    <x v="2202"/>
    <n v="14.8"/>
    <n v="4.4999999999999998E-2"/>
    <n v="15.497382198952881"/>
    <x v="11"/>
    <x v="43"/>
    <x v="213"/>
    <n v="50"/>
    <x v="157"/>
    <n v="0.69738219895288012"/>
    <n v="0.29600000000000004"/>
    <n v="1"/>
    <x v="0"/>
    <x v="37"/>
    <x v="37"/>
    <s v="Ajax vs FC Groningen"/>
  </r>
  <r>
    <s v="Al-Fayha FC vs Al-Hilal Riyadh / 1st Half Total 0.5"/>
    <s v="Fulltbet"/>
    <x v="2203"/>
    <n v="11.46"/>
    <n v="4.4999999999999998E-2"/>
    <n v="12.000000000000002"/>
    <x v="11"/>
    <x v="43"/>
    <x v="207"/>
    <n v="50"/>
    <x v="157"/>
    <n v="0.54000000000000092"/>
    <n v="0.22920000000000001"/>
    <n v="1"/>
    <x v="0"/>
    <x v="363"/>
    <x v="351"/>
    <s v="Al-Fayha FC vs Al-Hilal Riyadh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</r>
  <r>
    <s v="KV Mechelen vs Club Brugge / 1st Half Total 0.5"/>
    <s v="Fulltbet"/>
    <x v="2205"/>
    <n v="11.37"/>
    <n v="4.4999999999999998E-2"/>
    <n v="11.905759162303665"/>
    <x v="11"/>
    <x v="43"/>
    <x v="207"/>
    <n v="50"/>
    <x v="157"/>
    <n v="0.53575916230366616"/>
    <n v="0.22739999999999999"/>
    <n v="1"/>
    <x v="0"/>
    <x v="753"/>
    <x v="267"/>
    <s v="KV Mechelen vs Club Brugge"/>
  </r>
  <r>
    <s v="Al-Nassr Riyadh vs Dhamk / Total 1.5"/>
    <s v="Fulltbet"/>
    <x v="2206"/>
    <n v="-8.42"/>
    <n v="4.4999999999999998E-2"/>
    <n v="-8.42"/>
    <x v="10"/>
    <x v="32"/>
    <x v="14"/>
    <n v="10"/>
    <x v="157"/>
    <n v="0"/>
    <n v="-0.84199999999999997"/>
    <n v="0"/>
    <x v="0"/>
    <x v="230"/>
    <x v="697"/>
    <s v="Al-Nassr Riyadh vs Dhamk"/>
  </r>
  <r>
    <s v="KV Mechelen vs Club Brugge / Total 1.5"/>
    <s v="Fulltbet"/>
    <x v="2207"/>
    <n v="9.5500000000000007"/>
    <n v="4.4999999999999998E-2"/>
    <n v="10.000000000000002"/>
    <x v="10"/>
    <x v="32"/>
    <x v="22"/>
    <n v="10"/>
    <x v="157"/>
    <n v="0.45000000000000107"/>
    <n v="0.95500000000000007"/>
    <n v="1"/>
    <x v="0"/>
    <x v="753"/>
    <x v="267"/>
    <s v="KV Mechelen vs Club Brugge"/>
  </r>
  <r>
    <s v="Neom SC vs Al-Ettifaq / Total 1.5"/>
    <s v="Fulltbet"/>
    <x v="2208"/>
    <n v="-2"/>
    <n v="4.4999999999999998E-2"/>
    <n v="-2"/>
    <x v="10"/>
    <x v="50"/>
    <x v="276"/>
    <n v="2"/>
    <x v="157"/>
    <n v="0"/>
    <n v="-1"/>
    <n v="0"/>
    <x v="0"/>
    <x v="555"/>
    <x v="269"/>
    <s v="Neom SC vs Al-Ettifaq"/>
  </r>
  <r>
    <s v="FC Utrecht vs Heerenveen / 1st Half Total 0.5"/>
    <s v="Fulltbet"/>
    <x v="2209"/>
    <n v="-50"/>
    <n v="4.4999999999999998E-2"/>
    <n v="-50"/>
    <x v="11"/>
    <x v="43"/>
    <x v="213"/>
    <n v="50"/>
    <x v="157"/>
    <n v="0"/>
    <n v="-1"/>
    <n v="0"/>
    <x v="0"/>
    <x v="387"/>
    <x v="167"/>
    <s v="FC Utrecht vs Heerenveen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</r>
  <r>
    <s v="Neom SC vs Al-Ettifaq / Correct Score"/>
    <s v="Fulltbet"/>
    <x v="2212"/>
    <n v="4.6100000000000003"/>
    <n v="4.4999999999999998E-2"/>
    <n v="4.8272251308900529"/>
    <x v="10"/>
    <x v="31"/>
    <x v="15"/>
    <n v="67.62"/>
    <x v="157"/>
    <n v="0.21722513089005258"/>
    <n v="6.817509612540669E-2"/>
    <n v="1"/>
    <x v="0"/>
    <x v="555"/>
    <x v="269"/>
    <s v="Neom SC vs Al-Ettifaq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</r>
  <r>
    <s v="Anderlecht vs Sint-Truidense VV / Total 3.5"/>
    <s v="Fulltbet"/>
    <x v="2215"/>
    <n v="2.65"/>
    <n v="4.4999999999999998E-2"/>
    <n v="2.7748691099476441"/>
    <x v="10"/>
    <x v="33"/>
    <x v="171"/>
    <n v="15"/>
    <x v="157"/>
    <n v="0.12486910994764422"/>
    <n v="0.17666666666666667"/>
    <n v="1"/>
    <x v="0"/>
    <x v="427"/>
    <x v="407"/>
    <s v="Anderlecht vs Sint-Truidense VV"/>
  </r>
  <r>
    <s v="FC Utrecht vs Heerenveen / Correct Score"/>
    <s v="Fulltbet"/>
    <x v="2216"/>
    <n v="3.61"/>
    <n v="4.4999999999999998E-2"/>
    <n v="3.7801047120418847"/>
    <x v="10"/>
    <x v="31"/>
    <x v="24"/>
    <n v="69.930000000000007"/>
    <x v="157"/>
    <n v="0.17010471204188482"/>
    <n v="5.1623051623051613E-2"/>
    <n v="1"/>
    <x v="0"/>
    <x v="387"/>
    <x v="167"/>
    <s v="FC Utrecht vs Heerenveen"/>
  </r>
  <r>
    <s v="FC Utrecht vs Heerenveen / Match Odds"/>
    <s v="Fulltbet"/>
    <x v="2217"/>
    <n v="14.47"/>
    <n v="4.4999999999999998E-2"/>
    <n v="15.151832460732985"/>
    <x v="11"/>
    <x v="44"/>
    <x v="277"/>
    <n v="50"/>
    <x v="157"/>
    <n v="0.6818324607329842"/>
    <n v="0.28939999999999999"/>
    <n v="1"/>
    <x v="0"/>
    <x v="387"/>
    <x v="167"/>
    <s v="FC Utrecht vs Heerenveen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</r>
  <r>
    <s v="Universidad Católica vs Barcelona SC / Match Odds"/>
    <s v="Fulltbet"/>
    <x v="2219"/>
    <n v="10.38"/>
    <n v="4.4999999999999998E-2"/>
    <n v="10.869109947643981"/>
    <x v="11"/>
    <x v="44"/>
    <x v="224"/>
    <n v="50"/>
    <x v="157"/>
    <n v="0.48910994764398019"/>
    <n v="0.20760000000000001"/>
    <n v="1"/>
    <x v="0"/>
    <x v="483"/>
    <x v="682"/>
    <s v="Universidad Católica vs Barcelona SC"/>
  </r>
  <r>
    <s v="Cruz Azul vs Pumas UNAM / 1st Half Total 0.5"/>
    <s v="Fulltbet"/>
    <x v="2220"/>
    <n v="-50"/>
    <n v="4.4999999999999998E-2"/>
    <n v="-50"/>
    <x v="11"/>
    <x v="43"/>
    <x v="238"/>
    <n v="50"/>
    <x v="157"/>
    <n v="0"/>
    <n v="-1"/>
    <n v="0"/>
    <x v="0"/>
    <x v="642"/>
    <x v="738"/>
    <s v="Cruz Azul vs Pumas UNAM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</r>
  <r>
    <s v="Viettel vs PVF-Cong An Nhan Dan FC / Match Odds"/>
    <s v="Fulltbet"/>
    <x v="2222"/>
    <n v="5.83"/>
    <n v="4.4999999999999998E-2"/>
    <n v="6.1047120418848166"/>
    <x v="10"/>
    <x v="41"/>
    <x v="265"/>
    <n v="10"/>
    <x v="158"/>
    <n v="0.27471204188481657"/>
    <n v="0.58299999999999996"/>
    <n v="1"/>
    <x v="0"/>
    <x v="755"/>
    <x v="803"/>
    <s v="Viettel vs PVF-Cong An Nhan Dan FC"/>
  </r>
  <r>
    <s v="NK Osijek vs NK Slaven Belupo / Match Odds"/>
    <s v="Fulltbet"/>
    <x v="2223"/>
    <n v="1.91"/>
    <n v="4.4999999999999998E-2"/>
    <n v="2"/>
    <x v="10"/>
    <x v="48"/>
    <x v="233"/>
    <n v="50"/>
    <x v="158"/>
    <n v="9.000000000000008E-2"/>
    <n v="3.8199999999999998E-2"/>
    <n v="1"/>
    <x v="0"/>
    <x v="756"/>
    <x v="804"/>
    <s v="NK Osijek vs NK Slaven Belupo"/>
  </r>
  <r>
    <s v="CFR Cluj vs FC Arges Pitesti / Total 0.5"/>
    <s v="Fulltbet"/>
    <x v="2224"/>
    <n v="2.6"/>
    <n v="4.4999999999999998E-2"/>
    <n v="2.7225130890052358"/>
    <x v="10"/>
    <x v="47"/>
    <x v="232"/>
    <n v="5"/>
    <x v="158"/>
    <n v="0.12251308900523572"/>
    <n v="0.52"/>
    <n v="1"/>
    <x v="0"/>
    <x v="757"/>
    <x v="805"/>
    <s v="CFR Cluj vs FC Arges Pitesti"/>
  </r>
  <r>
    <s v="RC Lens vs OGC Nice / Total 1.5"/>
    <s v="Fulltbet"/>
    <x v="2225"/>
    <n v="9.5500000000000007"/>
    <n v="4.4999999999999998E-2"/>
    <n v="10.000000000000002"/>
    <x v="10"/>
    <x v="32"/>
    <x v="0"/>
    <n v="10"/>
    <x v="158"/>
    <n v="0.45000000000000107"/>
    <n v="0.95500000000000007"/>
    <n v="1"/>
    <x v="0"/>
    <x v="147"/>
    <x v="158"/>
    <s v="RC Lens vs OGC Nice"/>
  </r>
  <r>
    <s v="Everton de Viña del Mar vs Coquimbo Unido / Total 0.5"/>
    <s v="Fulltbet"/>
    <x v="2226"/>
    <n v="2.46"/>
    <n v="4.4999999999999998E-2"/>
    <n v="2.5759162303664924"/>
    <x v="10"/>
    <x v="47"/>
    <x v="236"/>
    <n v="5"/>
    <x v="158"/>
    <n v="0.11591623036649246"/>
    <n v="0.49199999999999999"/>
    <n v="1"/>
    <x v="0"/>
    <x v="758"/>
    <x v="806"/>
    <s v="Everton de Viña del Mar vs Coquimbo Unido"/>
  </r>
  <r>
    <s v="Fiorentina vs Atalanta / Total 1.5"/>
    <s v="Fulltbet"/>
    <x v="2227"/>
    <n v="-1.86"/>
    <n v="4.4999999999999998E-2"/>
    <n v="-1.86"/>
    <x v="10"/>
    <x v="32"/>
    <x v="36"/>
    <n v="10"/>
    <x v="158"/>
    <n v="0"/>
    <n v="-0.186"/>
    <n v="0"/>
    <x v="0"/>
    <x v="193"/>
    <x v="242"/>
    <s v="Fiorentina vs Atalanta"/>
  </r>
  <r>
    <s v="Fiorentina vs Atalanta / Match Odds"/>
    <s v="Fulltbet"/>
    <x v="2228"/>
    <n v="9.2799999999999994"/>
    <n v="4.4999999999999998E-2"/>
    <n v="9.7172774869109944"/>
    <x v="10"/>
    <x v="38"/>
    <x v="278"/>
    <n v="73.06"/>
    <x v="158"/>
    <n v="0.43727748691099499"/>
    <n v="0.12701888858472488"/>
    <n v="1"/>
    <x v="0"/>
    <x v="193"/>
    <x v="242"/>
    <s v="Fiorentina vs Atalanta"/>
  </r>
  <r>
    <s v="Fiorentina vs Atalanta / Total 3.5"/>
    <s v="Fulltbet"/>
    <x v="2229"/>
    <n v="2.5499999999999998"/>
    <n v="4.4999999999999998E-2"/>
    <n v="2.670157068062827"/>
    <x v="10"/>
    <x v="33"/>
    <x v="50"/>
    <n v="15"/>
    <x v="158"/>
    <n v="0.12015706806282722"/>
    <n v="0.16999999999999998"/>
    <n v="1"/>
    <x v="0"/>
    <x v="193"/>
    <x v="242"/>
    <s v="Fiorentina vs Atalanta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</r>
  <r>
    <s v="RC Lens vs OGC Nice / Half Time/Full Time"/>
    <s v="Fulltbet"/>
    <x v="2231"/>
    <n v="-44.87"/>
    <n v="4.4999999999999998E-2"/>
    <n v="-44.87"/>
    <x v="13"/>
    <x v="20"/>
    <x v="226"/>
    <n v="44.87"/>
    <x v="158"/>
    <n v="0"/>
    <n v="-1"/>
    <n v="0"/>
    <x v="0"/>
    <x v="147"/>
    <x v="158"/>
    <s v="RC Lens vs OGC Nice"/>
  </r>
  <r>
    <s v="Juan Pablo II College vs FBC Melgar / Both Teams To Score"/>
    <s v="Fulltbet"/>
    <x v="2232"/>
    <n v="1.43"/>
    <n v="4.4999999999999998E-2"/>
    <n v="1.4973821989528795"/>
    <x v="10"/>
    <x v="59"/>
    <x v="55"/>
    <n v="2"/>
    <x v="158"/>
    <n v="6.7382198952879557E-2"/>
    <n v="0.71499999999999997"/>
    <n v="1"/>
    <x v="0"/>
    <x v="760"/>
    <x v="807"/>
    <s v="Juan Pablo II College vs FBC Melgar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</r>
  <r>
    <s v="Kyoto Sanga vs V-Varen Nagasaki / Match Odds"/>
    <s v="Fulltbet"/>
    <x v="2234"/>
    <n v="3.04"/>
    <n v="4.4999999999999998E-2"/>
    <n v="3.1832460732984296"/>
    <x v="10"/>
    <x v="38"/>
    <x v="7"/>
    <n v="69.959999999999994"/>
    <x v="159"/>
    <n v="0.14324607329842953"/>
    <n v="4.3453401943967983E-2"/>
    <n v="1"/>
    <x v="0"/>
    <x v="762"/>
    <x v="809"/>
    <s v="Kyoto Sanga vs V-Varen Nagasaki"/>
  </r>
  <r>
    <s v="Kyoto Sanga vs V-Varen Nagasaki / Total 1.5"/>
    <s v="Fulltbet"/>
    <x v="2235"/>
    <n v="2.81"/>
    <n v="4.4999999999999998E-2"/>
    <n v="2.9424083769633511"/>
    <x v="10"/>
    <x v="35"/>
    <x v="197"/>
    <n v="5"/>
    <x v="159"/>
    <n v="0.13240837696335106"/>
    <n v="0.56200000000000006"/>
    <n v="1"/>
    <x v="0"/>
    <x v="762"/>
    <x v="809"/>
    <s v="Kyoto Sanga vs V-Varen Nagasaki"/>
  </r>
  <r>
    <s v="PFC Oleksandria vs Kryvbas Kryvyi Rih / Correct Score"/>
    <s v="Fulltbet"/>
    <x v="2236"/>
    <n v="6.82"/>
    <n v="4.4999999999999998E-2"/>
    <n v="7.1413612565445028"/>
    <x v="10"/>
    <x v="60"/>
    <x v="9"/>
    <n v="49.98"/>
    <x v="159"/>
    <n v="0.32136125654450254"/>
    <n v="0.1364545818327331"/>
    <n v="1"/>
    <x v="0"/>
    <x v="763"/>
    <x v="32"/>
    <s v="PFC Oleksandria vs Kryvbas Kryvyi Rih"/>
  </r>
  <r>
    <s v="Shanghai Port vs Tianjin Jinmenhu / Correct Score"/>
    <s v="Fulltbet"/>
    <x v="2237"/>
    <n v="5.31"/>
    <n v="4.4999999999999998E-2"/>
    <n v="5.5602094240837694"/>
    <x v="10"/>
    <x v="61"/>
    <x v="13"/>
    <n v="50.04"/>
    <x v="159"/>
    <n v="0.25020942408376978"/>
    <n v="0.10611510791366906"/>
    <n v="1"/>
    <x v="0"/>
    <x v="530"/>
    <x v="550"/>
    <s v="Shanghai Port vs Tianjin Jinmenhu"/>
  </r>
  <r>
    <s v="Beijing Guoan vs Henan Songshan Longmen / Total 1.5"/>
    <s v="Fulltbet"/>
    <x v="2238"/>
    <n v="-6.8"/>
    <n v="4.4999999999999998E-2"/>
    <n v="-6.8"/>
    <x v="10"/>
    <x v="32"/>
    <x v="19"/>
    <n v="10"/>
    <x v="159"/>
    <n v="0"/>
    <n v="-0.67999999999999994"/>
    <n v="0"/>
    <x v="0"/>
    <x v="527"/>
    <x v="658"/>
    <s v="Beijing Guoan vs Henan Songshan Longmen"/>
  </r>
  <r>
    <s v="Dalian Yingbo vs Chengdu Rongcheng / Correct Score"/>
    <s v="Fulltbet"/>
    <x v="2239"/>
    <n v="3.0369000000000002"/>
    <n v="4.4999999999999998E-2"/>
    <n v="3.18"/>
    <x v="10"/>
    <x v="31"/>
    <x v="109"/>
    <n v="73.14"/>
    <x v="159"/>
    <n v="0.1431"/>
    <n v="4.1521739130434783E-2"/>
    <n v="1"/>
    <x v="0"/>
    <x v="764"/>
    <x v="810"/>
    <s v="Dalian Yingbo vs Chengdu Rongcheng"/>
  </r>
  <r>
    <s v="Dalian Yingbo vs Chengdu Rongcheng / Correct Score"/>
    <s v="Fulltbet"/>
    <x v="2239"/>
    <n v="6.8186999999999998"/>
    <n v="4.4999999999999998E-2"/>
    <n v="7.14"/>
    <x v="10"/>
    <x v="61"/>
    <x v="9"/>
    <n v="49.98"/>
    <x v="159"/>
    <n v="0.32129999999999992"/>
    <n v="0.13642857142857143"/>
    <n v="1"/>
    <x v="0"/>
    <x v="764"/>
    <x v="810"/>
    <s v="Dalian Yingbo vs Chengdu Rongcheng"/>
  </r>
  <r>
    <s v="Halmstads BK vs Örgryte IS / Total 1.5"/>
    <s v="Fulltbet"/>
    <x v="2240"/>
    <n v="-6.19"/>
    <n v="4.4999999999999998E-2"/>
    <n v="-6.19"/>
    <x v="10"/>
    <x v="32"/>
    <x v="121"/>
    <n v="10"/>
    <x v="159"/>
    <n v="0"/>
    <n v="-0.61899999999999999"/>
    <n v="0"/>
    <x v="0"/>
    <x v="706"/>
    <x v="708"/>
    <s v="Halmstads BK vs Örgryte IS"/>
  </r>
  <r>
    <s v="Halmstads BK vs Örgryte IS / Match Odds"/>
    <s v="Fulltbet"/>
    <x v="2241"/>
    <n v="1.91"/>
    <n v="4.4999999999999998E-2"/>
    <n v="2"/>
    <x v="10"/>
    <x v="48"/>
    <x v="233"/>
    <n v="50"/>
    <x v="159"/>
    <n v="9.000000000000008E-2"/>
    <n v="3.8199999999999998E-2"/>
    <n v="1"/>
    <x v="0"/>
    <x v="706"/>
    <x v="708"/>
    <s v="Halmstads BK vs Örgryte IS"/>
  </r>
  <r>
    <s v="IK Oddevold vs Östersunds FK / Both Teams To Score"/>
    <s v="Fulltbet"/>
    <x v="2242"/>
    <n v="-2"/>
    <n v="4.4999999999999998E-2"/>
    <n v="-2"/>
    <x v="10"/>
    <x v="59"/>
    <x v="55"/>
    <n v="2"/>
    <x v="159"/>
    <n v="0"/>
    <n v="-1"/>
    <n v="0"/>
    <x v="0"/>
    <x v="731"/>
    <x v="811"/>
    <s v="IK Oddevold vs Östersunds FK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</r>
  <r>
    <s v="Kalmar FF vs Degerfors IF / Match Odds"/>
    <s v="Fulltbet"/>
    <x v="2244"/>
    <n v="1.43"/>
    <n v="4.4999999999999998E-2"/>
    <n v="1.4973821989528795"/>
    <x v="10"/>
    <x v="48"/>
    <x v="253"/>
    <n v="50"/>
    <x v="159"/>
    <n v="6.7382198952879557E-2"/>
    <n v="2.86E-2"/>
    <n v="1"/>
    <x v="0"/>
    <x v="647"/>
    <x v="812"/>
    <s v="Kalmar FF vs Degerfors IF"/>
  </r>
  <r>
    <s v="NK Varaždin vs Istra 1961 / Match Odds"/>
    <s v="Fulltbet"/>
    <x v="2245"/>
    <n v="1.43"/>
    <n v="4.4999999999999998E-2"/>
    <n v="1.4973821989528795"/>
    <x v="10"/>
    <x v="48"/>
    <x v="253"/>
    <n v="50"/>
    <x v="159"/>
    <n v="6.7382198952879557E-2"/>
    <n v="2.86E-2"/>
    <n v="1"/>
    <x v="0"/>
    <x v="765"/>
    <x v="332"/>
    <s v="NK Varaždin vs Istra 1961"/>
  </r>
  <r>
    <s v="KuPS vs FC Lahti / Match Odds"/>
    <s v="Fulltbet"/>
    <x v="2246"/>
    <n v="4.82"/>
    <n v="4.4999999999999998E-2"/>
    <n v="5.0471204188481682"/>
    <x v="10"/>
    <x v="41"/>
    <x v="150"/>
    <n v="9.9"/>
    <x v="159"/>
    <n v="0.22712041884816792"/>
    <n v="0.4868686868686869"/>
    <n v="1"/>
    <x v="0"/>
    <x v="603"/>
    <x v="813"/>
    <s v="KuPS vs FC Lahti"/>
  </r>
  <r>
    <s v="Legia Warszawa vs Motor Lublin / Total 1.5"/>
    <s v="Fulltbet"/>
    <x v="2247"/>
    <n v="9.5500000000000007"/>
    <n v="4.4999999999999998E-2"/>
    <n v="10.000000000000002"/>
    <x v="10"/>
    <x v="32"/>
    <x v="256"/>
    <n v="10"/>
    <x v="159"/>
    <n v="0.45000000000000107"/>
    <n v="0.95500000000000007"/>
    <n v="1"/>
    <x v="0"/>
    <x v="356"/>
    <x v="589"/>
    <s v="Legia Warszawa vs Motor Lublin"/>
  </r>
  <r>
    <s v="Termalica Bruk-Bet Nieciecza vs Lechia Gdansk / Total 3.5"/>
    <s v="Fulltbet"/>
    <x v="2248"/>
    <n v="-15"/>
    <n v="4.4999999999999998E-2"/>
    <n v="-15"/>
    <x v="10"/>
    <x v="33"/>
    <x v="47"/>
    <n v="15"/>
    <x v="159"/>
    <n v="0"/>
    <n v="-1"/>
    <n v="0"/>
    <x v="0"/>
    <x v="766"/>
    <x v="814"/>
    <s v="Termalica Bruk-Bet Nieciecza vs Lechia Gdansk"/>
  </r>
  <r>
    <s v="Rakow Czestochowa vs Arka Gdynia / Total 1.5"/>
    <s v="Fulltbet"/>
    <x v="2249"/>
    <n v="-2.44"/>
    <n v="4.4999999999999998E-2"/>
    <n v="-2.44"/>
    <x v="10"/>
    <x v="32"/>
    <x v="224"/>
    <n v="10"/>
    <x v="159"/>
    <n v="0"/>
    <n v="-0.24399999999999999"/>
    <n v="0"/>
    <x v="0"/>
    <x v="391"/>
    <x v="458"/>
    <s v="Rakow Czestochowa vs Arka Gdynia"/>
  </r>
  <r>
    <s v="Jagiellonia Bialystok vs Zaglebie Lubin / Total 1.5"/>
    <s v="Fulltbet"/>
    <x v="2250"/>
    <n v="-6.58"/>
    <n v="4.4999999999999998E-2"/>
    <n v="-6.58"/>
    <x v="10"/>
    <x v="32"/>
    <x v="157"/>
    <n v="9.7799999999999994"/>
    <x v="159"/>
    <n v="0"/>
    <n v="-0.67280163599182008"/>
    <n v="0"/>
    <x v="0"/>
    <x v="767"/>
    <x v="404"/>
    <s v="Jagiellonia Bialystok vs Zaglebie Lubin"/>
  </r>
  <r>
    <s v="Dinamo Zagreb vs NK Lokomotiva / 1st Half Total 0.5"/>
    <s v="Fulltbet"/>
    <x v="2251"/>
    <n v="-2"/>
    <n v="4.4999999999999998E-2"/>
    <n v="-2"/>
    <x v="10"/>
    <x v="43"/>
    <x v="57"/>
    <n v="2"/>
    <x v="159"/>
    <n v="0"/>
    <n v="-1"/>
    <n v="0"/>
    <x v="0"/>
    <x v="70"/>
    <x v="815"/>
    <s v="Dinamo Zagreb vs NK Lokomotiva"/>
  </r>
  <r>
    <s v="Pogon Szczecin vs GKS Katowice / Correct Score"/>
    <s v="Fulltbet"/>
    <x v="2252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388"/>
    <x v="361"/>
    <s v="Pogon Szczecin vs GKS Katowice"/>
  </r>
  <r>
    <s v="Pogon Szczecin vs GKS Katowice / Match Odds"/>
    <s v="Fulltbet"/>
    <x v="2253"/>
    <n v="4.6100000000000003"/>
    <n v="4.4999999999999998E-2"/>
    <n v="4.8272251308900529"/>
    <x v="10"/>
    <x v="38"/>
    <x v="34"/>
    <n v="72.45"/>
    <x v="159"/>
    <n v="0.21722513089005258"/>
    <n v="6.3630089717046243E-2"/>
    <n v="1"/>
    <x v="0"/>
    <x v="388"/>
    <x v="361"/>
    <s v="Pogon Szczecin vs GKS Katowice"/>
  </r>
  <r>
    <s v="Universitatea Cluj vs Dinamo Bucuresti / Match Odds"/>
    <s v="Fulltbet"/>
    <x v="2254"/>
    <n v="3.34"/>
    <n v="4.4999999999999998E-2"/>
    <n v="3.4973821989528795"/>
    <x v="10"/>
    <x v="38"/>
    <x v="18"/>
    <n v="66.5"/>
    <x v="159"/>
    <n v="0.15738219895287964"/>
    <n v="5.0225563909774437E-2"/>
    <n v="1"/>
    <x v="0"/>
    <x v="624"/>
    <x v="816"/>
    <s v="Universitatea Cluj vs Dinamo Bucuresti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</r>
  <r>
    <s v="Real Mallorca vs Real Oviedo / Total 0.5"/>
    <s v="Fulltbet"/>
    <x v="2256"/>
    <n v="0.18"/>
    <n v="4.4999999999999998E-2"/>
    <n v="0.18848167539267016"/>
    <x v="10"/>
    <x v="49"/>
    <x v="279"/>
    <n v="2"/>
    <x v="159"/>
    <n v="8.4816753926701682E-3"/>
    <n v="0.09"/>
    <n v="1"/>
    <x v="0"/>
    <x v="461"/>
    <x v="283"/>
    <s v="Real Mallorca vs Real Oviedo"/>
  </r>
  <r>
    <s v="Deportivo Moquegua vs Universitario de Deportes / Correct Score"/>
    <s v="Fulltbet"/>
    <x v="2257"/>
    <n v="6.82"/>
    <n v="4.4999999999999998E-2"/>
    <n v="7.1413612565445028"/>
    <x v="10"/>
    <x v="60"/>
    <x v="9"/>
    <n v="49.98"/>
    <x v="159"/>
    <n v="0.32136125654450254"/>
    <n v="0.1364545818327331"/>
    <n v="1"/>
    <x v="0"/>
    <x v="768"/>
    <x v="817"/>
    <s v="Deportivo Moquegua vs Universitario de Deportes"/>
  </r>
  <r>
    <s v="Deportivo Moquegua vs Universitario de Deportes / Both Teams To Score"/>
    <s v="Fulltbet"/>
    <x v="2258"/>
    <n v="-2"/>
    <n v="4.4999999999999998E-2"/>
    <n v="-2"/>
    <x v="10"/>
    <x v="59"/>
    <x v="68"/>
    <n v="2"/>
    <x v="159"/>
    <n v="0"/>
    <n v="-1"/>
    <n v="0"/>
    <x v="0"/>
    <x v="768"/>
    <x v="817"/>
    <s v="Deportivo Moquegua vs Universitario de Deportes"/>
  </r>
  <r>
    <s v="Real Madrid vs Athletic Bilbao / Both Teams To Score"/>
    <s v="Fulltbet"/>
    <x v="2259"/>
    <n v="1.0900000000000001"/>
    <n v="4.4999999999999998E-2"/>
    <n v="1.1413612565445028"/>
    <x v="10"/>
    <x v="59"/>
    <x v="183"/>
    <n v="2"/>
    <x v="159"/>
    <n v="5.1361256544502742E-2"/>
    <n v="0.54500000000000004"/>
    <n v="1"/>
    <x v="0"/>
    <x v="91"/>
    <x v="299"/>
    <s v="Real Madrid vs Athletic Bilbao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</r>
  <r>
    <s v="FC Bayern München vs VfB Stuttgart / Match Odds"/>
    <s v="Fulltbet"/>
    <x v="2261"/>
    <n v="53.365400000000001"/>
    <n v="4.4999999999999998E-2"/>
    <n v="55.88"/>
    <x v="3"/>
    <x v="7"/>
    <x v="44"/>
    <n v="379.88"/>
    <x v="159"/>
    <n v="2.5146000000000015"/>
    <n v="0.14047962514478257"/>
    <n v="1"/>
    <x v="3"/>
    <x v="107"/>
    <x v="251"/>
    <s v="FC Bayern München vs VfB Stuttgart"/>
  </r>
  <r>
    <s v="FC Bayern München vs VfB Stuttgart / Match Odds"/>
    <s v="Fulltbet"/>
    <x v="2261"/>
    <n v="18.364650000000001"/>
    <n v="4.4999999999999998E-2"/>
    <n v="19.23"/>
    <x v="8"/>
    <x v="20"/>
    <x v="116"/>
    <n v="100"/>
    <x v="159"/>
    <n v="0.8653499999999994"/>
    <n v="0.18364650000000002"/>
    <n v="1"/>
    <x v="0"/>
    <x v="107"/>
    <x v="251"/>
    <s v="FC Bayern München vs VfB Stuttgart"/>
  </r>
  <r>
    <s v="Saint Louis City SC vs Austin FC / Total 1.5"/>
    <s v="Fulltbet"/>
    <x v="2262"/>
    <n v="9.5500000000000007"/>
    <n v="4.4999999999999998E-2"/>
    <n v="10.000000000000002"/>
    <x v="10"/>
    <x v="32"/>
    <x v="116"/>
    <n v="10"/>
    <x v="159"/>
    <n v="0.45000000000000107"/>
    <n v="0.95500000000000007"/>
    <n v="1"/>
    <x v="0"/>
    <x v="689"/>
    <x v="566"/>
    <s v="Saint Louis City SC vs Austin FC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</r>
  <r>
    <s v="Getafe vs Osasuna / Total 0.5"/>
    <s v="Fulltbet"/>
    <x v="2264"/>
    <n v="0.55000000000000004"/>
    <n v="4.4999999999999998E-2"/>
    <n v="0.5759162303664922"/>
    <x v="10"/>
    <x v="49"/>
    <x v="218"/>
    <n v="2"/>
    <x v="159"/>
    <n v="2.5916230366492155E-2"/>
    <n v="0.27500000000000002"/>
    <n v="1"/>
    <x v="0"/>
    <x v="769"/>
    <x v="137"/>
    <s v="Getafe vs Osasuna"/>
  </r>
  <r>
    <s v="Espanyol vs Real Sociedad / Total 1.5"/>
    <s v="Fulltbet"/>
    <x v="2265"/>
    <n v="-8.52"/>
    <n v="4.4999999999999998E-2"/>
    <n v="-8.52"/>
    <x v="10"/>
    <x v="32"/>
    <x v="13"/>
    <n v="10"/>
    <x v="159"/>
    <n v="0"/>
    <n v="-0.85199999999999998"/>
    <n v="0"/>
    <x v="0"/>
    <x v="213"/>
    <x v="457"/>
    <s v="Espanyol vs Real Sociedad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</r>
  <r>
    <s v="Royal Antwerp vs Westerlo / Correct Score"/>
    <s v="Fulltbet"/>
    <x v="2267"/>
    <n v="5.14"/>
    <n v="4.4999999999999998E-2"/>
    <n v="5.3821989528795813"/>
    <x v="10"/>
    <x v="31"/>
    <x v="8"/>
    <n v="69.94"/>
    <x v="159"/>
    <n v="0.2421989528795816"/>
    <n v="7.3491564197883899E-2"/>
    <n v="1"/>
    <x v="0"/>
    <x v="770"/>
    <x v="161"/>
    <s v="Royal Antwerp vs Westerlo"/>
  </r>
  <r>
    <s v="Royal Antwerp vs Westerlo / Total 4.5"/>
    <s v="Fulltbet"/>
    <x v="2268"/>
    <n v="0.2"/>
    <n v="4.4999999999999998E-2"/>
    <n v="0.20942408376963353"/>
    <x v="10"/>
    <x v="62"/>
    <x v="219"/>
    <n v="2"/>
    <x v="159"/>
    <n v="9.4240837696335233E-3"/>
    <n v="0.1"/>
    <n v="1"/>
    <x v="0"/>
    <x v="770"/>
    <x v="161"/>
    <s v="Royal Antwerp vs Westerlo"/>
  </r>
  <r>
    <s v="Saint Louis City SC vs Austin FC / Correct Score"/>
    <s v="Fulltbet"/>
    <x v="2269"/>
    <n v="3.18"/>
    <n v="4.4999999999999998E-2"/>
    <n v="3.329842931937173"/>
    <x v="10"/>
    <x v="31"/>
    <x v="32"/>
    <n v="58.28"/>
    <x v="159"/>
    <n v="0.1498429319371728"/>
    <n v="5.456417295813315E-2"/>
    <n v="1"/>
    <x v="0"/>
    <x v="689"/>
    <x v="566"/>
    <s v="Saint Louis City SC vs Austin FC"/>
  </r>
  <r>
    <s v="Saint Louis City SC vs Austin FC / Match Odds"/>
    <s v="Fulltbet"/>
    <x v="2270"/>
    <n v="2.39"/>
    <n v="4.4999999999999998E-2"/>
    <n v="2.5026178010471205"/>
    <x v="10"/>
    <x v="48"/>
    <x v="268"/>
    <n v="50"/>
    <x v="159"/>
    <n v="0.11261780104712038"/>
    <n v="4.7800000000000002E-2"/>
    <n v="1"/>
    <x v="0"/>
    <x v="689"/>
    <x v="566"/>
    <s v="Saint Louis City SC vs Austin FC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</r>
  <r>
    <s v="Saint Louis City SC vs Austin FC / Both Teams To Score"/>
    <s v="Fulltbet"/>
    <x v="2271"/>
    <n v="-2"/>
    <n v="4.4999999999999998E-2"/>
    <n v="-2"/>
    <x v="10"/>
    <x v="59"/>
    <x v="52"/>
    <n v="2"/>
    <x v="159"/>
    <n v="0"/>
    <n v="-1"/>
    <n v="0"/>
    <x v="0"/>
    <x v="689"/>
    <x v="566"/>
    <s v="Saint Louis City SC vs Austin FC"/>
  </r>
  <r>
    <s v="Real Mallorca vs Real Oviedo / Match Odds"/>
    <s v="Fulltbet"/>
    <x v="2272"/>
    <n v="6.46"/>
    <n v="4.4999999999999998E-2"/>
    <n v="6.7643979057591626"/>
    <x v="10"/>
    <x v="36"/>
    <x v="38"/>
    <n v="51.38"/>
    <x v="159"/>
    <n v="0.30439790575916259"/>
    <n v="0.12572985597508757"/>
    <n v="1"/>
    <x v="0"/>
    <x v="461"/>
    <x v="283"/>
    <s v="Real Mallorca vs Real Oviedo"/>
  </r>
  <r>
    <s v="Celta de Vigo vs Sevilla / Correct Score"/>
    <s v="Fulltbet"/>
    <x v="2273"/>
    <n v="6.82"/>
    <n v="4.4999999999999998E-2"/>
    <n v="7.1413612565445028"/>
    <x v="10"/>
    <x v="61"/>
    <x v="9"/>
    <n v="49.98"/>
    <x v="159"/>
    <n v="0.32136125654450254"/>
    <n v="0.1364545818327331"/>
    <n v="1"/>
    <x v="0"/>
    <x v="371"/>
    <x v="522"/>
    <s v="Celta de Vigo vs Sevilla"/>
  </r>
  <r>
    <s v="Real Betis vs Levante UD / Total 4.5"/>
    <s v="Fulltbet"/>
    <x v="2274"/>
    <n v="0.19"/>
    <n v="4.4999999999999998E-2"/>
    <n v="0.19895287958115185"/>
    <x v="10"/>
    <x v="62"/>
    <x v="207"/>
    <n v="2"/>
    <x v="159"/>
    <n v="8.9528795811518458E-3"/>
    <n v="9.5000000000000001E-2"/>
    <n v="1"/>
    <x v="0"/>
    <x v="78"/>
    <x v="109"/>
    <s v="Real Betis vs Levante UD"/>
  </r>
  <r>
    <s v="Celta de Vigo vs Sevilla / Match Odds"/>
    <s v="Fulltbet"/>
    <x v="2275"/>
    <n v="2.06"/>
    <n v="4.4999999999999998E-2"/>
    <n v="2.1570680628272254"/>
    <x v="10"/>
    <x v="39"/>
    <x v="139"/>
    <n v="2"/>
    <x v="159"/>
    <n v="9.7068062827225354E-2"/>
    <n v="1.03"/>
    <n v="1"/>
    <x v="0"/>
    <x v="371"/>
    <x v="522"/>
    <s v="Celta de Vigo vs Sevilla"/>
  </r>
  <r>
    <s v="Valencia vs FC Barcelona / Correct Score"/>
    <s v="Fulltbet"/>
    <x v="2276"/>
    <n v="5.83"/>
    <n v="4.4999999999999998E-2"/>
    <n v="6.1047120418848166"/>
    <x v="10"/>
    <x v="60"/>
    <x v="22"/>
    <n v="48.8"/>
    <x v="159"/>
    <n v="0.27471204188481657"/>
    <n v="0.11946721311475411"/>
    <n v="1"/>
    <x v="0"/>
    <x v="398"/>
    <x v="81"/>
    <s v="Valencia vs FC Barcelona"/>
  </r>
  <r>
    <s v="Valencia vs FC Barcelona / Total 3.5"/>
    <s v="Fulltbet"/>
    <x v="2277"/>
    <n v="3.17"/>
    <n v="4.4999999999999998E-2"/>
    <n v="3.3193717277486914"/>
    <x v="10"/>
    <x v="33"/>
    <x v="51"/>
    <n v="15"/>
    <x v="159"/>
    <n v="0.14937172774869145"/>
    <n v="0.21133333333333332"/>
    <n v="1"/>
    <x v="0"/>
    <x v="398"/>
    <x v="81"/>
    <s v="Valencia vs FC Barcelona"/>
  </r>
  <r>
    <s v="São Paulo vs Botafogo FR / Total 1.5"/>
    <s v="Fulltbet"/>
    <x v="2278"/>
    <n v="-5"/>
    <n v="4.4999999999999998E-2"/>
    <n v="-5"/>
    <x v="10"/>
    <x v="35"/>
    <x v="97"/>
    <n v="5"/>
    <x v="159"/>
    <n v="0"/>
    <n v="-1"/>
    <n v="0"/>
    <x v="0"/>
    <x v="280"/>
    <x v="397"/>
    <s v="São Paulo vs Botafogo FR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</r>
  <r>
    <s v="Minnesota United vs Real Salt Lake / Correct Score"/>
    <s v="Fulltbet"/>
    <x v="2281"/>
    <n v="2.57"/>
    <n v="4.4999999999999998E-2"/>
    <n v="2.6910994764397906"/>
    <x v="10"/>
    <x v="31"/>
    <x v="40"/>
    <n v="69.94"/>
    <x v="159"/>
    <n v="0.1210994764397908"/>
    <n v="3.674578209894195E-2"/>
    <n v="1"/>
    <x v="0"/>
    <x v="499"/>
    <x v="595"/>
    <s v="Minnesota United vs Real Salt Lake"/>
  </r>
  <r>
    <s v="Fortaleza EC vs Londrina / Match Odds"/>
    <s v="Fulltbet"/>
    <x v="2282"/>
    <n v="71.63"/>
    <n v="4.4999999999999998E-2"/>
    <n v="75.005235602094245"/>
    <x v="3"/>
    <x v="7"/>
    <x v="81"/>
    <n v="480"/>
    <x v="159"/>
    <n v="3.37523560209425"/>
    <n v="0.14922916666666666"/>
    <n v="1"/>
    <x v="42"/>
    <x v="771"/>
    <x v="818"/>
    <s v="Fortaleza EC vs Londrina"/>
  </r>
  <r>
    <s v="Grêmio FBPA vs Santos FC / Half Time/Full Time"/>
    <s v="Fulltbet"/>
    <x v="2283"/>
    <n v="73.94"/>
    <n v="4.4999999999999998E-2"/>
    <n v="77.424083769633512"/>
    <x v="3"/>
    <x v="29"/>
    <x v="28"/>
    <n v="480"/>
    <x v="159"/>
    <n v="3.4840837696335143"/>
    <n v="0.15404166666666666"/>
    <n v="1"/>
    <x v="6"/>
    <x v="361"/>
    <x v="517"/>
    <s v="Grêmio FBPA vs Santos FC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</r>
  <r>
    <s v="Vancouver FC vs FC Supra du Quebec / Correct Score"/>
    <s v="Fulltbet"/>
    <x v="2286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772"/>
    <x v="819"/>
    <s v="Vancouver FC vs FC Supra du Quebec"/>
  </r>
  <r>
    <s v="FC Cincinnati vs Orlando City / Total 1.5"/>
    <s v="Fulltbet"/>
    <x v="2287"/>
    <n v="9.5500000000000007"/>
    <n v="4.4999999999999998E-2"/>
    <n v="10.000000000000002"/>
    <x v="10"/>
    <x v="32"/>
    <x v="27"/>
    <n v="10"/>
    <x v="159"/>
    <n v="0.45000000000000107"/>
    <n v="0.95500000000000007"/>
    <n v="1"/>
    <x v="0"/>
    <x v="497"/>
    <x v="674"/>
    <s v="FC Cincinnati vs Orlando City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</r>
  <r>
    <s v="Chicago Fire vs Toronto FC / 1st Half Total 0.5"/>
    <s v="Fulltbet"/>
    <x v="2289"/>
    <n v="1.1399999999999999"/>
    <n v="4.4999999999999998E-2"/>
    <n v="1.1937172774869109"/>
    <x v="10"/>
    <x v="43"/>
    <x v="97"/>
    <n v="2"/>
    <x v="159"/>
    <n v="5.3717277486911019E-2"/>
    <n v="0.56999999999999995"/>
    <n v="1"/>
    <x v="0"/>
    <x v="627"/>
    <x v="821"/>
    <s v="Chicago Fire vs Toronto FC"/>
  </r>
  <r>
    <s v="Charlotte FC vs New England Revolution / Match Odds"/>
    <s v="Fulltbet"/>
    <x v="2290"/>
    <n v="1.87"/>
    <n v="4.4999999999999998E-2"/>
    <n v="1.9581151832460735"/>
    <x v="10"/>
    <x v="39"/>
    <x v="115"/>
    <n v="2"/>
    <x v="159"/>
    <n v="8.811518324607337E-2"/>
    <n v="0.93500000000000005"/>
    <n v="1"/>
    <x v="0"/>
    <x v="631"/>
    <x v="822"/>
    <s v="Charlotte FC vs New England Revolution"/>
  </r>
  <r>
    <s v="Charlotte FC vs New England Revolution / Both Teams To Score"/>
    <s v="Fulltbet"/>
    <x v="2290"/>
    <n v="-2"/>
    <n v="4.4999999999999998E-2"/>
    <n v="-2"/>
    <x v="10"/>
    <x v="59"/>
    <x v="58"/>
    <n v="2"/>
    <x v="159"/>
    <n v="0"/>
    <n v="-1"/>
    <n v="0"/>
    <x v="0"/>
    <x v="631"/>
    <x v="822"/>
    <s v="Charlotte FC vs New England Revolution"/>
  </r>
  <r>
    <s v="Charlotte FC vs New England Revolution / Total 1.5"/>
    <s v="Fulltbet"/>
    <x v="2291"/>
    <n v="-9.3299999999999983"/>
    <n v="4.4999999999999998E-2"/>
    <n v="-9.3299999999999983"/>
    <x v="10"/>
    <x v="32"/>
    <x v="276"/>
    <n v="10"/>
    <x v="159"/>
    <n v="0"/>
    <n v="-0.93299999999999983"/>
    <n v="0"/>
    <x v="0"/>
    <x v="631"/>
    <x v="822"/>
    <s v="Charlotte FC vs New England Revolution"/>
  </r>
  <r>
    <s v="Charlotte FC vs New England Revolution / Total 1.5"/>
    <s v="Fulltbet"/>
    <x v="2291"/>
    <n v="2.33"/>
    <n v="0"/>
    <n v="2.33"/>
    <x v="10"/>
    <x v="35"/>
    <x v="47"/>
    <n v="5"/>
    <x v="159"/>
    <n v="0"/>
    <n v="0.46600000000000003"/>
    <n v="1"/>
    <x v="0"/>
    <x v="631"/>
    <x v="822"/>
    <s v="Charlotte FC vs New England Revolution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</r>
  <r>
    <s v="San Diego FC vs Vancouver Whitecaps / Total 1.5"/>
    <s v="Fulltbet"/>
    <x v="2293"/>
    <n v="9.5500000000000007"/>
    <n v="4.4999999999999998E-2"/>
    <n v="10.000000000000002"/>
    <x v="10"/>
    <x v="32"/>
    <x v="2"/>
    <n v="10"/>
    <x v="159"/>
    <n v="0.45000000000000107"/>
    <n v="0.95500000000000007"/>
    <n v="1"/>
    <x v="0"/>
    <x v="588"/>
    <x v="624"/>
    <s v="San Diego FC vs Vancouver Whitecaps"/>
  </r>
  <r>
    <s v="San Diego FC vs Vancouver Whitecaps / Total 3.5"/>
    <s v="Fulltbet"/>
    <x v="2294"/>
    <n v="-15"/>
    <n v="4.4999999999999998E-2"/>
    <n v="-15"/>
    <x v="10"/>
    <x v="33"/>
    <x v="172"/>
    <n v="15"/>
    <x v="160"/>
    <n v="0"/>
    <n v="-1"/>
    <n v="0"/>
    <x v="0"/>
    <x v="588"/>
    <x v="624"/>
    <s v="San Diego FC vs Vancouver Whitecaps"/>
  </r>
  <r>
    <s v="Los Angeles Galaxy vs Houston Dynamo / Total 0.5"/>
    <s v="Fulltbet"/>
    <x v="2295"/>
    <n v="0.17"/>
    <n v="4.4999999999999998E-2"/>
    <n v="0.1780104712041885"/>
    <x v="10"/>
    <x v="49"/>
    <x v="249"/>
    <n v="2"/>
    <x v="160"/>
    <n v="8.0104712041884907E-3"/>
    <n v="8.5000000000000006E-2"/>
    <n v="1"/>
    <x v="0"/>
    <x v="547"/>
    <x v="734"/>
    <s v="Los Angeles Galaxy vs Houston Dynamo"/>
  </r>
  <r>
    <s v="Los Angeles Galaxy vs Houston Dynamo / Total 1.5"/>
    <s v="Fulltbet"/>
    <x v="2296"/>
    <n v="9.5500000000000007"/>
    <n v="4.4999999999999998E-2"/>
    <n v="10.000000000000002"/>
    <x v="10"/>
    <x v="32"/>
    <x v="42"/>
    <n v="10"/>
    <x v="160"/>
    <n v="0.45000000000000107"/>
    <n v="0.95500000000000007"/>
    <n v="1"/>
    <x v="0"/>
    <x v="547"/>
    <x v="734"/>
    <s v="Los Angeles Galaxy vs Houston Dynamo"/>
  </r>
  <r>
    <s v="Qingdao Hainiu vs Chongqing Tonglianglong / Total 0.5"/>
    <s v="Fulltbet"/>
    <x v="2297"/>
    <n v="2.46"/>
    <n v="4.4999999999999998E-2"/>
    <n v="2.5759162303664924"/>
    <x v="10"/>
    <x v="47"/>
    <x v="236"/>
    <n v="5"/>
    <x v="160"/>
    <n v="0.11591623036649246"/>
    <n v="0.49199999999999999"/>
    <n v="1"/>
    <x v="0"/>
    <x v="773"/>
    <x v="746"/>
    <s v="Qingdao Hainiu vs Chongqing Tonglianglong"/>
  </r>
  <r>
    <s v="Qingdao Hainiu vs Chongqing Tonglianglong / Correct Score"/>
    <s v="Fulltbet"/>
    <x v="2298"/>
    <n v="-50.02"/>
    <n v="4.4999999999999998E-2"/>
    <n v="-50.02"/>
    <x v="10"/>
    <x v="61"/>
    <x v="19"/>
    <n v="50.02"/>
    <x v="160"/>
    <n v="0"/>
    <n v="-1"/>
    <n v="0"/>
    <x v="0"/>
    <x v="773"/>
    <x v="746"/>
    <s v="Qingdao Hainiu vs Chongqing Tonglianglong"/>
  </r>
  <r>
    <s v="Yunnan Yukun vs Qingdao West Coast / Total 1.5"/>
    <s v="Fulltbet"/>
    <x v="2299"/>
    <n v="9.5500000000000007"/>
    <n v="4.4999999999999998E-2"/>
    <n v="10.000000000000002"/>
    <x v="10"/>
    <x v="32"/>
    <x v="85"/>
    <n v="10"/>
    <x v="160"/>
    <n v="0.45000000000000107"/>
    <n v="0.95500000000000007"/>
    <n v="1"/>
    <x v="0"/>
    <x v="495"/>
    <x v="608"/>
    <s v="Yunnan Yukun vs Qingdao West Coast"/>
  </r>
  <r>
    <s v="Shandong Taishan vs Wuhan Three Towns / Both Teams To Score"/>
    <s v="Fulltbet"/>
    <x v="2300"/>
    <n v="1.22"/>
    <n v="4.4999999999999998E-2"/>
    <n v="1.2774869109947644"/>
    <x v="10"/>
    <x v="59"/>
    <x v="130"/>
    <n v="2"/>
    <x v="160"/>
    <n v="5.748691099476444E-2"/>
    <n v="0.61"/>
    <n v="1"/>
    <x v="0"/>
    <x v="566"/>
    <x v="579"/>
    <s v="Shandong Taishan vs Wuhan Three Towns"/>
  </r>
  <r>
    <s v="Hammarby IF vs AIK / Total 2.5"/>
    <s v="Fulltbet"/>
    <x v="2301"/>
    <n v="-5"/>
    <n v="4.4999999999999998E-2"/>
    <n v="-5"/>
    <x v="10"/>
    <x v="34"/>
    <x v="248"/>
    <n v="5"/>
    <x v="160"/>
    <n v="0"/>
    <n v="-1"/>
    <n v="0"/>
    <x v="0"/>
    <x v="436"/>
    <x v="823"/>
    <s v="Hammarby IF vs AIK"/>
  </r>
  <r>
    <s v="Bodø/Glimt vs Brann / Total 1.5"/>
    <s v="Fulltbet"/>
    <x v="2302"/>
    <n v="9.5500000000000007"/>
    <n v="4.4999999999999998E-2"/>
    <n v="10.000000000000002"/>
    <x v="10"/>
    <x v="32"/>
    <x v="17"/>
    <n v="10"/>
    <x v="160"/>
    <n v="0.45000000000000107"/>
    <n v="0.95500000000000007"/>
    <n v="1"/>
    <x v="0"/>
    <x v="277"/>
    <x v="218"/>
    <s v="Bod"/>
  </r>
  <r>
    <s v="GKS Tychy vs Stal Rzeszów / Both Teams To Score"/>
    <s v="Fulltbet"/>
    <x v="2303"/>
    <n v="1.24"/>
    <n v="4.4999999999999998E-2"/>
    <n v="1.2984293193717278"/>
    <x v="10"/>
    <x v="59"/>
    <x v="61"/>
    <n v="2"/>
    <x v="160"/>
    <n v="5.8429319371727795E-2"/>
    <n v="0.62"/>
    <n v="1"/>
    <x v="0"/>
    <x v="774"/>
    <x v="824"/>
    <s v="GKS Tychy vs Stal Rzeszów"/>
  </r>
  <r>
    <s v="Parma vs Sassuolo / Total 2.5"/>
    <s v="Fulltbet"/>
    <x v="2304"/>
    <n v="5.73"/>
    <n v="4.4999999999999998E-2"/>
    <n v="6.0000000000000009"/>
    <x v="10"/>
    <x v="34"/>
    <x v="46"/>
    <n v="5"/>
    <x v="160"/>
    <n v="0.27000000000000046"/>
    <n v="1.1460000000000001"/>
    <n v="1"/>
    <x v="0"/>
    <x v="228"/>
    <x v="142"/>
    <s v="Parma vs Sassuolo"/>
  </r>
  <r>
    <s v="Manchester City vs Aston Villa / 1st Half Total 0.5"/>
    <s v="Fulltbet"/>
    <x v="2305"/>
    <n v="1.19"/>
    <n v="4.4999999999999998E-2"/>
    <n v="1.2460732984293195"/>
    <x v="10"/>
    <x v="43"/>
    <x v="104"/>
    <n v="2"/>
    <x v="160"/>
    <n v="5.6073298429319518E-2"/>
    <n v="0.59499999999999997"/>
    <n v="1"/>
    <x v="0"/>
    <x v="155"/>
    <x v="50"/>
    <s v="Manchester City vs Aston Villa"/>
  </r>
  <r>
    <s v="Brighton &amp; Hove Albion vs Manchester United / Total 1.5"/>
    <s v="Fulltbet"/>
    <x v="2306"/>
    <n v="9.5500000000000007"/>
    <n v="4.4999999999999998E-2"/>
    <n v="10.000000000000002"/>
    <x v="10"/>
    <x v="32"/>
    <x v="13"/>
    <n v="10"/>
    <x v="160"/>
    <n v="0.45000000000000107"/>
    <n v="0.95500000000000007"/>
    <n v="1"/>
    <x v="0"/>
    <x v="48"/>
    <x v="110"/>
    <s v="Brighton &amp; Hove Albion vs Manchester United"/>
  </r>
  <r>
    <s v="Manchester City vs Aston Villa / Total 1.5"/>
    <s v="Fulltbet"/>
    <x v="2307"/>
    <n v="9.5500000000000007"/>
    <n v="4.4999999999999998E-2"/>
    <n v="10.000000000000002"/>
    <x v="10"/>
    <x v="32"/>
    <x v="282"/>
    <n v="10"/>
    <x v="160"/>
    <n v="0.45000000000000107"/>
    <n v="0.95500000000000007"/>
    <n v="1"/>
    <x v="0"/>
    <x v="155"/>
    <x v="50"/>
    <s v="Manchester City vs Aston Villa"/>
  </r>
  <r>
    <s v="Sunderland vs Chelsea / Total 1.5"/>
    <s v="Fulltbet"/>
    <x v="2308"/>
    <n v="9.5500000000000007"/>
    <n v="4.4999999999999998E-2"/>
    <n v="10.000000000000002"/>
    <x v="10"/>
    <x v="32"/>
    <x v="22"/>
    <n v="10"/>
    <x v="160"/>
    <n v="0.45000000000000107"/>
    <n v="0.95500000000000007"/>
    <n v="1"/>
    <x v="0"/>
    <x v="202"/>
    <x v="46"/>
    <s v="Sunderland vs Chelsea"/>
  </r>
  <r>
    <s v="Brighton &amp; Hove Albion vs Manchester United / Total 2.5"/>
    <s v="Fulltbet"/>
    <x v="2309"/>
    <n v="-5"/>
    <n v="4.4999999999999998E-2"/>
    <n v="-5"/>
    <x v="10"/>
    <x v="34"/>
    <x v="158"/>
    <n v="5"/>
    <x v="160"/>
    <n v="0"/>
    <n v="-1"/>
    <n v="0"/>
    <x v="0"/>
    <x v="48"/>
    <x v="110"/>
    <s v="Brighton &amp; Hove Albion vs Manchester United"/>
  </r>
  <r>
    <s v="Andorra FC vs AD Ceuta FC / Match Odds"/>
    <s v="Fulltbet"/>
    <x v="2310"/>
    <n v="-49.97"/>
    <n v="4.4999999999999998E-2"/>
    <n v="-49.97"/>
    <x v="10"/>
    <x v="36"/>
    <x v="14"/>
    <n v="49.97"/>
    <x v="160"/>
    <n v="0"/>
    <n v="-1"/>
    <n v="0"/>
    <x v="0"/>
    <x v="375"/>
    <x v="382"/>
    <s v="Andorra FC vs AD Ceuta FC"/>
  </r>
  <r>
    <s v="Nottingham Forest vs AFC Bournemouth / Total 1.5"/>
    <s v="Fulltbet"/>
    <x v="2311"/>
    <n v="-6.98"/>
    <n v="4.4999999999999998E-2"/>
    <n v="-6.98"/>
    <x v="10"/>
    <x v="32"/>
    <x v="283"/>
    <n v="10"/>
    <x v="160"/>
    <n v="0"/>
    <n v="-0.69800000000000006"/>
    <n v="0"/>
    <x v="0"/>
    <x v="199"/>
    <x v="163"/>
    <s v="Nottingham Forest vs AFC Bournemouth"/>
  </r>
  <r>
    <s v="Stal Mielec vs Polonia Bytom / Both Teams To Score"/>
    <s v="Fulltbet"/>
    <x v="2312"/>
    <n v="1.03"/>
    <n v="4.4999999999999998E-2"/>
    <n v="1.0785340314136127"/>
    <x v="10"/>
    <x v="59"/>
    <x v="232"/>
    <n v="2"/>
    <x v="160"/>
    <n v="4.8534031413612677E-2"/>
    <n v="0.51500000000000001"/>
    <n v="1"/>
    <x v="0"/>
    <x v="623"/>
    <x v="825"/>
    <s v="Stal Mielec vs Polonia Bytom"/>
  </r>
  <r>
    <s v="Fulham vs Newcastle United / Total 1.5"/>
    <s v="Fulltbet"/>
    <x v="2313"/>
    <n v="-7.74"/>
    <n v="4.4999999999999998E-2"/>
    <n v="-7.74"/>
    <x v="10"/>
    <x v="32"/>
    <x v="31"/>
    <n v="10"/>
    <x v="160"/>
    <n v="0"/>
    <n v="-0.77400000000000002"/>
    <n v="0"/>
    <x v="0"/>
    <x v="215"/>
    <x v="290"/>
    <s v="Fulham vs Newcastle United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</r>
  <r>
    <s v="West Ham vs Leeds United / Total 3.5"/>
    <s v="Fulltbet"/>
    <x v="2315"/>
    <n v="2.75"/>
    <n v="4.4999999999999998E-2"/>
    <n v="2.8795811518324608"/>
    <x v="10"/>
    <x v="33"/>
    <x v="180"/>
    <n v="15"/>
    <x v="160"/>
    <n v="0.12958115183246077"/>
    <n v="0.18333333333333332"/>
    <n v="1"/>
    <x v="0"/>
    <x v="243"/>
    <x v="213"/>
    <s v="West Ham vs Leeds United"/>
  </r>
  <r>
    <s v="Brighton &amp; Hove Albion vs Manchester United / Total 3.5"/>
    <s v="Fulltbet"/>
    <x v="2316"/>
    <n v="2.8"/>
    <n v="4.4999999999999998E-2"/>
    <n v="2.9319371727748691"/>
    <x v="10"/>
    <x v="33"/>
    <x v="171"/>
    <n v="15"/>
    <x v="160"/>
    <n v="0.13193717277486927"/>
    <n v="0.18666666666666665"/>
    <n v="1"/>
    <x v="0"/>
    <x v="48"/>
    <x v="110"/>
    <s v="Brighton &amp; Hove Albion vs Manchester United"/>
  </r>
  <r>
    <s v="Fulham vs Newcastle United / Total 3.5"/>
    <s v="Fulltbet"/>
    <x v="2317"/>
    <n v="2.88"/>
    <n v="4.4999999999999998E-2"/>
    <n v="3.0157068062827226"/>
    <x v="10"/>
    <x v="33"/>
    <x v="172"/>
    <n v="15"/>
    <x v="160"/>
    <n v="0.13570680628272269"/>
    <n v="0.192"/>
    <n v="1"/>
    <x v="0"/>
    <x v="215"/>
    <x v="290"/>
    <s v="Fulham vs Newcastle United"/>
  </r>
  <r>
    <s v="Fulham vs Newcastle United / Total 2.5"/>
    <s v="Fulltbet"/>
    <x v="2318"/>
    <n v="6.43"/>
    <n v="4.4999999999999998E-2"/>
    <n v="6.7329842931937174"/>
    <x v="10"/>
    <x v="34"/>
    <x v="158"/>
    <n v="5"/>
    <x v="160"/>
    <n v="0.30298429319371767"/>
    <n v="1.286"/>
    <n v="1"/>
    <x v="0"/>
    <x v="215"/>
    <x v="290"/>
    <s v="Fulham vs Newcastle United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</r>
  <r>
    <s v="Nottingham Forest vs AFC Bournemouth / Total 2.5"/>
    <s v="Fulltbet"/>
    <x v="2319"/>
    <n v="6.1"/>
    <n v="0"/>
    <n v="6.1"/>
    <x v="10"/>
    <x v="34"/>
    <x v="227"/>
    <n v="5"/>
    <x v="160"/>
    <n v="0"/>
    <n v="1.22"/>
    <n v="1"/>
    <x v="0"/>
    <x v="199"/>
    <x v="163"/>
    <s v="Nottingham Forest vs AFC Bournemouth"/>
  </r>
  <r>
    <s v="Nottingham Forest vs AFC Bournemouth / Total 4.5"/>
    <s v="Fulltbet"/>
    <x v="2320"/>
    <n v="0.16"/>
    <n v="4.4999999999999998E-2"/>
    <n v="0.16753926701570682"/>
    <x v="10"/>
    <x v="62"/>
    <x v="207"/>
    <n v="2"/>
    <x v="160"/>
    <n v="7.5392670157068131E-3"/>
    <n v="0.08"/>
    <n v="1"/>
    <x v="0"/>
    <x v="199"/>
    <x v="163"/>
    <s v="Nottingham Forest vs AFC Bournemouth"/>
  </r>
  <r>
    <s v="Sporting Cristal vs Asociacion Deportiva Tarma / Total 1.5"/>
    <s v="Fulltbet"/>
    <x v="2321"/>
    <n v="-2"/>
    <n v="4.4999999999999998E-2"/>
    <n v="-2"/>
    <x v="10"/>
    <x v="50"/>
    <x v="151"/>
    <n v="2"/>
    <x v="160"/>
    <n v="0"/>
    <n v="-1"/>
    <n v="0"/>
    <x v="0"/>
    <x v="775"/>
    <x v="826"/>
    <s v="Sporting Cristal vs Asociacion Deportiva Tarma"/>
  </r>
  <r>
    <s v="Sint-Truidense VV vs KV Mechelen / Total 1.5"/>
    <s v="Fulltbet"/>
    <x v="2322"/>
    <n v="9.5500000000000007"/>
    <n v="4.4999999999999998E-2"/>
    <n v="10.000000000000002"/>
    <x v="10"/>
    <x v="32"/>
    <x v="81"/>
    <n v="10"/>
    <x v="160"/>
    <n v="0.45000000000000107"/>
    <n v="0.95500000000000007"/>
    <n v="1"/>
    <x v="0"/>
    <x v="428"/>
    <x v="286"/>
    <s v="Sint-Truidense VV vs KV Mechelen"/>
  </r>
  <r>
    <s v="Kristiansund BK vs Viking FK / Total 1.5"/>
    <s v="Fulltbet"/>
    <x v="2323"/>
    <n v="-5.74"/>
    <n v="4.4999999999999998E-2"/>
    <n v="-5.74"/>
    <x v="10"/>
    <x v="32"/>
    <x v="81"/>
    <n v="10"/>
    <x v="160"/>
    <n v="0"/>
    <n v="-0.57400000000000007"/>
    <n v="0"/>
    <x v="0"/>
    <x v="776"/>
    <x v="827"/>
    <s v="Kristiansund BK vs Viking FK"/>
  </r>
  <r>
    <s v="Crystal Palace vs Arsenal / Correct Score"/>
    <s v="Fulltbet"/>
    <x v="2324"/>
    <n v="5.0199999999999996"/>
    <n v="4.4999999999999998E-2"/>
    <n v="5.2565445026178006"/>
    <x v="10"/>
    <x v="60"/>
    <x v="14"/>
    <n v="49.97"/>
    <x v="160"/>
    <n v="0.23654450261780102"/>
    <n v="0.10046027616569941"/>
    <n v="1"/>
    <x v="0"/>
    <x v="142"/>
    <x v="121"/>
    <s v="Crystal Palace vs Arsenal"/>
  </r>
  <r>
    <s v="Napoli vs Udinese / Total 1.5"/>
    <s v="Fulltbet"/>
    <x v="2325"/>
    <n v="3.06"/>
    <n v="4.4999999999999998E-2"/>
    <n v="3.2041884816753927"/>
    <x v="10"/>
    <x v="35"/>
    <x v="130"/>
    <n v="5"/>
    <x v="160"/>
    <n v="0.14418848167539267"/>
    <n v="0.61199999999999999"/>
    <n v="1"/>
    <x v="0"/>
    <x v="42"/>
    <x v="207"/>
    <s v="Napoli vs Udinese"/>
  </r>
  <r>
    <s v="Sporting Cristal vs Asociacion Deportiva Tarma / Match Odds"/>
    <s v="Fulltbet"/>
    <x v="2326"/>
    <n v="4.92"/>
    <n v="4.4999999999999998E-2"/>
    <n v="5.1518324607329848"/>
    <x v="10"/>
    <x v="41"/>
    <x v="150"/>
    <n v="10.09"/>
    <x v="160"/>
    <n v="0.23183246073298491"/>
    <n v="0.48761149653121905"/>
    <n v="1"/>
    <x v="0"/>
    <x v="775"/>
    <x v="826"/>
    <s v="Sporting Cristal vs Asociacion Deportiva Tarma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</r>
  <r>
    <s v="SD Eibar vs Córdoba CF / Match Odds"/>
    <s v="Fulltbet"/>
    <x v="2328"/>
    <n v="1.43"/>
    <n v="4.4999999999999998E-2"/>
    <n v="1.4973821989528795"/>
    <x v="10"/>
    <x v="48"/>
    <x v="253"/>
    <n v="50"/>
    <x v="160"/>
    <n v="6.7382198952879557E-2"/>
    <n v="2.86E-2"/>
    <n v="1"/>
    <x v="0"/>
    <x v="777"/>
    <x v="482"/>
    <s v="SD Eibar vs Córdoba CF"/>
  </r>
  <r>
    <s v="Deportes Concepción vs Huachipato / Match Odds"/>
    <s v="Fulltbet"/>
    <x v="2329"/>
    <n v="2.3015500000000002"/>
    <n v="4.4999999999999998E-2"/>
    <n v="2.41"/>
    <x v="10"/>
    <x v="38"/>
    <x v="176"/>
    <n v="79.53"/>
    <x v="160"/>
    <n v="0.10844999999999994"/>
    <n v="2.8939393939393942E-2"/>
    <n v="1"/>
    <x v="0"/>
    <x v="778"/>
    <x v="828"/>
    <s v="Deportes Concepción vs Huachipato"/>
  </r>
  <r>
    <s v="Deportes Concepción vs Huachipato / Match Odds"/>
    <s v="Fulltbet"/>
    <x v="2329"/>
    <n v="2.3874999999999997"/>
    <n v="4.4999999999999998E-2"/>
    <n v="2.5"/>
    <x v="10"/>
    <x v="48"/>
    <x v="268"/>
    <n v="50"/>
    <x v="160"/>
    <n v="0.11250000000000027"/>
    <n v="4.7749999999999994E-2"/>
    <n v="1"/>
    <x v="0"/>
    <x v="778"/>
    <x v="828"/>
    <s v="Deportes Concepción vs Huachipato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</r>
  <r>
    <s v="Málaga vs Racing Santander / Match Odds"/>
    <s v="Fulltbet"/>
    <x v="2331"/>
    <n v="3.34"/>
    <n v="4.4999999999999998E-2"/>
    <n v="3.4973821989528795"/>
    <x v="10"/>
    <x v="38"/>
    <x v="4"/>
    <n v="73.5"/>
    <x v="160"/>
    <n v="0.15738219895287964"/>
    <n v="4.5442176870748301E-2"/>
    <n v="1"/>
    <x v="0"/>
    <x v="189"/>
    <x v="225"/>
    <s v="Málaga vs Racing Santander"/>
  </r>
  <r>
    <s v="Huesca vs CD Castellon / Correct Score"/>
    <s v="Fulltbet"/>
    <x v="2332"/>
    <n v="3.98"/>
    <n v="4.4999999999999998E-2"/>
    <n v="4.167539267015707"/>
    <x v="10"/>
    <x v="60"/>
    <x v="5"/>
    <n v="50.04"/>
    <x v="160"/>
    <n v="0.187539267015707"/>
    <n v="7.9536370903277379E-2"/>
    <n v="1"/>
    <x v="0"/>
    <x v="779"/>
    <x v="511"/>
    <s v="Huesca vs CD Castellon"/>
  </r>
  <r>
    <s v="Cruzeiro vs Chapecoense / 1st Half Total 0.5"/>
    <s v="Fulltbet"/>
    <x v="2333"/>
    <n v="1.39"/>
    <n v="4.4999999999999998E-2"/>
    <n v="1.4554973821989527"/>
    <x v="10"/>
    <x v="43"/>
    <x v="119"/>
    <n v="2"/>
    <x v="160"/>
    <n v="6.5497382198952847E-2"/>
    <n v="0.69499999999999995"/>
    <n v="1"/>
    <x v="0"/>
    <x v="482"/>
    <x v="520"/>
    <s v="Cruzeiro vs Chapecoense"/>
  </r>
  <r>
    <s v="Villarreal vs Atlético de Madrid / Total 3.5"/>
    <s v="Fulltbet"/>
    <x v="2334"/>
    <n v="-15"/>
    <n v="4.4999999999999998E-2"/>
    <n v="-15"/>
    <x v="10"/>
    <x v="33"/>
    <x v="172"/>
    <n v="15"/>
    <x v="160"/>
    <n v="0"/>
    <n v="-1"/>
    <n v="0"/>
    <x v="0"/>
    <x v="69"/>
    <x v="205"/>
    <s v="Villarreal vs Atlético de Madrid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</r>
  <r>
    <s v="Cremonese vs Como / Total 1.5"/>
    <s v="Fulltbet"/>
    <x v="2336"/>
    <n v="9.5500000000000007"/>
    <n v="4.4999999999999998E-2"/>
    <n v="10.000000000000002"/>
    <x v="10"/>
    <x v="32"/>
    <x v="1"/>
    <n v="10"/>
    <x v="160"/>
    <n v="0.45000000000000107"/>
    <n v="0.95500000000000007"/>
    <n v="1"/>
    <x v="0"/>
    <x v="780"/>
    <x v="471"/>
    <s v="Cremonese vs Como"/>
  </r>
  <r>
    <s v="Atletico Ottawa vs Forge / Correct Score"/>
    <s v="Fulltbet"/>
    <x v="2337"/>
    <n v="6.12"/>
    <n v="4.4999999999999998E-2"/>
    <n v="6.4083769633507854"/>
    <x v="10"/>
    <x v="60"/>
    <x v="42"/>
    <n v="50"/>
    <x v="160"/>
    <n v="0.28837696335078533"/>
    <n v="0.12240000000000001"/>
    <n v="1"/>
    <x v="0"/>
    <x v="781"/>
    <x v="829"/>
    <s v="Atletico Ottawa vs Forge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</r>
  <r>
    <s v="Sport Huancayo vs Cienciano del Cuzco / Correct Score"/>
    <s v="Fulltbet"/>
    <x v="2339"/>
    <n v="5.97"/>
    <n v="4.4999999999999998E-2"/>
    <n v="6.2513089005235605"/>
    <x v="10"/>
    <x v="61"/>
    <x v="22"/>
    <n v="50"/>
    <x v="160"/>
    <n v="0.28130890052356072"/>
    <n v="0.11939999999999999"/>
    <n v="1"/>
    <x v="0"/>
    <x v="782"/>
    <x v="830"/>
    <s v="Sport Huancayo vs Cienciano del Cuzco"/>
  </r>
  <r>
    <s v="Sport Huancayo vs Cienciano del Cuzco / Match Odds"/>
    <s v="Fulltbet"/>
    <x v="2340"/>
    <n v="-50"/>
    <n v="4.4999999999999998E-2"/>
    <n v="-50"/>
    <x v="10"/>
    <x v="48"/>
    <x v="253"/>
    <n v="50"/>
    <x v="160"/>
    <n v="0"/>
    <n v="-1"/>
    <n v="0"/>
    <x v="0"/>
    <x v="782"/>
    <x v="830"/>
    <s v="Sport Huancayo vs Cienciano del Cuzco"/>
  </r>
  <r>
    <s v="Cruzeiro vs Chapecoense / Total 1.5"/>
    <s v="Fulltbet"/>
    <x v="2341"/>
    <n v="-5.1100000000000003"/>
    <n v="4.4999999999999998E-2"/>
    <n v="-5.1100000000000003"/>
    <x v="10"/>
    <x v="32"/>
    <x v="121"/>
    <n v="10"/>
    <x v="160"/>
    <n v="0"/>
    <n v="-0.51100000000000001"/>
    <n v="0"/>
    <x v="0"/>
    <x v="482"/>
    <x v="520"/>
    <s v="Cruzeiro vs Chapecoense"/>
  </r>
  <r>
    <s v="Atlético Goianiense vs São Bernardo FC / Correct Score"/>
    <s v="Fulltbet"/>
    <x v="2342"/>
    <n v="-49.98"/>
    <n v="4.4999999999999998E-2"/>
    <n v="-49.98"/>
    <x v="10"/>
    <x v="61"/>
    <x v="0"/>
    <n v="49.98"/>
    <x v="160"/>
    <n v="0"/>
    <n v="-1"/>
    <n v="0"/>
    <x v="0"/>
    <x v="783"/>
    <x v="831"/>
    <s v="Atlético Goianiense vs São Bernardo FC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</r>
  <r>
    <s v="Torino vs Juventus / Total 1.5"/>
    <s v="Fulltbet"/>
    <x v="2344"/>
    <n v="-6.52"/>
    <n v="4.4999999999999998E-2"/>
    <n v="-6.52"/>
    <x v="10"/>
    <x v="32"/>
    <x v="41"/>
    <n v="10"/>
    <x v="160"/>
    <n v="0"/>
    <n v="-0.65199999999999991"/>
    <n v="0"/>
    <x v="0"/>
    <x v="544"/>
    <x v="239"/>
    <s v="Torino vs Juventus"/>
  </r>
  <r>
    <s v="Cavalry vs Pacific / Match Odds"/>
    <s v="Fulltbet"/>
    <x v="2345"/>
    <n v="4.78"/>
    <n v="4.4999999999999998E-2"/>
    <n v="5.005235602094241"/>
    <x v="10"/>
    <x v="36"/>
    <x v="31"/>
    <n v="50"/>
    <x v="160"/>
    <n v="0.22523560209424076"/>
    <n v="9.5600000000000004E-2"/>
    <n v="1"/>
    <x v="0"/>
    <x v="784"/>
    <x v="832"/>
    <s v="Cavalry vs Pacific"/>
  </r>
  <r>
    <s v="Columbus Crew vs Atlanta United FC / Match Odds"/>
    <s v="Fulltbet"/>
    <x v="2346"/>
    <n v="1.43"/>
    <n v="4.4999999999999998E-2"/>
    <n v="1.4973821989528795"/>
    <x v="10"/>
    <x v="48"/>
    <x v="253"/>
    <n v="50"/>
    <x v="160"/>
    <n v="6.7382198952879557E-2"/>
    <n v="2.86E-2"/>
    <n v="1"/>
    <x v="0"/>
    <x v="584"/>
    <x v="769"/>
    <s v="Columbus Crew vs Atlanta United FC"/>
  </r>
  <r>
    <s v="Inter Miami CF vs Philadelphia Union / Both Teams To Score"/>
    <s v="Fulltbet"/>
    <x v="2347"/>
    <n v="1.01"/>
    <n v="4.4999999999999998E-2"/>
    <n v="1.0575916230366493"/>
    <x v="10"/>
    <x v="59"/>
    <x v="86"/>
    <n v="2"/>
    <x v="160"/>
    <n v="4.7591623036649322E-2"/>
    <n v="0.505"/>
    <n v="1"/>
    <x v="0"/>
    <x v="725"/>
    <x v="680"/>
    <s v="Inter Miami CF vs Philadelphia Union"/>
  </r>
  <r>
    <s v="Corinthians vs Atlético Mineiro / Total 0.5"/>
    <s v="Fulltbet"/>
    <x v="2348"/>
    <n v="0.23"/>
    <n v="4.4999999999999998E-2"/>
    <n v="0.24083769633507857"/>
    <x v="10"/>
    <x v="49"/>
    <x v="285"/>
    <n v="2"/>
    <x v="160"/>
    <n v="1.0837696335078556E-2"/>
    <n v="0.115"/>
    <n v="1"/>
    <x v="0"/>
    <x v="88"/>
    <x v="833"/>
    <s v="Corinthians vs Atlético Mineiro"/>
  </r>
  <r>
    <s v="Club Deportivo San Luis vs Magallanes / Both Teams To Score"/>
    <s v="Fulltbet"/>
    <x v="2349"/>
    <n v="1.32"/>
    <n v="4.4999999999999998E-2"/>
    <n v="1.3821989528795813"/>
    <x v="10"/>
    <x v="59"/>
    <x v="77"/>
    <n v="2"/>
    <x v="160"/>
    <n v="6.2198952879581215E-2"/>
    <n v="0.66"/>
    <n v="1"/>
    <x v="0"/>
    <x v="785"/>
    <x v="834"/>
    <s v="Club Deportivo San Luis vs Magallanes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</r>
  <r>
    <s v="Kolding IF vs Hillerød Fodbold / Total 1.5"/>
    <s v="Fulltbet"/>
    <x v="2351"/>
    <n v="-6.36"/>
    <n v="4.4999999999999998E-2"/>
    <n v="-6.36"/>
    <x v="10"/>
    <x v="32"/>
    <x v="28"/>
    <n v="10"/>
    <x v="161"/>
    <n v="0"/>
    <n v="-0.63600000000000001"/>
    <n v="0"/>
    <x v="0"/>
    <x v="786"/>
    <x v="836"/>
    <s v="Kolding IF vs Hillerød Fodbold"/>
  </r>
  <r>
    <s v="Start vs Vålerenga / Match Odds"/>
    <s v="Fulltbet"/>
    <x v="2352"/>
    <n v="3.34"/>
    <n v="4.4999999999999998E-2"/>
    <n v="3.4973821989528795"/>
    <x v="10"/>
    <x v="48"/>
    <x v="267"/>
    <n v="50"/>
    <x v="161"/>
    <n v="0.15738219895287964"/>
    <n v="6.6799999999999998E-2"/>
    <n v="1"/>
    <x v="0"/>
    <x v="589"/>
    <x v="650"/>
    <s v="Start vs Vålerenga"/>
  </r>
  <r>
    <s v="Hvidovre IF vs Esbjerg fB / Total 1.5"/>
    <s v="Fulltbet"/>
    <x v="2353"/>
    <n v="-7.86"/>
    <n v="4.4999999999999998E-2"/>
    <n v="-7.86"/>
    <x v="10"/>
    <x v="32"/>
    <x v="13"/>
    <n v="10"/>
    <x v="161"/>
    <n v="0"/>
    <n v="-0.78600000000000003"/>
    <n v="0"/>
    <x v="0"/>
    <x v="787"/>
    <x v="837"/>
    <s v="Hvidovre IF vs Esbjerg fB"/>
  </r>
  <r>
    <s v="Tromsø vs Aalesunds FK / Total 1.5"/>
    <s v="Fulltbet"/>
    <x v="2354"/>
    <n v="-13.67"/>
    <n v="4.4999999999999998E-2"/>
    <n v="-13.67"/>
    <x v="10"/>
    <x v="32"/>
    <x v="38"/>
    <n v="15"/>
    <x v="161"/>
    <n v="0"/>
    <n v="-0.91133333333333333"/>
    <n v="0"/>
    <x v="0"/>
    <x v="565"/>
    <x v="838"/>
    <s v="Tromsø vs Aalesunds FK"/>
  </r>
  <r>
    <s v="Hamarkameratene vs Lillestrøm SK / Total 1.5"/>
    <s v="Fulltbet"/>
    <x v="2355"/>
    <n v="-13.09"/>
    <n v="4.4999999999999998E-2"/>
    <n v="-13.09"/>
    <x v="10"/>
    <x v="32"/>
    <x v="42"/>
    <n v="15"/>
    <x v="161"/>
    <n v="0"/>
    <n v="-0.8726666666666667"/>
    <n v="0"/>
    <x v="0"/>
    <x v="607"/>
    <x v="839"/>
    <s v="Hamarkameratene vs Lillestrøm SK"/>
  </r>
  <r>
    <s v="Tromsø vs Aalesunds FK / Match Odds"/>
    <s v="Fulltbet"/>
    <x v="2356"/>
    <n v="67.89"/>
    <n v="4.4999999999999998E-2"/>
    <n v="71.089005235602102"/>
    <x v="3"/>
    <x v="7"/>
    <x v="81"/>
    <n v="454.98"/>
    <x v="161"/>
    <n v="3.199005235602101"/>
    <n v="0.14921535012528023"/>
    <n v="1"/>
    <x v="34"/>
    <x v="565"/>
    <x v="838"/>
    <s v="Tromsø vs Aalesunds FK"/>
  </r>
  <r>
    <s v="KFUM Oslo vs Rosenborg BK / Match Odds"/>
    <s v="Fulltbet"/>
    <x v="2357"/>
    <n v="2.39"/>
    <n v="4.4999999999999998E-2"/>
    <n v="2.5026178010471205"/>
    <x v="10"/>
    <x v="48"/>
    <x v="268"/>
    <n v="50"/>
    <x v="161"/>
    <n v="0.11261780104712038"/>
    <n v="4.7800000000000002E-2"/>
    <n v="1"/>
    <x v="0"/>
    <x v="788"/>
    <x v="610"/>
    <s v="KFUM Oslo vs Rosenborg BK"/>
  </r>
  <r>
    <s v="Strømsgodset vs Bryne / Match Odds"/>
    <s v="Fulltbet"/>
    <x v="2358"/>
    <n v="74.92"/>
    <n v="4.4999999999999998E-2"/>
    <n v="78.450261780104711"/>
    <x v="3"/>
    <x v="7"/>
    <x v="121"/>
    <n v="455.01"/>
    <x v="161"/>
    <n v="3.5302617801047091"/>
    <n v="0.16465572185226698"/>
    <n v="1"/>
    <x v="43"/>
    <x v="789"/>
    <x v="840"/>
    <s v="Strømsgodset vs Bryne"/>
  </r>
  <r>
    <s v="Lyngby BK vs AC Horsens / Total 1.5"/>
    <s v="Fulltbet"/>
    <x v="2359"/>
    <n v="-6.33"/>
    <n v="4.4999999999999998E-2"/>
    <n v="-6.33"/>
    <x v="10"/>
    <x v="32"/>
    <x v="25"/>
    <n v="15"/>
    <x v="161"/>
    <n v="0"/>
    <n v="-0.42199999999999999"/>
    <n v="0"/>
    <x v="0"/>
    <x v="790"/>
    <x v="841"/>
    <s v="Lyngby BK vs AC Horsens"/>
  </r>
  <r>
    <s v="IFK Norrköping vs Östers IF / Both Teams To Score"/>
    <s v="Fulltbet"/>
    <x v="2360"/>
    <n v="-5"/>
    <n v="4.4999999999999998E-2"/>
    <n v="-5"/>
    <x v="10"/>
    <x v="59"/>
    <x v="97"/>
    <n v="5"/>
    <x v="161"/>
    <n v="0"/>
    <n v="-1"/>
    <n v="0"/>
    <x v="0"/>
    <x v="556"/>
    <x v="842"/>
    <s v="IFK Norrköping vs Östers IF"/>
  </r>
  <r>
    <s v="Sandefjord Fotball vs Fredrikstad / Correct Score"/>
    <s v="Fulltbet"/>
    <x v="2361"/>
    <n v="3.53"/>
    <n v="4.4999999999999998E-2"/>
    <n v="3.6963350785340312"/>
    <x v="10"/>
    <x v="31"/>
    <x v="35"/>
    <n v="99.9"/>
    <x v="161"/>
    <n v="0.1663350785340314"/>
    <n v="3.5335335335335331E-2"/>
    <n v="1"/>
    <x v="0"/>
    <x v="791"/>
    <x v="843"/>
    <s v="Sandefjord Fotball vs Fredrikstad"/>
  </r>
  <r>
    <s v="Rapid Bucuresti vs CS Universitatea Craiova / Total 0.5"/>
    <s v="Fulltbet"/>
    <x v="2362"/>
    <n v="-2"/>
    <n v="4.4999999999999998E-2"/>
    <n v="-2"/>
    <x v="10"/>
    <x v="40"/>
    <x v="286"/>
    <n v="2"/>
    <x v="161"/>
    <n v="0"/>
    <n v="-1"/>
    <n v="0"/>
    <x v="0"/>
    <x v="268"/>
    <x v="175"/>
    <s v="Rapid Bucuresti vs CS Universitatea Craiova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</r>
  <r>
    <s v="St Mirren vs Partick Thistle / Match Odds"/>
    <s v="Fulltbet"/>
    <x v="2365"/>
    <n v="2.57"/>
    <n v="4.4999999999999998E-2"/>
    <n v="2.6910994764397906"/>
    <x v="10"/>
    <x v="38"/>
    <x v="287"/>
    <n v="110.52"/>
    <x v="161"/>
    <n v="0.1210994764397908"/>
    <n v="2.3253709735794426E-2"/>
    <n v="1"/>
    <x v="0"/>
    <x v="346"/>
    <x v="845"/>
    <s v="St Mirren vs Partick Thistle"/>
  </r>
  <r>
    <s v="Comerciantes Unidos vs Deportivo Garcilaso / Correct Score"/>
    <s v="Fulltbet"/>
    <x v="2366"/>
    <n v="6.28"/>
    <n v="4.4999999999999998E-2"/>
    <n v="6.5759162303664924"/>
    <x v="10"/>
    <x v="61"/>
    <x v="38"/>
    <n v="50.01"/>
    <x v="161"/>
    <n v="0.29591623036649217"/>
    <n v="0.12557488502299541"/>
    <n v="1"/>
    <x v="0"/>
    <x v="793"/>
    <x v="846"/>
    <s v="Comerciantes Unidos vs Deportivo Garcilaso"/>
  </r>
  <r>
    <s v="Ituano FC vs Botafogo PB / Correct Score"/>
    <s v="Fulltbet"/>
    <x v="2367"/>
    <n v="5.42"/>
    <n v="4.4999999999999998E-2"/>
    <n v="5.6753926701570681"/>
    <x v="10"/>
    <x v="61"/>
    <x v="89"/>
    <n v="49.98"/>
    <x v="161"/>
    <n v="0.25539267015706812"/>
    <n v="0.10844337735094038"/>
    <n v="1"/>
    <x v="0"/>
    <x v="794"/>
    <x v="847"/>
    <s v="Ituano FC vs Botafogo PB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</r>
  <r>
    <s v="Liaoning Tieren F.C. vs Shanghai Port / Total 4.5"/>
    <s v="Fulltbet"/>
    <x v="2375"/>
    <n v="0.51"/>
    <n v="4.4999999999999998E-2"/>
    <n v="0.53403141361256545"/>
    <x v="10"/>
    <x v="62"/>
    <x v="205"/>
    <n v="5"/>
    <x v="164"/>
    <n v="2.4031413612565444E-2"/>
    <n v="0.10200000000000001"/>
    <n v="1"/>
    <x v="0"/>
    <x v="508"/>
    <x v="693"/>
    <s v="Liaoning Tieren F.C. vs Shanghai Port"/>
  </r>
  <r>
    <s v="Fredrikstad vs Start / Total 1.5"/>
    <s v="Fulltbet"/>
    <x v="2376"/>
    <n v="-12.14"/>
    <n v="4.4999999999999998E-2"/>
    <n v="-12.14"/>
    <x v="10"/>
    <x v="32"/>
    <x v="41"/>
    <n v="15"/>
    <x v="164"/>
    <n v="0"/>
    <n v="-0.80933333333333335"/>
    <n v="0"/>
    <x v="0"/>
    <x v="705"/>
    <x v="754"/>
    <s v="Fredrikstad vs Start"/>
  </r>
  <r>
    <s v="Rosenborg BK vs Bodø/Glimt / Total 3.5"/>
    <s v="Fulltbet"/>
    <x v="2377"/>
    <n v="-15"/>
    <n v="4.4999999999999998E-2"/>
    <n v="-15"/>
    <x v="10"/>
    <x v="33"/>
    <x v="180"/>
    <n v="15"/>
    <x v="164"/>
    <n v="0"/>
    <n v="-1"/>
    <n v="0"/>
    <x v="0"/>
    <x v="797"/>
    <x v="122"/>
    <s v="Rosenborg BK vs Bod"/>
  </r>
  <r>
    <s v="Monza vs Catanzaro / Total 1.5"/>
    <s v="Fulltbet"/>
    <x v="2378"/>
    <n v="-4.0199999999999996"/>
    <n v="4.4999999999999998E-2"/>
    <n v="-4.0199999999999996"/>
    <x v="10"/>
    <x v="32"/>
    <x v="126"/>
    <n v="15"/>
    <x v="164"/>
    <n v="0"/>
    <n v="-0.26799999999999996"/>
    <n v="0"/>
    <x v="0"/>
    <x v="95"/>
    <x v="97"/>
    <s v="Monza vs Catanzaro"/>
  </r>
  <r>
    <s v="Shelbourne FC vs Galway United / Both Teams To Score"/>
    <s v="Fulltbet"/>
    <x v="2379"/>
    <n v="4.1500000000000004"/>
    <n v="4.4999999999999998E-2"/>
    <n v="4.345549738219896"/>
    <x v="10"/>
    <x v="59"/>
    <x v="112"/>
    <n v="5"/>
    <x v="164"/>
    <n v="0.19554973821989563"/>
    <n v="0.83000000000000007"/>
    <n v="1"/>
    <x v="0"/>
    <x v="522"/>
    <x v="634"/>
    <s v="Shelbourne FC vs Galway United"/>
  </r>
  <r>
    <s v="Shelbourne FC vs Galway United / Correct Score"/>
    <s v="Fulltbet"/>
    <x v="2380"/>
    <n v="6.16"/>
    <n v="4.4999999999999998E-2"/>
    <n v="6.4502617801047126"/>
    <x v="10"/>
    <x v="31"/>
    <x v="6"/>
    <n v="99.98"/>
    <x v="164"/>
    <n v="0.29026178010471249"/>
    <n v="6.16123224644929E-2"/>
    <n v="1"/>
    <x v="0"/>
    <x v="522"/>
    <x v="634"/>
    <s v="Shelbourne FC vs Galway United"/>
  </r>
  <r>
    <s v="San Antonio vs Guabira / Correct Score"/>
    <s v="Fulltbet"/>
    <x v="2381"/>
    <n v="5.97"/>
    <n v="4.4999999999999998E-2"/>
    <n v="6.2513089005235605"/>
    <x v="10"/>
    <x v="31"/>
    <x v="30"/>
    <n v="100"/>
    <x v="164"/>
    <n v="0.28130890052356072"/>
    <n v="5.9699999999999996E-2"/>
    <n v="1"/>
    <x v="0"/>
    <x v="101"/>
    <x v="852"/>
    <s v="San Antonio vs Guabira"/>
  </r>
  <r>
    <s v="San Antonio vs Guabira / Match Odds"/>
    <s v="Fulltbet"/>
    <x v="2382"/>
    <n v="-2"/>
    <n v="4.4999999999999998E-2"/>
    <n v="-2"/>
    <x v="10"/>
    <x v="39"/>
    <x v="286"/>
    <n v="2"/>
    <x v="164"/>
    <n v="0"/>
    <n v="-1"/>
    <n v="0"/>
    <x v="0"/>
    <x v="101"/>
    <x v="852"/>
    <s v="San Antonio vs Guabira"/>
  </r>
  <r>
    <s v="Qingdao West Coast vs Shanghai Shenhua / Both Teams To Score"/>
    <s v="Fulltbet"/>
    <x v="2383"/>
    <n v="3.72"/>
    <n v="4.4999999999999998E-2"/>
    <n v="3.8952879581151838"/>
    <x v="10"/>
    <x v="59"/>
    <x v="69"/>
    <n v="5"/>
    <x v="165"/>
    <n v="0.17528795811518361"/>
    <n v="0.74399999999999999"/>
    <n v="1"/>
    <x v="0"/>
    <x v="645"/>
    <x v="637"/>
    <s v="Qingdao West Coast vs Shanghai Shenhua"/>
  </r>
  <r>
    <s v="Qingdao West Coast vs Shanghai Shenhua / Correct Score"/>
    <s v="Fulltbet"/>
    <x v="2384"/>
    <n v="3.68"/>
    <n v="4.4999999999999998E-2"/>
    <n v="3.8534031413612571"/>
    <x v="10"/>
    <x v="31"/>
    <x v="40"/>
    <n v="100.1"/>
    <x v="165"/>
    <n v="0.1734031413612569"/>
    <n v="3.676323676323677E-2"/>
    <n v="1"/>
    <x v="0"/>
    <x v="645"/>
    <x v="637"/>
    <s v="Qingdao West Coast vs Shanghai Shenhua"/>
  </r>
  <r>
    <s v="Henan Songshan Longmen vs Zhejiang Professional / Total 1.5"/>
    <s v="Fulltbet"/>
    <x v="2385"/>
    <n v="-10"/>
    <n v="4.4999999999999998E-2"/>
    <n v="-10"/>
    <x v="10"/>
    <x v="32"/>
    <x v="13"/>
    <n v="15"/>
    <x v="165"/>
    <n v="0"/>
    <n v="-0.66666666666666663"/>
    <n v="0"/>
    <x v="0"/>
    <x v="798"/>
    <x v="578"/>
    <s v="Henan Songshan Longmen vs Zhejiang Professional"/>
  </r>
  <r>
    <s v="Henan Songshan Longmen vs Zhejiang Professional / Total 4.5"/>
    <s v="Fulltbet"/>
    <x v="2386"/>
    <n v="0.46"/>
    <n v="4.4999999999999998E-2"/>
    <n v="0.48167539267015713"/>
    <x v="10"/>
    <x v="62"/>
    <x v="218"/>
    <n v="5"/>
    <x v="165"/>
    <n v="2.1675392670157112E-2"/>
    <n v="9.1999999999999998E-2"/>
    <n v="1"/>
    <x v="0"/>
    <x v="798"/>
    <x v="578"/>
    <s v="Henan Songshan Longmen vs Zhejiang Professional"/>
  </r>
  <r>
    <s v="Chengdu Rongcheng vs Shandong Taishan / Total 1.5"/>
    <s v="Fulltbet"/>
    <x v="2387"/>
    <n v="-16.32"/>
    <n v="4.4999999999999998E-2"/>
    <n v="-16.32"/>
    <x v="10"/>
    <x v="32"/>
    <x v="3"/>
    <n v="15"/>
    <x v="165"/>
    <n v="0"/>
    <n v="-1.0880000000000001"/>
    <n v="0"/>
    <x v="0"/>
    <x v="529"/>
    <x v="853"/>
    <s v="Chengdu Rongcheng vs Shandong Taishan"/>
  </r>
  <r>
    <s v="Chengdu Rongcheng vs Shandong Taishan / Total 4.5"/>
    <s v="Fulltbet"/>
    <x v="2388"/>
    <n v="0.45"/>
    <n v="4.4999999999999998E-2"/>
    <n v="0.47120418848167545"/>
    <x v="10"/>
    <x v="62"/>
    <x v="205"/>
    <n v="5"/>
    <x v="165"/>
    <n v="2.1204188481675434E-2"/>
    <n v="0.09"/>
    <n v="1"/>
    <x v="0"/>
    <x v="529"/>
    <x v="853"/>
    <s v="Chengdu Rongcheng vs Shandong Taishan"/>
  </r>
  <r>
    <s v="AIK vs IK Sirius / Total 1.5"/>
    <s v="Fulltbet"/>
    <x v="2389"/>
    <n v="14.33"/>
    <n v="4.4999999999999998E-2"/>
    <n v="15.005235602094242"/>
    <x v="10"/>
    <x v="32"/>
    <x v="3"/>
    <n v="15"/>
    <x v="165"/>
    <n v="0.67523560209424183"/>
    <n v="0.95533333333333337"/>
    <n v="1"/>
    <x v="0"/>
    <x v="799"/>
    <x v="568"/>
    <s v="AIK vs IK Sirius"/>
  </r>
  <r>
    <s v="GIF Sundsvall vs Sandvikens IF / Both Teams To Score"/>
    <s v="Fulltbet"/>
    <x v="2390"/>
    <n v="-5"/>
    <n v="4.4999999999999998E-2"/>
    <n v="-5"/>
    <x v="10"/>
    <x v="59"/>
    <x v="53"/>
    <n v="5"/>
    <x v="165"/>
    <n v="0"/>
    <n v="-1"/>
    <n v="0"/>
    <x v="0"/>
    <x v="800"/>
    <x v="854"/>
    <s v="GIF Sundsvall vs Sandvikens IF"/>
  </r>
  <r>
    <s v="GAIS vs Kalmar FF / Match Odds"/>
    <s v="Fulltbet"/>
    <x v="2391"/>
    <n v="5.17"/>
    <n v="4.4999999999999998E-2"/>
    <n v="5.4136125654450264"/>
    <x v="10"/>
    <x v="38"/>
    <x v="288"/>
    <n v="100.75"/>
    <x v="165"/>
    <n v="0.24361256544502652"/>
    <n v="5.1315136476426798E-2"/>
    <n v="1"/>
    <x v="0"/>
    <x v="746"/>
    <x v="773"/>
    <s v="GAIS vs Kalmar FF"/>
  </r>
  <r>
    <s v="AIK vs IK Sirius / Total 4.5"/>
    <s v="Fulltbet"/>
    <x v="2392"/>
    <n v="0.39"/>
    <n v="4.4999999999999998E-2"/>
    <n v="0.40837696335078538"/>
    <x v="10"/>
    <x v="62"/>
    <x v="212"/>
    <n v="5"/>
    <x v="165"/>
    <n v="1.8376963350785369E-2"/>
    <n v="7.8E-2"/>
    <n v="1"/>
    <x v="0"/>
    <x v="799"/>
    <x v="568"/>
    <s v="AIK vs IK Sirius"/>
  </r>
  <r>
    <s v="IF Gnistan vs SJK / Total 4.5"/>
    <s v="Fulltbet"/>
    <x v="2393"/>
    <n v="-5"/>
    <n v="4.4999999999999998E-2"/>
    <n v="-5"/>
    <x v="10"/>
    <x v="62"/>
    <x v="59"/>
    <n v="5"/>
    <x v="165"/>
    <n v="0"/>
    <n v="-1"/>
    <n v="0"/>
    <x v="0"/>
    <x v="801"/>
    <x v="646"/>
    <s v="IF Gnistan vs SJK"/>
  </r>
  <r>
    <s v="Molde vs Sandefjord Fotball / Match Odds"/>
    <s v="Fulltbet"/>
    <x v="2394"/>
    <n v="1.91"/>
    <n v="4.4999999999999998E-2"/>
    <n v="2"/>
    <x v="10"/>
    <x v="48"/>
    <x v="233"/>
    <n v="50"/>
    <x v="165"/>
    <n v="9.000000000000008E-2"/>
    <n v="3.8199999999999998E-2"/>
    <n v="1"/>
    <x v="0"/>
    <x v="708"/>
    <x v="751"/>
    <s v="Molde vs Sandefjord Fotball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</r>
  <r>
    <s v="AD Ceuta FC vs Albacete Balompié / Match Odds"/>
    <s v="Fulltbet"/>
    <x v="2396"/>
    <n v="6.82"/>
    <n v="4.4999999999999998E-2"/>
    <n v="7.1413612565445028"/>
    <x v="10"/>
    <x v="38"/>
    <x v="289"/>
    <n v="97.92"/>
    <x v="165"/>
    <n v="0.32136125654450254"/>
    <n v="6.9648692810457519E-2"/>
    <n v="1"/>
    <x v="0"/>
    <x v="471"/>
    <x v="208"/>
    <s v="AD Ceuta FC vs Albacete Balompié"/>
  </r>
  <r>
    <s v="AD Ceuta FC vs Albacete Balompié / Total 1.5"/>
    <s v="Fulltbet"/>
    <x v="2397"/>
    <n v="-14.31"/>
    <n v="4.4999999999999998E-2"/>
    <n v="-14.31"/>
    <x v="10"/>
    <x v="32"/>
    <x v="38"/>
    <n v="15"/>
    <x v="165"/>
    <n v="0"/>
    <n v="-0.95400000000000007"/>
    <n v="0"/>
    <x v="0"/>
    <x v="471"/>
    <x v="208"/>
    <s v="AD Ceuta FC vs Albacete Balompié"/>
  </r>
  <r>
    <s v="MB Rouissat vs USM Alger / Total 0.5"/>
    <s v="Fulltbet"/>
    <x v="2398"/>
    <n v="5.25"/>
    <n v="4.4999999999999998E-2"/>
    <n v="5.4973821989528799"/>
    <x v="10"/>
    <x v="47"/>
    <x v="199"/>
    <n v="10"/>
    <x v="165"/>
    <n v="0.24738219895287994"/>
    <n v="0.52500000000000002"/>
    <n v="1"/>
    <x v="0"/>
    <x v="802"/>
    <x v="855"/>
    <s v="MB Rouissat vs USM Alger"/>
  </r>
  <r>
    <s v="Santiago Wanderers vs Unión Española / Both Teams To Score"/>
    <s v="Fulltbet"/>
    <x v="2399"/>
    <n v="2.98"/>
    <n v="4.4999999999999998E-2"/>
    <n v="3.1204188481675392"/>
    <x v="10"/>
    <x v="59"/>
    <x v="104"/>
    <n v="5"/>
    <x v="165"/>
    <n v="0.14041884816753925"/>
    <n v="0.59599999999999997"/>
    <n v="1"/>
    <x v="0"/>
    <x v="803"/>
    <x v="856"/>
    <s v="Santiago Wanderers vs Unión Española"/>
  </r>
  <r>
    <s v="Granada CF vs Real Sporting de Gijon / Total 1.5"/>
    <s v="Fulltbet"/>
    <x v="2400"/>
    <n v="14.33"/>
    <n v="4.4999999999999998E-2"/>
    <n v="15.005235602094242"/>
    <x v="10"/>
    <x v="32"/>
    <x v="121"/>
    <n v="15"/>
    <x v="165"/>
    <n v="0.67523560209424183"/>
    <n v="0.95533333333333337"/>
    <n v="1"/>
    <x v="0"/>
    <x v="195"/>
    <x v="672"/>
    <s v="Granada CF vs Real Sporting de Gijon"/>
  </r>
  <r>
    <s v="Academia de Balompie Boliviano vs Always Ready / Both Teams To Score"/>
    <s v="Fulltbet"/>
    <x v="2401"/>
    <n v="2.39"/>
    <n v="4.4999999999999998E-2"/>
    <n v="2.5026178010471205"/>
    <x v="10"/>
    <x v="59"/>
    <x v="222"/>
    <n v="5"/>
    <x v="165"/>
    <n v="0.11261780104712038"/>
    <n v="0.47800000000000004"/>
    <n v="1"/>
    <x v="0"/>
    <x v="536"/>
    <x v="857"/>
    <s v="Academia de Balompie Boliviano vs Always Ready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</r>
  <r>
    <s v="Flamengo vs Coritiba / Match Odds"/>
    <s v="Fulltbet"/>
    <x v="2402"/>
    <n v="4.3452500000000001"/>
    <n v="4.4999999999999998E-2"/>
    <n v="4.55"/>
    <x v="10"/>
    <x v="36"/>
    <x v="2"/>
    <n v="50.05"/>
    <x v="165"/>
    <n v="0.20474999999999977"/>
    <n v="8.6818181818181822E-2"/>
    <n v="1"/>
    <x v="0"/>
    <x v="486"/>
    <x v="593"/>
    <s v="Flamengo vs Coritiba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</r>
  <r>
    <s v="Athlético Paranaense vs Mirassol FC / Match Odds"/>
    <s v="Fulltbet"/>
    <x v="2404"/>
    <n v="2.37"/>
    <n v="4.4999999999999998E-2"/>
    <n v="2.4816753926701574"/>
    <x v="10"/>
    <x v="39"/>
    <x v="167"/>
    <n v="2"/>
    <x v="165"/>
    <n v="0.11167539267015725"/>
    <n v="1.1850000000000001"/>
    <n v="1"/>
    <x v="0"/>
    <x v="494"/>
    <x v="525"/>
    <s v="Athlético Paranaense vs Mirassol FC"/>
  </r>
  <r>
    <s v="La Serena vs Colo-Colo / Correct Score"/>
    <s v="Fulltbet"/>
    <x v="2405"/>
    <n v="6.12"/>
    <n v="4.4999999999999998E-2"/>
    <n v="6.4083769633507854"/>
    <x v="10"/>
    <x v="60"/>
    <x v="38"/>
    <n v="48.72"/>
    <x v="165"/>
    <n v="0.28837696335078533"/>
    <n v="0.12561576354679804"/>
    <n v="1"/>
    <x v="0"/>
    <x v="804"/>
    <x v="858"/>
    <s v="La Serena vs Colo-Colo"/>
  </r>
  <r>
    <s v="Deportivo Garcilaso vs Juan Pablo II College / Both Teams To Score"/>
    <s v="Fulltbet"/>
    <x v="2406"/>
    <n v="4.68"/>
    <n v="4.4999999999999998E-2"/>
    <n v="4.9005235602094244"/>
    <x v="10"/>
    <x v="59"/>
    <x v="115"/>
    <n v="5"/>
    <x v="165"/>
    <n v="0.22052356020942465"/>
    <n v="0.93599999999999994"/>
    <n v="1"/>
    <x v="0"/>
    <x v="805"/>
    <x v="488"/>
    <s v="Deportivo Garcilaso vs Juan Pablo II College"/>
  </r>
  <r>
    <s v="Esporte Clube Bahia vs Botafogo FR / Total 1.5"/>
    <s v="Fulltbet"/>
    <x v="2407"/>
    <n v="-14.46"/>
    <n v="4.4999999999999998E-2"/>
    <n v="-14.46"/>
    <x v="10"/>
    <x v="32"/>
    <x v="31"/>
    <n v="15"/>
    <x v="165"/>
    <n v="0"/>
    <n v="-0.96400000000000008"/>
    <n v="0"/>
    <x v="0"/>
    <x v="366"/>
    <x v="397"/>
    <s v="Esporte Clube Bahia vs Botafogo FR"/>
  </r>
  <r>
    <s v="Esporte Clube Bahia vs Botafogo FR / Total 1.5"/>
    <s v="Fulltbet"/>
    <x v="2407"/>
    <n v="-2"/>
    <n v="4.4999999999999998E-2"/>
    <n v="-2"/>
    <x v="10"/>
    <x v="50"/>
    <x v="1"/>
    <n v="2"/>
    <x v="165"/>
    <n v="0"/>
    <n v="-1"/>
    <n v="0"/>
    <x v="0"/>
    <x v="366"/>
    <x v="397"/>
    <s v="Esporte Clube Bahia vs Botafogo FR"/>
  </r>
  <r>
    <s v="Esporte Clube Bahia vs Botafogo FR / Both Teams To Score"/>
    <s v="Fulltbet"/>
    <x v="2407"/>
    <n v="3.06"/>
    <n v="4.4999999999999998E-2"/>
    <n v="3.2041884816753927"/>
    <x v="10"/>
    <x v="59"/>
    <x v="130"/>
    <n v="5"/>
    <x v="165"/>
    <n v="0.14418848167539267"/>
    <n v="0.61199999999999999"/>
    <n v="1"/>
    <x v="0"/>
    <x v="366"/>
    <x v="397"/>
    <s v="Esporte Clube Bahia vs Botafogo FR"/>
  </r>
  <r>
    <s v="Deportivo Garcilaso vs Juan Pablo II College / Match Odds"/>
    <s v="Fulltbet"/>
    <x v="2408"/>
    <n v="5.42"/>
    <n v="4.4999999999999998E-2"/>
    <n v="5.6753926701570681"/>
    <x v="10"/>
    <x v="36"/>
    <x v="3"/>
    <n v="48.85"/>
    <x v="165"/>
    <n v="0.25539267015706812"/>
    <n v="0.11095189355168884"/>
    <n v="1"/>
    <x v="0"/>
    <x v="805"/>
    <x v="488"/>
    <s v="Deportivo Garcilaso vs Juan Pablo II College"/>
  </r>
  <r>
    <s v="Universidad de Chile vs Deportes Concepción / Total 1.5"/>
    <s v="Fulltbet"/>
    <x v="2409"/>
    <n v="-8.5399999999999991"/>
    <n v="4.4999999999999998E-2"/>
    <n v="-8.5399999999999991"/>
    <x v="10"/>
    <x v="32"/>
    <x v="116"/>
    <n v="15"/>
    <x v="165"/>
    <n v="0"/>
    <n v="-0.56933333333333325"/>
    <n v="0"/>
    <x v="0"/>
    <x v="806"/>
    <x v="859"/>
    <s v="Universidad de Chile vs Deportes Concepción"/>
  </r>
  <r>
    <s v="Pacific vs Atletico Ottawa / Total 1.5"/>
    <s v="Fulltbet"/>
    <x v="2410"/>
    <n v="14.33"/>
    <n v="4.4999999999999998E-2"/>
    <n v="15.005235602094242"/>
    <x v="10"/>
    <x v="32"/>
    <x v="290"/>
    <n v="15"/>
    <x v="165"/>
    <n v="0.67523560209424183"/>
    <n v="0.95533333333333337"/>
    <n v="1"/>
    <x v="0"/>
    <x v="807"/>
    <x v="860"/>
    <s v="Pacific vs Atletico Ottawa"/>
  </r>
  <r>
    <s v="Santos FC vs EC Vitória / Total 1.5"/>
    <s v="Fulltbet"/>
    <x v="2411"/>
    <n v="-2.8"/>
    <n v="4.4999999999999998E-2"/>
    <n v="-2.8"/>
    <x v="10"/>
    <x v="32"/>
    <x v="291"/>
    <n v="15"/>
    <x v="165"/>
    <n v="0"/>
    <n v="-0.18666666666666665"/>
    <n v="0"/>
    <x v="0"/>
    <x v="474"/>
    <x v="518"/>
    <s v="Santos FC vs EC Vitória"/>
  </r>
  <r>
    <s v="Sport Boys vs Comerciantes Unidos / Total 0.5"/>
    <s v="Fulltbet"/>
    <x v="2412"/>
    <n v="4.92"/>
    <n v="4.4999999999999998E-2"/>
    <n v="5.1518324607329848"/>
    <x v="10"/>
    <x v="47"/>
    <x v="236"/>
    <n v="10"/>
    <x v="165"/>
    <n v="0.23183246073298491"/>
    <n v="0.49199999999999999"/>
    <n v="1"/>
    <x v="0"/>
    <x v="808"/>
    <x v="775"/>
    <s v="Sport Boys vs Comerciantes Unidos"/>
  </r>
  <r>
    <s v="Sport Club do Recife vs Clube Náutico Capibaribe / Match Odds"/>
    <s v="Fulltbet"/>
    <x v="2413"/>
    <n v="6.82"/>
    <n v="4.4999999999999998E-2"/>
    <n v="7.1413612565445028"/>
    <x v="10"/>
    <x v="38"/>
    <x v="34"/>
    <n v="107.1"/>
    <x v="165"/>
    <n v="0.32136125654450254"/>
    <n v="6.3678804855275453E-2"/>
    <n v="1"/>
    <x v="0"/>
    <x v="809"/>
    <x v="861"/>
    <s v="Sport Club do Recife vs Clube Náutico Capibaribe"/>
  </r>
  <r>
    <s v="Deportivo Cuenca vs Delfin SC / Total 0.5"/>
    <s v="Fulltbet"/>
    <x v="2414"/>
    <n v="4.78"/>
    <n v="4.4999999999999998E-2"/>
    <n v="5.005235602094241"/>
    <x v="10"/>
    <x v="47"/>
    <x v="222"/>
    <n v="10"/>
    <x v="165"/>
    <n v="0.22523560209424076"/>
    <n v="0.47800000000000004"/>
    <n v="1"/>
    <x v="0"/>
    <x v="810"/>
    <x v="862"/>
    <s v="Deportivo Cuenca vs Delfin SC"/>
  </r>
  <r>
    <s v="Oakland Roots vs Colorado Springs Switchbacks FC / Total 1.5"/>
    <s v="Fulltbet"/>
    <x v="2415"/>
    <n v="6.02"/>
    <n v="4.4999999999999998E-2"/>
    <n v="6.3036649214659688"/>
    <x v="10"/>
    <x v="50"/>
    <x v="292"/>
    <n v="2"/>
    <x v="165"/>
    <n v="0.28366492146596922"/>
    <n v="3.01"/>
    <n v="1"/>
    <x v="0"/>
    <x v="811"/>
    <x v="863"/>
    <s v="Oakland Roots vs Colorado Springs Switchbacks FC"/>
  </r>
  <r>
    <s v="Deportivo Toluca vs Tigres de la UANL / Correct Score"/>
    <s v="Fulltbet"/>
    <x v="2416"/>
    <n v="4.3499999999999996"/>
    <n v="4.4999999999999998E-2"/>
    <n v="4.5549738219895284"/>
    <x v="10"/>
    <x v="31"/>
    <x v="7"/>
    <n v="100.1"/>
    <x v="165"/>
    <n v="0.20497382198952874"/>
    <n v="4.3456543456543456E-2"/>
    <n v="1"/>
    <x v="0"/>
    <x v="812"/>
    <x v="864"/>
    <s v="Deportivo Toluca vs Tigres de la UANL"/>
  </r>
  <r>
    <s v="Universitario de Deportes vs Sport Huancayo / Match Odds"/>
    <s v="Fulltbet"/>
    <x v="2417"/>
    <n v="6.82"/>
    <n v="4.4999999999999998E-2"/>
    <n v="7.1413612565445028"/>
    <x v="10"/>
    <x v="36"/>
    <x v="37"/>
    <n v="51.41"/>
    <x v="165"/>
    <n v="0.32136125654450254"/>
    <n v="0.13265901575568956"/>
    <n v="1"/>
    <x v="0"/>
    <x v="699"/>
    <x v="764"/>
    <s v="Universitario de Deportes vs Sport Huancayo"/>
  </r>
  <r>
    <s v="Mexico vs Australia / Total 1.5"/>
    <s v="Fulltbet"/>
    <x v="2418"/>
    <n v="-8.24"/>
    <n v="4.4999999999999998E-2"/>
    <n v="-8.24"/>
    <x v="10"/>
    <x v="32"/>
    <x v="230"/>
    <n v="15"/>
    <x v="166"/>
    <n v="0"/>
    <n v="-0.54933333333333334"/>
    <n v="0"/>
    <x v="0"/>
    <x v="813"/>
    <x v="865"/>
    <s v="Mexico vs Australia"/>
  </r>
  <r>
    <s v="BK Häcken vs Hammarby IF / Total 1.5"/>
    <s v="Fulltbet"/>
    <x v="2419"/>
    <n v="14.33"/>
    <n v="4.4999999999999998E-2"/>
    <n v="15.005235602094242"/>
    <x v="10"/>
    <x v="32"/>
    <x v="31"/>
    <n v="15"/>
    <x v="166"/>
    <n v="0.67523560209424183"/>
    <n v="0.95533333333333337"/>
    <n v="1"/>
    <x v="0"/>
    <x v="551"/>
    <x v="795"/>
    <s v="BK Häcken vs Hammarby IF"/>
  </r>
  <r>
    <s v="Tianjin Jinmenhu vs Dalian Yingbo / Match Odds"/>
    <s v="Fulltbet"/>
    <x v="2420"/>
    <n v="12.57"/>
    <n v="4.4999999999999998E-2"/>
    <n v="13.162303664921467"/>
    <x v="10"/>
    <x v="38"/>
    <x v="38"/>
    <n v="100.02"/>
    <x v="166"/>
    <n v="0.59230366492146658"/>
    <n v="0.1256748650269946"/>
    <n v="1"/>
    <x v="0"/>
    <x v="814"/>
    <x v="561"/>
    <s v="Tianjin Jinmenhu vs Dalian Yingbo"/>
  </r>
  <r>
    <s v="Tianjin Jinmenhu vs Dalian Yingbo / Both Teams To Score"/>
    <s v="Fulltbet"/>
    <x v="2421"/>
    <n v="-5"/>
    <n v="4.4999999999999998E-2"/>
    <n v="-5"/>
    <x v="10"/>
    <x v="59"/>
    <x v="96"/>
    <n v="5"/>
    <x v="166"/>
    <n v="0"/>
    <n v="-1"/>
    <n v="0"/>
    <x v="0"/>
    <x v="814"/>
    <x v="561"/>
    <s v="Tianjin Jinmenhu vs Dalian Yingbo"/>
  </r>
  <r>
    <s v="Wuhan Three Towns vs Yunnan Yukun / Correct Score"/>
    <s v="Fulltbet"/>
    <x v="2422"/>
    <n v="5.31"/>
    <n v="4.4999999999999998E-2"/>
    <n v="5.5602094240837694"/>
    <x v="10"/>
    <x v="61"/>
    <x v="31"/>
    <n v="55.6"/>
    <x v="166"/>
    <n v="0.25020942408376978"/>
    <n v="9.550359712230215E-2"/>
    <n v="1"/>
    <x v="0"/>
    <x v="815"/>
    <x v="691"/>
    <s v="Wuhan Three Towns vs Yunnan Yukun"/>
  </r>
  <r>
    <s v="Wuhan Three Towns vs Yunnan Yukun / Match Odds"/>
    <s v="Fulltbet"/>
    <x v="2423"/>
    <n v="3.98"/>
    <n v="4.4999999999999998E-2"/>
    <n v="4.167539267015707"/>
    <x v="10"/>
    <x v="38"/>
    <x v="109"/>
    <n v="95.91"/>
    <x v="166"/>
    <n v="0.187539267015707"/>
    <n v="4.1497236993014289E-2"/>
    <n v="1"/>
    <x v="0"/>
    <x v="815"/>
    <x v="691"/>
    <s v="Wuhan Three Towns vs Yunnan Yukun"/>
  </r>
  <r>
    <s v="BK Häcken vs Hammarby IF / Total 4.5"/>
    <s v="Fulltbet"/>
    <x v="2424"/>
    <n v="-5"/>
    <n v="4.4999999999999998E-2"/>
    <n v="-5"/>
    <x v="10"/>
    <x v="62"/>
    <x v="209"/>
    <n v="5"/>
    <x v="166"/>
    <n v="0"/>
    <n v="-1"/>
    <n v="0"/>
    <x v="0"/>
    <x v="551"/>
    <x v="795"/>
    <s v="BK Häcken vs Hammarby IF"/>
  </r>
  <r>
    <s v="Red Bull Bragantino vs SC Internacional / Total 1.5"/>
    <s v="Fulltbet"/>
    <x v="2425"/>
    <n v="14.33"/>
    <n v="4.4999999999999998E-2"/>
    <n v="15.005235602094242"/>
    <x v="10"/>
    <x v="32"/>
    <x v="28"/>
    <n v="15"/>
    <x v="166"/>
    <n v="0.67523560209424183"/>
    <n v="0.95533333333333337"/>
    <n v="1"/>
    <x v="0"/>
    <x v="484"/>
    <x v="519"/>
    <s v="Red Bull Bragantino vs SC Internacional"/>
  </r>
  <r>
    <s v="AC Horsens vs Kolding IF / Match Odds"/>
    <s v="Fulltbet"/>
    <x v="2426"/>
    <n v="58.53"/>
    <n v="4.4999999999999998E-2"/>
    <n v="61.287958115183251"/>
    <x v="3"/>
    <x v="7"/>
    <x v="28"/>
    <n v="380"/>
    <x v="166"/>
    <n v="2.75795811518325"/>
    <n v="0.15402631578947368"/>
    <n v="1"/>
    <x v="44"/>
    <x v="816"/>
    <x v="866"/>
    <s v="AC Horsens vs Kolding IF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</r>
  <r>
    <s v="CD Castellon vs SD Eibar / Total 0.5"/>
    <s v="Fulltbet"/>
    <x v="2428"/>
    <n v="0.34"/>
    <n v="4.4999999999999998E-2"/>
    <n v="0.35602094240837701"/>
    <x v="10"/>
    <x v="49"/>
    <x v="267"/>
    <n v="5"/>
    <x v="166"/>
    <n v="1.6020942408376981E-2"/>
    <n v="6.8000000000000005E-2"/>
    <n v="1"/>
    <x v="0"/>
    <x v="259"/>
    <x v="755"/>
    <s v="CD Castellon vs SD Eibar"/>
  </r>
  <r>
    <s v="UD Almería vs Real Valladolid / 1st Half Total 0.5"/>
    <s v="Fulltbet"/>
    <x v="2429"/>
    <n v="-2"/>
    <n v="4.4999999999999998E-2"/>
    <n v="-2"/>
    <x v="10"/>
    <x v="43"/>
    <x v="197"/>
    <n v="2"/>
    <x v="166"/>
    <n v="0"/>
    <n v="-1"/>
    <n v="0"/>
    <x v="0"/>
    <x v="148"/>
    <x v="760"/>
    <s v="UD Almería vs Real Valladolid"/>
  </r>
  <r>
    <s v="FBC Melgar vs Alianza Atletico / Total 1.5"/>
    <s v="Fulltbet"/>
    <x v="2430"/>
    <n v="-2"/>
    <n v="4.4999999999999998E-2"/>
    <n v="-2"/>
    <x v="10"/>
    <x v="50"/>
    <x v="261"/>
    <n v="2"/>
    <x v="166"/>
    <n v="0"/>
    <n v="-1"/>
    <n v="0"/>
    <x v="0"/>
    <x v="592"/>
    <x v="868"/>
    <s v="FBC Melgar vs Alianza Atletico"/>
  </r>
  <r>
    <s v="UD Almería vs Real Valladolid / Total 0.5"/>
    <s v="Fulltbet"/>
    <x v="2431"/>
    <n v="0.35"/>
    <n v="4.4999999999999998E-2"/>
    <n v="0.36649214659685864"/>
    <x v="10"/>
    <x v="49"/>
    <x v="267"/>
    <n v="5"/>
    <x v="166"/>
    <n v="1.6492146596858659E-2"/>
    <n v="6.9999999999999993E-2"/>
    <n v="1"/>
    <x v="0"/>
    <x v="148"/>
    <x v="760"/>
    <s v="UD Almería vs Real Valladolid"/>
  </r>
  <r>
    <s v="FBC Melgar vs Alianza Atletico / Match Odds"/>
    <s v="Fulltbet"/>
    <x v="2432"/>
    <n v="6.2"/>
    <n v="4.4999999999999998E-2"/>
    <n v="6.4921465968586389"/>
    <x v="10"/>
    <x v="41"/>
    <x v="293"/>
    <n v="9.99"/>
    <x v="166"/>
    <n v="0.29214659685863875"/>
    <n v="0.62062062062062062"/>
    <n v="1"/>
    <x v="0"/>
    <x v="592"/>
    <x v="868"/>
    <s v="FBC Melgar vs Alianza Atletico"/>
  </r>
  <r>
    <s v="Real Zaragoza vs Málaga / Total 1.5"/>
    <s v="Fulltbet"/>
    <x v="2433"/>
    <n v="-8.48"/>
    <n v="4.4999999999999998E-2"/>
    <n v="-8.48"/>
    <x v="10"/>
    <x v="32"/>
    <x v="175"/>
    <n v="15"/>
    <x v="166"/>
    <n v="0"/>
    <n v="-0.56533333333333335"/>
    <n v="0"/>
    <x v="0"/>
    <x v="267"/>
    <x v="869"/>
    <s v="Real Zaragoza vs Málaga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</r>
  <r>
    <s v="Burgos CF vs Andorra FC / Match Odds"/>
    <s v="Fulltbet"/>
    <x v="2435"/>
    <n v="3.08"/>
    <n v="4.4999999999999998E-2"/>
    <n v="3.2251308900523563"/>
    <x v="10"/>
    <x v="38"/>
    <x v="176"/>
    <n v="106.59"/>
    <x v="166"/>
    <n v="0.14513089005235624"/>
    <n v="2.8895768833849329E-2"/>
    <n v="1"/>
    <x v="0"/>
    <x v="818"/>
    <x v="395"/>
    <s v="Burgos CF vs Andorra FC"/>
  </r>
  <r>
    <s v="UD Almería vs Real Valladolid / Both Teams To Score"/>
    <s v="Fulltbet"/>
    <x v="2436"/>
    <n v="-5"/>
    <n v="4.4999999999999998E-2"/>
    <n v="-5"/>
    <x v="10"/>
    <x v="59"/>
    <x v="113"/>
    <n v="5"/>
    <x v="166"/>
    <n v="0"/>
    <n v="-1"/>
    <n v="0"/>
    <x v="0"/>
    <x v="148"/>
    <x v="760"/>
    <s v="UD Almería vs Real Valladolid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</r>
  <r>
    <s v="Germany vs Finland / Total 1.5"/>
    <s v="Fulltbet"/>
    <x v="2438"/>
    <n v="14.33"/>
    <n v="4.4999999999999998E-2"/>
    <n v="15.005235602094242"/>
    <x v="10"/>
    <x v="32"/>
    <x v="16"/>
    <n v="15"/>
    <x v="166"/>
    <n v="0.67523560209424183"/>
    <n v="0.95533333333333337"/>
    <n v="1"/>
    <x v="0"/>
    <x v="819"/>
    <x v="870"/>
    <s v="Germany vs Finland"/>
  </r>
  <r>
    <s v="Vasco da Gama vs Atlético Mineiro / Total 1.5"/>
    <s v="Fulltbet"/>
    <x v="2439"/>
    <n v="2.34"/>
    <n v="4.4999999999999998E-2"/>
    <n v="2.4502617801047122"/>
    <x v="10"/>
    <x v="35"/>
    <x v="222"/>
    <n v="4.9000000000000004"/>
    <x v="166"/>
    <n v="0.11026178010471233"/>
    <n v="0.47755102040816322"/>
    <n v="1"/>
    <x v="0"/>
    <x v="477"/>
    <x v="833"/>
    <s v="Vasco da Gama vs Atlético Mineiro"/>
  </r>
  <r>
    <s v="Huachipato vs Universidad Católica / Correct Score"/>
    <s v="Fulltbet"/>
    <x v="2440"/>
    <n v="6.46"/>
    <n v="4.4999999999999998E-2"/>
    <n v="6.7643979057591626"/>
    <x v="10"/>
    <x v="60"/>
    <x v="19"/>
    <n v="50.02"/>
    <x v="166"/>
    <n v="0.30439790575916259"/>
    <n v="0.12914834066373448"/>
    <n v="1"/>
    <x v="0"/>
    <x v="454"/>
    <x v="770"/>
    <s v="Huachipato vs Universidad Católica"/>
  </r>
  <r>
    <s v="Leganés vs Mirandés / Total 1.5"/>
    <s v="Fulltbet"/>
    <x v="2441"/>
    <n v="2.87"/>
    <n v="4.4999999999999998E-2"/>
    <n v="3.005235602094241"/>
    <x v="10"/>
    <x v="35"/>
    <x v="97"/>
    <n v="5"/>
    <x v="166"/>
    <n v="0.1352356020942409"/>
    <n v="0.57400000000000007"/>
    <n v="1"/>
    <x v="0"/>
    <x v="648"/>
    <x v="104"/>
    <s v="Leganés vs Mirandés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</r>
  <r>
    <s v="Cienciano del Cuzco vs Sporting Cristal / Both Teams To Score"/>
    <s v="Fulltbet"/>
    <x v="2444"/>
    <n v="3.27"/>
    <n v="4.4999999999999998E-2"/>
    <n v="3.424083769633508"/>
    <x v="10"/>
    <x v="59"/>
    <x v="56"/>
    <n v="5"/>
    <x v="166"/>
    <n v="0.15408376963350801"/>
    <n v="0.65400000000000003"/>
    <n v="1"/>
    <x v="0"/>
    <x v="820"/>
    <x v="549"/>
    <s v="Cienciano del Cuzco vs Sporting Cristal"/>
  </r>
  <r>
    <s v="Cienciano del Cuzco vs Sporting Cristal / Total 1.5"/>
    <s v="Fulltbet"/>
    <x v="2445"/>
    <n v="14.33"/>
    <n v="4.4999999999999998E-2"/>
    <n v="15.005235602094242"/>
    <x v="10"/>
    <x v="32"/>
    <x v="89"/>
    <n v="15"/>
    <x v="166"/>
    <n v="0.67523560209424183"/>
    <n v="0.95533333333333337"/>
    <n v="1"/>
    <x v="0"/>
    <x v="820"/>
    <x v="549"/>
    <s v="Cienciano del Cuzco vs Sporting Cristal"/>
  </r>
  <r>
    <s v="Cobreloa vs CSD Rangers / Both Teams To Score"/>
    <s v="Fulltbet"/>
    <x v="2446"/>
    <n v="-5"/>
    <n v="4.4999999999999998E-2"/>
    <n v="-5"/>
    <x v="10"/>
    <x v="59"/>
    <x v="101"/>
    <n v="5"/>
    <x v="166"/>
    <n v="0"/>
    <n v="-1"/>
    <n v="0"/>
    <x v="0"/>
    <x v="821"/>
    <x v="871"/>
    <s v="Cobreloa vs CSD Rangers"/>
  </r>
  <r>
    <s v="Cienciano del Cuzco vs Sporting Cristal / Match Odds"/>
    <s v="Fulltbet"/>
    <x v="2447"/>
    <n v="1.51"/>
    <n v="4.4999999999999998E-2"/>
    <n v="1.581151832460733"/>
    <x v="10"/>
    <x v="39"/>
    <x v="57"/>
    <n v="2"/>
    <x v="166"/>
    <n v="7.1151832460732978E-2"/>
    <n v="0.755"/>
    <n v="1"/>
    <x v="0"/>
    <x v="820"/>
    <x v="549"/>
    <s v="Cienciano del Cuzco vs Sporting Cristal"/>
  </r>
  <r>
    <s v="Cienciano del Cuzco vs Sporting Cristal / Correct Score"/>
    <s v="Fulltbet"/>
    <x v="2448"/>
    <n v="5.79"/>
    <n v="4.4999999999999998E-2"/>
    <n v="6.0628272251308903"/>
    <x v="10"/>
    <x v="31"/>
    <x v="27"/>
    <n v="99.99"/>
    <x v="166"/>
    <n v="0.27282722513089031"/>
    <n v="5.7905790579057911E-2"/>
    <n v="1"/>
    <x v="0"/>
    <x v="820"/>
    <x v="549"/>
    <s v="Cienciano del Cuzco vs Sporting Cristal"/>
  </r>
  <r>
    <s v="Cruzeiro vs Fluminense FC / Total 0.5"/>
    <s v="Fulltbet"/>
    <x v="2449"/>
    <n v="0.96"/>
    <n v="4.4999999999999998E-2"/>
    <n v="1.0052356020942408"/>
    <x v="10"/>
    <x v="49"/>
    <x v="59"/>
    <n v="5"/>
    <x v="166"/>
    <n v="4.5235602094240823E-2"/>
    <n v="0.192"/>
    <n v="1"/>
    <x v="0"/>
    <x v="482"/>
    <x v="402"/>
    <s v="Cruzeiro vs Fluminense FC"/>
  </r>
  <r>
    <s v="Emelec vs Universidad Católica del Ecuador / Total 0.5"/>
    <s v="Fulltbet"/>
    <x v="2450"/>
    <n v="4.97"/>
    <n v="4.4999999999999998E-2"/>
    <n v="5.2041884816753923"/>
    <x v="10"/>
    <x v="47"/>
    <x v="236"/>
    <n v="10"/>
    <x v="166"/>
    <n v="0.23418848167539252"/>
    <n v="0.497"/>
    <n v="1"/>
    <x v="0"/>
    <x v="822"/>
    <x v="599"/>
    <s v="Emelec vs Universidad Católica del Ecuador"/>
  </r>
  <r>
    <s v="Clube do Remo vs São Paulo / Total 0.5"/>
    <s v="Fulltbet"/>
    <x v="2451"/>
    <n v="0.82"/>
    <n v="4.4999999999999998E-2"/>
    <n v="0.8586387434554974"/>
    <x v="10"/>
    <x v="49"/>
    <x v="295"/>
    <n v="5"/>
    <x v="166"/>
    <n v="3.8638743455497448E-2"/>
    <n v="0.16399999999999998"/>
    <n v="1"/>
    <x v="0"/>
    <x v="469"/>
    <x v="534"/>
    <s v="Clube do Remo vs São Paulo"/>
  </r>
  <r>
    <s v="Clube do Remo vs São Paulo / Both Teams To Score"/>
    <s v="Fulltbet"/>
    <x v="2452"/>
    <n v="-5"/>
    <n v="4.4999999999999998E-2"/>
    <n v="-5"/>
    <x v="10"/>
    <x v="59"/>
    <x v="100"/>
    <n v="5"/>
    <x v="166"/>
    <n v="0"/>
    <n v="-1"/>
    <n v="0"/>
    <x v="0"/>
    <x v="469"/>
    <x v="534"/>
    <s v="Clube do Remo vs São Paulo"/>
  </r>
  <r>
    <s v="Cruzeiro vs Fluminense FC / Match Odds"/>
    <s v="Fulltbet"/>
    <x v="2453"/>
    <n v="-2"/>
    <n v="4.4999999999999998E-2"/>
    <n v="-2"/>
    <x v="10"/>
    <x v="39"/>
    <x v="64"/>
    <n v="2"/>
    <x v="166"/>
    <n v="0"/>
    <n v="-1"/>
    <n v="0"/>
    <x v="0"/>
    <x v="482"/>
    <x v="402"/>
    <s v="Cruzeiro vs Fluminense FC"/>
  </r>
  <r>
    <s v="Palestino vs Audax Italiano / Total 0.5"/>
    <s v="Fulltbet"/>
    <x v="2454"/>
    <n v="-2"/>
    <n v="4.4999999999999998E-2"/>
    <n v="-2"/>
    <x v="10"/>
    <x v="40"/>
    <x v="181"/>
    <n v="2"/>
    <x v="166"/>
    <n v="0"/>
    <n v="-1"/>
    <n v="0"/>
    <x v="0"/>
    <x v="823"/>
    <x v="743"/>
    <s v="Palestino vs Audax Italiano"/>
  </r>
  <r>
    <s v="Atlética Ponte Preta vs Botafogo SP / Total 0.5"/>
    <s v="Fulltbet"/>
    <x v="2455"/>
    <n v="-2"/>
    <n v="4.4999999999999998E-2"/>
    <n v="-2"/>
    <x v="10"/>
    <x v="40"/>
    <x v="189"/>
    <n v="2"/>
    <x v="167"/>
    <n v="0"/>
    <n v="-1"/>
    <n v="0"/>
    <x v="0"/>
    <x v="824"/>
    <x v="872"/>
    <s v="Atlética Ponte Preta vs Botafogo SP"/>
  </r>
  <r>
    <s v="Club Deportes Santa Cruz vs Deportes Copiapó / Both Teams To Score"/>
    <s v="Fulltbet"/>
    <x v="2456"/>
    <n v="3.82"/>
    <n v="4.4999999999999998E-2"/>
    <n v="4"/>
    <x v="10"/>
    <x v="59"/>
    <x v="60"/>
    <n v="5"/>
    <x v="167"/>
    <n v="0.18000000000000016"/>
    <n v="0.76400000000000001"/>
    <n v="1"/>
    <x v="0"/>
    <x v="498"/>
    <x v="873"/>
    <s v="Club Deportes Santa Cruz vs Deportes Copiapó"/>
  </r>
  <r>
    <s v="Universitario de Vinto vs Club Aurora / Total 4.5"/>
    <s v="Fulltbet"/>
    <x v="2457"/>
    <n v="0.43"/>
    <n v="4.4999999999999998E-2"/>
    <n v="0.45026178010471207"/>
    <x v="10"/>
    <x v="62"/>
    <x v="217"/>
    <n v="5"/>
    <x v="167"/>
    <n v="2.0261780104712079E-2"/>
    <n v="8.5999999999999993E-2"/>
    <n v="1"/>
    <x v="0"/>
    <x v="595"/>
    <x v="874"/>
    <s v="Universitario de Vinto vs Club Aurora"/>
  </r>
  <r>
    <s v="Croatia vs Belgium / Total 1.5"/>
    <s v="Fulltbet"/>
    <x v="2458"/>
    <n v="38.200000000000003"/>
    <n v="4.4999999999999998E-2"/>
    <n v="40.000000000000007"/>
    <x v="14"/>
    <x v="28"/>
    <x v="235"/>
    <n v="40"/>
    <x v="168"/>
    <n v="1.8000000000000043"/>
    <n v="0.95500000000000007"/>
    <n v="1"/>
    <x v="0"/>
    <x v="825"/>
    <x v="875"/>
    <s v="Croatia vs Belgium"/>
  </r>
  <r>
    <s v="Croatia vs Belgium / Both Teams To Score"/>
    <s v="Fulltbet"/>
    <x v="2459"/>
    <n v="-5"/>
    <n v="4.4999999999999998E-2"/>
    <n v="-5"/>
    <x v="10"/>
    <x v="59"/>
    <x v="65"/>
    <n v="5"/>
    <x v="168"/>
    <n v="0"/>
    <n v="-1"/>
    <n v="0"/>
    <x v="0"/>
    <x v="825"/>
    <x v="875"/>
    <s v="Croatia vs Belgium"/>
  </r>
  <r>
    <s v="Wales vs Ghana / Both Teams To Score"/>
    <s v="Fulltbet"/>
    <x v="2460"/>
    <n v="4.78"/>
    <n v="4.4999999999999998E-2"/>
    <n v="5.005235602094241"/>
    <x v="10"/>
    <x v="59"/>
    <x v="64"/>
    <n v="5"/>
    <x v="168"/>
    <n v="0.22523560209424076"/>
    <n v="0.95600000000000007"/>
    <n v="1"/>
    <x v="0"/>
    <x v="826"/>
    <x v="876"/>
    <s v="Wales vs Ghana"/>
  </r>
  <r>
    <s v="Slovenia vs Cyprus / Match Odds"/>
    <s v="Fulltbet"/>
    <x v="2461"/>
    <n v="7.96"/>
    <n v="4.4999999999999998E-2"/>
    <n v="8.335078534031414"/>
    <x v="10"/>
    <x v="41"/>
    <x v="296"/>
    <n v="15.16"/>
    <x v="169"/>
    <n v="0.375078534031414"/>
    <n v="0.52506596306068598"/>
    <n v="1"/>
    <x v="0"/>
    <x v="827"/>
    <x v="877"/>
    <s v="Slovenia vs Cyprus"/>
  </r>
  <r>
    <s v="Sweden vs Greece / Total 1.5"/>
    <s v="Fulltbet"/>
    <x v="2462"/>
    <n v="-8.18"/>
    <n v="4.4999999999999998E-2"/>
    <n v="-8.18"/>
    <x v="10"/>
    <x v="32"/>
    <x v="121"/>
    <n v="15"/>
    <x v="169"/>
    <n v="0"/>
    <n v="-0.54533333333333334"/>
    <n v="0"/>
    <x v="0"/>
    <x v="828"/>
    <x v="878"/>
    <s v="Sweden vs Greece"/>
  </r>
  <r>
    <s v="Andorra vs Liechtenstein / Total 0.5"/>
    <s v="Fulltbet"/>
    <x v="2463"/>
    <n v="38.200000000000003"/>
    <n v="4.4999999999999998E-2"/>
    <n v="40.000000000000007"/>
    <x v="14"/>
    <x v="19"/>
    <x v="297"/>
    <n v="40"/>
    <x v="169"/>
    <n v="1.8000000000000043"/>
    <n v="0.95500000000000007"/>
    <n v="1"/>
    <x v="0"/>
    <x v="829"/>
    <x v="879"/>
    <s v="Andorra vs Liechtenstein"/>
  </r>
  <r>
    <s v="Mexico vs Serbia / Match Odds"/>
    <s v="Fulltbet"/>
    <x v="2464"/>
    <n v="4.55"/>
    <n v="4.4999999999999998E-2"/>
    <n v="4.7643979057591626"/>
    <x v="10"/>
    <x v="36"/>
    <x v="23"/>
    <n v="49.98"/>
    <x v="170"/>
    <n v="0.21439790575916273"/>
    <n v="9.1036414565826326E-2"/>
    <n v="1"/>
    <x v="0"/>
    <x v="813"/>
    <x v="880"/>
    <s v="Mexico vs Serbia"/>
  </r>
  <r>
    <s v="Daegu FC vs Paju Citizen FC / Correct Score"/>
    <s v="Fulltbet"/>
    <x v="2465"/>
    <n v="12.32"/>
    <n v="4.4999999999999998E-2"/>
    <n v="12.900523560209425"/>
    <x v="15"/>
    <x v="5"/>
    <x v="66"/>
    <n v="399.9"/>
    <x v="170"/>
    <n v="0.58052356020942497"/>
    <n v="3.0807701925481372E-2"/>
    <n v="1"/>
    <x v="0"/>
    <x v="830"/>
    <x v="881"/>
    <s v="Daegu FC vs Paju Citizen FC"/>
  </r>
  <r>
    <s v="Hungary vs Finland / Total 1.5"/>
    <s v="Fulltbet"/>
    <x v="2466"/>
    <n v="14.33"/>
    <n v="4.4999999999999998E-2"/>
    <n v="15.005235602094242"/>
    <x v="10"/>
    <x v="32"/>
    <x v="43"/>
    <n v="15"/>
    <x v="170"/>
    <n v="0.67523560209424183"/>
    <n v="0.95533333333333337"/>
    <n v="1"/>
    <x v="0"/>
    <x v="831"/>
    <x v="870"/>
    <s v="Hungary vs Finland"/>
  </r>
  <r>
    <s v="JS Kabylie vs CR Belouizdad / Total 0.5"/>
    <s v="Fulltbet"/>
    <x v="2467"/>
    <n v="-15"/>
    <n v="4.4999999999999998E-2"/>
    <n v="-15"/>
    <x v="10"/>
    <x v="47"/>
    <x v="236"/>
    <n v="15"/>
    <x v="170"/>
    <n v="0"/>
    <n v="-1"/>
    <n v="0"/>
    <x v="0"/>
    <x v="222"/>
    <x v="717"/>
    <s v="JS Kabylie vs CR Belouizdad"/>
  </r>
  <r>
    <s v="Haiti vs Peru / Match Odds"/>
    <s v="Fulltbet"/>
    <x v="2468"/>
    <n v="-125.62"/>
    <n v="4.4999999999999998E-2"/>
    <n v="-125.62"/>
    <x v="10"/>
    <x v="38"/>
    <x v="7"/>
    <n v="125.62"/>
    <x v="170"/>
    <n v="0"/>
    <n v="-1"/>
    <n v="0"/>
    <x v="0"/>
    <x v="832"/>
    <x v="882"/>
    <s v="Haiti vs Peru"/>
  </r>
  <r>
    <s v="Belgium vs Tunisia / Total 1.5"/>
    <s v="Fulltbet"/>
    <x v="2469"/>
    <n v="-11.04"/>
    <n v="4.4999999999999998E-2"/>
    <n v="-11.04"/>
    <x v="10"/>
    <x v="32"/>
    <x v="33"/>
    <n v="15"/>
    <x v="171"/>
    <n v="0"/>
    <n v="-0.73599999999999999"/>
    <n v="0"/>
    <x v="0"/>
    <x v="833"/>
    <x v="883"/>
    <s v="Belgium vs Tunisia"/>
  </r>
  <r>
    <s v="Criciúma EC vs Londrina / Correct Score"/>
    <s v="Fulltbet"/>
    <x v="2470"/>
    <n v="40.340000000000003"/>
    <n v="4.4999999999999998E-2"/>
    <n v="42.240837696335085"/>
    <x v="16"/>
    <x v="63"/>
    <x v="72"/>
    <n v="100"/>
    <x v="171"/>
    <n v="1.9008376963350813"/>
    <n v="0.40340000000000004"/>
    <n v="1"/>
    <x v="0"/>
    <x v="724"/>
    <x v="818"/>
    <s v="Criciúma EC vs Londrina"/>
  </r>
  <r>
    <s v="Olympique Akbou vs ES Ben Aknoun / Total 0.5"/>
    <s v="Fulltbet"/>
    <x v="2471"/>
    <n v="7.88"/>
    <n v="4.4999999999999998E-2"/>
    <n v="8.2513089005235596"/>
    <x v="10"/>
    <x v="47"/>
    <x v="199"/>
    <n v="15"/>
    <x v="171"/>
    <n v="0.37130890052355969"/>
    <n v="0.52533333333333332"/>
    <n v="1"/>
    <x v="0"/>
    <x v="834"/>
    <x v="172"/>
    <s v="Olympique Akbou vs ES Ben Aknoun"/>
  </r>
  <r>
    <s v="USA vs Germany / Both Teams To Score"/>
    <s v="Fulltbet"/>
    <x v="2472"/>
    <n v="2.46"/>
    <n v="4.4999999999999998E-2"/>
    <n v="2.5759162303664924"/>
    <x v="10"/>
    <x v="59"/>
    <x v="236"/>
    <n v="5"/>
    <x v="171"/>
    <n v="0.11591623036649246"/>
    <n v="0.49199999999999999"/>
    <n v="1"/>
    <x v="0"/>
    <x v="835"/>
    <x v="884"/>
    <s v="USA vs Germany"/>
  </r>
  <r>
    <s v="Argentina vs Honduras / Total 1.5"/>
    <s v="Fulltbet"/>
    <x v="2473"/>
    <n v="-4.5"/>
    <n v="4.4999999999999998E-2"/>
    <n v="-4.5"/>
    <x v="10"/>
    <x v="32"/>
    <x v="44"/>
    <n v="15"/>
    <x v="171"/>
    <n v="0"/>
    <n v="-0.3"/>
    <n v="0"/>
    <x v="0"/>
    <x v="836"/>
    <x v="885"/>
    <s v="Argentina vs Honduras"/>
  </r>
  <r>
    <s v="Liechtenstein vs Cyprus / Total 1.5"/>
    <s v="Fulltbet"/>
    <x v="2474"/>
    <n v="-6.95"/>
    <n v="4.4999999999999998E-2"/>
    <n v="-6.95"/>
    <x v="10"/>
    <x v="32"/>
    <x v="1"/>
    <n v="15"/>
    <x v="172"/>
    <n v="0"/>
    <n v="-0.46333333333333332"/>
    <n v="0"/>
    <x v="0"/>
    <x v="837"/>
    <x v="877"/>
    <s v="Liechtenstein vs Cyprus"/>
  </r>
  <r>
    <s v="Ranheim vs Strømmen / Match Odds"/>
    <s v="Fulltbet"/>
    <x v="2475"/>
    <n v="68.22"/>
    <n v="4.4999999999999998E-2"/>
    <n v="71.434554973821989"/>
    <x v="3"/>
    <x v="7"/>
    <x v="85"/>
    <n v="400.01"/>
    <x v="172"/>
    <n v="3.2145549738219898"/>
    <n v="0.17054573635659109"/>
    <n v="1"/>
    <x v="43"/>
    <x v="745"/>
    <x v="886"/>
    <s v="Ranheim vs Strømmen"/>
  </r>
  <r>
    <s v="Morocco vs Norway / Match Odds"/>
    <s v="Fulltbet"/>
    <x v="2476"/>
    <n v="8.49"/>
    <n v="4.4999999999999998E-2"/>
    <n v="8.8900523560209432"/>
    <x v="10"/>
    <x v="38"/>
    <x v="29"/>
    <n v="128.91"/>
    <x v="172"/>
    <n v="0.40005235602094302"/>
    <n v="6.5859902257388886E-2"/>
    <n v="1"/>
    <x v="0"/>
    <x v="838"/>
    <x v="887"/>
    <s v="Morocco vs Norway"/>
  </r>
  <r>
    <s v="CRB vs São Bernardo FC / Correct Score"/>
    <s v="Fulltbet"/>
    <x v="2477"/>
    <n v="-99.99"/>
    <n v="4.4999999999999998E-2"/>
    <n v="-99.99"/>
    <x v="16"/>
    <x v="64"/>
    <x v="72"/>
    <n v="99.99"/>
    <x v="172"/>
    <n v="0"/>
    <n v="-1"/>
    <n v="0"/>
    <x v="0"/>
    <x v="839"/>
    <x v="831"/>
    <s v="CRB vs São Bernardo FC"/>
  </r>
  <r>
    <s v="CRB vs São Bernardo FC / Correct Score"/>
    <s v="Fulltbet"/>
    <x v="2477"/>
    <n v="4.8"/>
    <n v="4.4999999999999998E-2"/>
    <n v="5.0261780104712042"/>
    <x v="10"/>
    <x v="31"/>
    <x v="117"/>
    <n v="120"/>
    <x v="172"/>
    <n v="0.22617801047120434"/>
    <n v="0.04"/>
    <n v="1"/>
    <x v="0"/>
    <x v="839"/>
    <x v="831"/>
    <s v="CRB vs São Bernardo FC"/>
  </r>
  <r>
    <s v="Antofagasta vs Magallanes / Both Teams To Score"/>
    <s v="Fulltbet"/>
    <x v="2478"/>
    <n v="-5"/>
    <n v="4.4999999999999998E-2"/>
    <n v="-5"/>
    <x v="10"/>
    <x v="59"/>
    <x v="130"/>
    <n v="5"/>
    <x v="172"/>
    <n v="0"/>
    <n v="-1"/>
    <n v="0"/>
    <x v="0"/>
    <x v="652"/>
    <x v="834"/>
    <s v="Antofagasta vs Magallanes"/>
  </r>
  <r>
    <s v="Ecuador vs Guatemala / Total 1.5"/>
    <s v="Fulltbet"/>
    <x v="2479"/>
    <n v="-5.18"/>
    <n v="4.4999999999999998E-2"/>
    <n v="-5.18"/>
    <x v="10"/>
    <x v="32"/>
    <x v="81"/>
    <n v="15"/>
    <x v="172"/>
    <n v="0"/>
    <n v="-0.34533333333333333"/>
    <n v="0"/>
    <x v="0"/>
    <x v="840"/>
    <x v="888"/>
    <s v="Ecuador vs Guatemala"/>
  </r>
  <r>
    <s v="Colombia vs Jordan / Total 1.5"/>
    <s v="Fulltbet"/>
    <x v="2480"/>
    <n v="-3.41"/>
    <n v="4.4999999999999998E-2"/>
    <n v="-3.41"/>
    <x v="10"/>
    <x v="32"/>
    <x v="298"/>
    <n v="15"/>
    <x v="172"/>
    <n v="0"/>
    <n v="-0.22733333333333333"/>
    <n v="0"/>
    <x v="0"/>
    <x v="841"/>
    <x v="889"/>
    <s v="Colombia vs Jordan"/>
  </r>
  <r>
    <s v="Netherlands vs Uzbekistan / Total 1.5"/>
    <s v="Fulltbet"/>
    <x v="2481"/>
    <n v="-9.7799999999999994"/>
    <n v="4.4999999999999998E-2"/>
    <n v="-9.7799999999999994"/>
    <x v="10"/>
    <x v="32"/>
    <x v="41"/>
    <n v="15"/>
    <x v="173"/>
    <n v="0"/>
    <n v="-0.65199999999999991"/>
    <n v="0"/>
    <x v="0"/>
    <x v="842"/>
    <x v="890"/>
    <s v="Netherlands vs Uzbekistan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</r>
  <r>
    <s v="Atlético Nacional vs Junior / Correct Score"/>
    <s v="Fulltbet"/>
    <x v="2483"/>
    <n v="16.16"/>
    <n v="4.4999999999999998E-2"/>
    <n v="16.921465968586389"/>
    <x v="15"/>
    <x v="5"/>
    <x v="40"/>
    <n v="439.92"/>
    <x v="173"/>
    <n v="0.76146596858638915"/>
    <n v="3.6733951627568651E-2"/>
    <n v="1"/>
    <x v="0"/>
    <x v="843"/>
    <x v="851"/>
    <s v="Atlético Nacional vs Junior"/>
  </r>
  <r>
    <s v="Vila Nova FC vs Botafogo SP / Correct Score"/>
    <s v="Fulltbet"/>
    <x v="2484"/>
    <n v="30.28"/>
    <n v="4.4999999999999998E-2"/>
    <n v="31.706806282722514"/>
    <x v="16"/>
    <x v="64"/>
    <x v="72"/>
    <n v="100"/>
    <x v="173"/>
    <n v="1.426806282722513"/>
    <n v="0.30280000000000001"/>
    <n v="1"/>
    <x v="0"/>
    <x v="726"/>
    <x v="872"/>
    <s v="Vila Nova FC vs Botafogo SP"/>
  </r>
  <r>
    <s v="Armenia vs Moldova / Both Teams To Score"/>
    <s v="Fulltbet"/>
    <x v="2485"/>
    <n v="4.2"/>
    <n v="4.4999999999999998E-2"/>
    <n v="4.3979057591623043"/>
    <x v="10"/>
    <x v="59"/>
    <x v="98"/>
    <n v="5"/>
    <x v="174"/>
    <n v="0.19790575916230413"/>
    <n v="0.84000000000000008"/>
    <n v="1"/>
    <x v="0"/>
    <x v="844"/>
    <x v="891"/>
    <s v="Armenia vs Moldova"/>
  </r>
  <r>
    <s v="Armenia vs Moldova / Correct Score"/>
    <s v="Fulltbet"/>
    <x v="2486"/>
    <n v="9.24"/>
    <n v="4.4999999999999998E-2"/>
    <n v="9.6753926701570681"/>
    <x v="10"/>
    <x v="31"/>
    <x v="34"/>
    <n v="145.19999999999999"/>
    <x v="174"/>
    <n v="0.43539267015706784"/>
    <n v="6.3636363636363644E-2"/>
    <n v="1"/>
    <x v="0"/>
    <x v="844"/>
    <x v="891"/>
    <s v="Armenia vs Moldova"/>
  </r>
  <r>
    <s v="Hungary vs Kazakhstan / Total 1.5"/>
    <s v="Fulltbet"/>
    <x v="2487"/>
    <n v="-10.4"/>
    <n v="4.4999999999999998E-2"/>
    <n v="-10.4"/>
    <x v="10"/>
    <x v="32"/>
    <x v="14"/>
    <n v="15"/>
    <x v="174"/>
    <n v="0"/>
    <n v="-0.69333333333333336"/>
    <n v="0"/>
    <x v="0"/>
    <x v="831"/>
    <x v="892"/>
    <s v="Hungary vs Kazakhstan"/>
  </r>
  <r>
    <s v="Östers IF vs IFK Värnamo / Correct Score"/>
    <s v="Fulltbet"/>
    <x v="2488"/>
    <n v="-12.82"/>
    <n v="4.4999999999999998E-2"/>
    <n v="-12.82"/>
    <x v="17"/>
    <x v="66"/>
    <x v="42"/>
    <n v="12.82"/>
    <x v="174"/>
    <n v="0"/>
    <n v="-1"/>
    <n v="0"/>
    <x v="0"/>
    <x v="845"/>
    <x v="893"/>
    <s v="Östers IF vs IFK Värnamo"/>
  </r>
  <r>
    <s v="Östers IF vs IFK Värnamo / Match Odds"/>
    <s v="Fulltbet"/>
    <x v="2489"/>
    <n v="30.81"/>
    <n v="4.4999999999999998E-2"/>
    <n v="32.261780104712045"/>
    <x v="17"/>
    <x v="53"/>
    <x v="223"/>
    <n v="100.01"/>
    <x v="174"/>
    <n v="1.4517801047120464"/>
    <n v="0.30806919308069192"/>
    <n v="1"/>
    <x v="0"/>
    <x v="845"/>
    <x v="893"/>
    <s v="Östers IF vs IFK Värnamo"/>
  </r>
  <r>
    <s v="IK Brage vs Ljungskile SK / Match Odds"/>
    <s v="Fulltbet"/>
    <x v="2490"/>
    <n v="-70"/>
    <n v="4.4999999999999998E-2"/>
    <n v="-70"/>
    <x v="10"/>
    <x v="48"/>
    <x v="268"/>
    <n v="70"/>
    <x v="174"/>
    <n v="0"/>
    <n v="-1"/>
    <n v="0"/>
    <x v="0"/>
    <x v="846"/>
    <x v="894"/>
    <s v="IK Brage vs Ljungskile SK"/>
  </r>
  <r>
    <s v="Hungary vs Kazakhstan / Match Odds"/>
    <s v="Fulltbet"/>
    <x v="2491"/>
    <n v="14.62"/>
    <n v="4.4999999999999998E-2"/>
    <n v="15.30890052356021"/>
    <x v="10"/>
    <x v="41"/>
    <x v="150"/>
    <n v="15.31"/>
    <x v="174"/>
    <n v="0.68890052356021059"/>
    <n v="0.95493141737426512"/>
    <n v="1"/>
    <x v="0"/>
    <x v="831"/>
    <x v="892"/>
    <s v="Hungary vs Kazakhstan"/>
  </r>
  <r>
    <s v="UD Almería vs CD Castellon / Correct Score"/>
    <s v="Fulltbet"/>
    <x v="2492"/>
    <n v="19.63"/>
    <n v="4.4999999999999998E-2"/>
    <n v="20.554973821989527"/>
    <x v="16"/>
    <x v="64"/>
    <x v="72"/>
    <n v="100"/>
    <x v="174"/>
    <n v="0.92497382198952849"/>
    <n v="0.1963"/>
    <n v="1"/>
    <x v="0"/>
    <x v="148"/>
    <x v="511"/>
    <s v="UD Almería vs CD Castellon"/>
  </r>
  <r>
    <s v="Clube Náutico Capibaribe vs Fortaleza EC / Correct Score"/>
    <s v="Fulltbet"/>
    <x v="2493"/>
    <n v="33.9"/>
    <n v="4.4999999999999998E-2"/>
    <n v="35.497382198952877"/>
    <x v="16"/>
    <x v="63"/>
    <x v="72"/>
    <n v="100"/>
    <x v="174"/>
    <n v="1.5973821989528787"/>
    <n v="0.33899999999999997"/>
    <n v="1"/>
    <x v="0"/>
    <x v="847"/>
    <x v="95"/>
    <s v="Clube Náutico Capibaribe vs Fortaleza EC"/>
  </r>
  <r>
    <s v="Atletico Ottawa vs FC Supra du Quebec / Correct Score"/>
    <s v="Fulltbet"/>
    <x v="2494"/>
    <n v="-150.04"/>
    <n v="4.4999999999999998E-2"/>
    <n v="-150.04"/>
    <x v="10"/>
    <x v="31"/>
    <x v="7"/>
    <n v="150.04"/>
    <x v="174"/>
    <n v="0"/>
    <n v="-1"/>
    <n v="0"/>
    <x v="0"/>
    <x v="781"/>
    <x v="819"/>
    <s v="Atletico Ottawa vs FC Supra du Quebec"/>
  </r>
  <r>
    <s v="Varbergs BoIS vs Norrby IF / Total 1.5"/>
    <s v="Fulltbet"/>
    <x v="2495"/>
    <n v="-117.48"/>
    <n v="4.4999999999999998E-2"/>
    <n v="-117.48"/>
    <x v="14"/>
    <x v="28"/>
    <x v="135"/>
    <n v="40"/>
    <x v="175"/>
    <n v="0"/>
    <n v="-2.9370000000000003"/>
    <n v="0"/>
    <x v="0"/>
    <x v="848"/>
    <x v="895"/>
    <s v="Varbergs BoIS vs Norrby IF"/>
  </r>
  <r>
    <s v="Varbergs BoIS vs Norrby IF / Match Odds"/>
    <s v="Fulltbet"/>
    <x v="2496"/>
    <n v="89.77"/>
    <n v="4.4999999999999998E-2"/>
    <n v="94"/>
    <x v="3"/>
    <x v="7"/>
    <x v="1"/>
    <n v="470"/>
    <x v="175"/>
    <n v="4.230000000000004"/>
    <n v="0.191"/>
    <n v="1"/>
    <x v="38"/>
    <x v="848"/>
    <x v="895"/>
    <s v="Varbergs BoIS vs Norrby IF"/>
  </r>
  <r>
    <s v="Portugal vs Nigeria / Both Teams To Score"/>
    <s v="Fulltbet"/>
    <x v="2497"/>
    <n v="4.3499999999999996"/>
    <n v="4.4999999999999998E-2"/>
    <n v="4.5549738219895284"/>
    <x v="10"/>
    <x v="59"/>
    <x v="102"/>
    <n v="5"/>
    <x v="175"/>
    <n v="0.20497382198952874"/>
    <n v="0.86999999999999988"/>
    <n v="1"/>
    <x v="0"/>
    <x v="849"/>
    <x v="896"/>
    <s v="Portugal vs Nigeria"/>
  </r>
  <r>
    <s v="Portugal vs Nigeria / Total 1.5"/>
    <s v="Fulltbet"/>
    <x v="2498"/>
    <n v="14.33"/>
    <n v="4.4999999999999998E-2"/>
    <n v="15.005235602094242"/>
    <x v="10"/>
    <x v="32"/>
    <x v="38"/>
    <n v="15"/>
    <x v="175"/>
    <n v="0.67523560209424183"/>
    <n v="0.95533333333333337"/>
    <n v="1"/>
    <x v="0"/>
    <x v="849"/>
    <x v="896"/>
    <s v="Portugal vs Nigeria"/>
  </r>
  <r>
    <s v="Málaga vs UD Las Palmas / Total 1.5"/>
    <s v="Fulltbet"/>
    <x v="2499"/>
    <n v="38.200000000000003"/>
    <n v="4.4999999999999998E-2"/>
    <n v="40.000000000000007"/>
    <x v="14"/>
    <x v="28"/>
    <x v="299"/>
    <n v="40"/>
    <x v="175"/>
    <n v="1.8000000000000043"/>
    <n v="0.95500000000000007"/>
    <n v="1"/>
    <x v="0"/>
    <x v="189"/>
    <x v="692"/>
    <s v="Málaga vs UD Las Palmas"/>
  </r>
  <r>
    <s v="Portugal vs Nigeria / Match Odds"/>
    <s v="Fulltbet"/>
    <x v="2500"/>
    <n v="7.77"/>
    <n v="4.4999999999999998E-2"/>
    <n v="8.1361256544502609"/>
    <x v="10"/>
    <x v="36"/>
    <x v="38"/>
    <n v="70"/>
    <x v="175"/>
    <n v="0.36612565445026135"/>
    <n v="0.11099999999999999"/>
    <n v="1"/>
    <x v="0"/>
    <x v="849"/>
    <x v="896"/>
    <s v="Portugal vs Nigeria"/>
  </r>
  <r>
    <s v="England vs Costa Rica / Total 1.5"/>
    <s v="Fulltbet"/>
    <x v="2501"/>
    <n v="-13.13"/>
    <n v="4.4999999999999998E-2"/>
    <n v="-13.13"/>
    <x v="10"/>
    <x v="32"/>
    <x v="14"/>
    <n v="15"/>
    <x v="175"/>
    <n v="0"/>
    <n v="-0.87533333333333341"/>
    <n v="0"/>
    <x v="0"/>
    <x v="850"/>
    <x v="897"/>
    <s v="England vs Costa Rica"/>
  </r>
  <r>
    <s v="Ceará SC vs Avaí FC / Correct Score"/>
    <s v="Fulltbet"/>
    <x v="2502"/>
    <n v="8.68"/>
    <n v="4.4999999999999998E-2"/>
    <n v="9.0890052356020945"/>
    <x v="18"/>
    <x v="67"/>
    <x v="2"/>
    <n v="99.99"/>
    <x v="175"/>
    <n v="0.40900523560209479"/>
    <n v="8.680868086808681E-2"/>
    <n v="1"/>
    <x v="0"/>
    <x v="630"/>
    <x v="778"/>
    <s v="Ceará SC vs Avaí FC"/>
  </r>
  <r>
    <s v="Sport Club do Recife vs Athletic Club MG / Total 0.5"/>
    <s v="Fulltbet"/>
    <x v="2503"/>
    <n v="38.200000000000003"/>
    <n v="4.4999999999999998E-2"/>
    <n v="40.000000000000007"/>
    <x v="14"/>
    <x v="19"/>
    <x v="216"/>
    <n v="40"/>
    <x v="175"/>
    <n v="1.8000000000000043"/>
    <n v="0.95500000000000007"/>
    <n v="1"/>
    <x v="0"/>
    <x v="809"/>
    <x v="718"/>
    <s v="Sport Club do Recife vs Athletic Club MG"/>
  </r>
  <r>
    <s v="Sport Club do Recife vs Athletic Club MG / Correct Score"/>
    <s v="Fulltbet"/>
    <x v="2504"/>
    <n v="37.722499999999997"/>
    <n v="4.4999999999999998E-2"/>
    <n v="39.5"/>
    <x v="19"/>
    <x v="5"/>
    <x v="12"/>
    <n v="454.3"/>
    <x v="175"/>
    <n v="1.7775000000000034"/>
    <n v="8.3034338542813113E-2"/>
    <n v="1"/>
    <x v="0"/>
    <x v="809"/>
    <x v="718"/>
    <s v="Sport Club do Recife vs Athletic Club MG"/>
  </r>
  <r>
    <s v="Sport Club do Recife vs Athletic Club MG / Correct Score"/>
    <s v="Fulltbet"/>
    <x v="2504"/>
    <n v="6.2839"/>
    <n v="4.4999999999999998E-2"/>
    <n v="6.58"/>
    <x v="10"/>
    <x v="61"/>
    <x v="19"/>
    <n v="48.69"/>
    <x v="175"/>
    <n v="0.29610000000000003"/>
    <n v="0.12905935510371741"/>
    <n v="1"/>
    <x v="0"/>
    <x v="809"/>
    <x v="718"/>
    <s v="Sport Club do Recife vs Athletic Club MG"/>
  </r>
  <r>
    <s v="Monterey Bay FC vs Sporting Club Jacksonville / Match Odds"/>
    <s v="Fulltbet"/>
    <x v="2505"/>
    <n v="2.98"/>
    <n v="4.4999999999999998E-2"/>
    <n v="3.1204188481675392"/>
    <x v="10"/>
    <x v="38"/>
    <x v="66"/>
    <n v="96.87"/>
    <x v="176"/>
    <n v="0.14041884816753925"/>
    <n v="3.0762878084030141E-2"/>
    <n v="1"/>
    <x v="0"/>
    <x v="851"/>
    <x v="677"/>
    <s v="Monterey Bay FC vs Sporting Club Jacksonville"/>
  </r>
  <r>
    <s v="Phoenix Rising FC vs Louisville City FC / Correct Score"/>
    <s v="Fulltbet"/>
    <x v="2506"/>
    <n v="6.63"/>
    <n v="4.4999999999999998E-2"/>
    <n v="6.9424083769633507"/>
    <x v="10"/>
    <x v="60"/>
    <x v="37"/>
    <n v="49.97"/>
    <x v="176"/>
    <n v="0.31240837696335078"/>
    <n v="0.13267960776465879"/>
    <n v="1"/>
    <x v="0"/>
    <x v="640"/>
    <x v="898"/>
    <s v="Phoenix Rising FC vs Louisville City FC"/>
  </r>
  <r>
    <s v="Tampere United vs OLS / Total 2.5"/>
    <s v="Fulltbet"/>
    <x v="2507"/>
    <n v="38.200000000000003"/>
    <n v="4.4999999999999998E-2"/>
    <n v="40.000000000000007"/>
    <x v="14"/>
    <x v="10"/>
    <x v="300"/>
    <n v="40"/>
    <x v="176"/>
    <n v="1.8000000000000043"/>
    <n v="0.95500000000000007"/>
    <n v="1"/>
    <x v="0"/>
    <x v="852"/>
    <x v="899"/>
    <s v="Tampere United vs OLS"/>
  </r>
  <r>
    <s v="Mexico vs South Africa / Total 1.5"/>
    <s v="Fulltbet"/>
    <x v="2508"/>
    <n v="38.200000000000003"/>
    <n v="4.4999999999999998E-2"/>
    <n v="40.000000000000007"/>
    <x v="14"/>
    <x v="28"/>
    <x v="301"/>
    <n v="40"/>
    <x v="176"/>
    <n v="1.8000000000000043"/>
    <n v="0.95500000000000007"/>
    <n v="1"/>
    <x v="0"/>
    <x v="813"/>
    <x v="900"/>
    <s v="Mexico vs South Africa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</r>
  <r>
    <s v="South Korea vs Czech Republic / Total 0.5"/>
    <s v="Fulltbet"/>
    <x v="2511"/>
    <n v="11.53"/>
    <n v="4.4999999999999998E-2"/>
    <n v="12.073298429319372"/>
    <x v="18"/>
    <x v="67"/>
    <x v="237"/>
    <n v="108.67"/>
    <x v="177"/>
    <n v="0.543298429319373"/>
    <n v="0.10610103984540351"/>
    <n v="1"/>
    <x v="0"/>
    <x v="853"/>
    <x v="901"/>
    <s v="South Korea vs Czech Republic"/>
  </r>
  <r>
    <s v="South Korea vs Czech Republic / Correct Score"/>
    <s v="Fulltbet"/>
    <x v="2512"/>
    <n v="31"/>
    <n v="4.4999999999999998E-2"/>
    <n v="32.460732984293195"/>
    <x v="16"/>
    <x v="64"/>
    <x v="72"/>
    <n v="100"/>
    <x v="177"/>
    <n v="1.4607329842931946"/>
    <n v="0.31"/>
    <n v="1"/>
    <x v="0"/>
    <x v="853"/>
    <x v="901"/>
    <s v="South Korea vs Czech Republic"/>
  </r>
  <r>
    <s v="FK Tukums 2000 vs BFC Daugavpils / Total 0.5"/>
    <s v="Fulltbet"/>
    <x v="2513"/>
    <n v="38.199999999999996"/>
    <n v="4.4999999999999998E-2"/>
    <n v="40"/>
    <x v="14"/>
    <x v="19"/>
    <x v="255"/>
    <n v="40"/>
    <x v="177"/>
    <n v="1.8000000000000043"/>
    <n v="0.95499999999999985"/>
    <n v="1"/>
    <x v="0"/>
    <x v="741"/>
    <x v="902"/>
    <s v="FK Tukums 2000 vs BFC Daugavpils"/>
  </r>
  <r>
    <s v="FK Tukums 2000 vs BFC Daugavpils / Total 0.5"/>
    <s v="Fulltbet"/>
    <x v="2513"/>
    <n v="9.1870999999999992"/>
    <n v="4.4999999999999998E-2"/>
    <n v="9.6199999999999992"/>
    <x v="18"/>
    <x v="67"/>
    <x v="234"/>
    <n v="120.2"/>
    <x v="177"/>
    <n v="0.43290000000000006"/>
    <n v="7.6431780366056565E-2"/>
    <n v="1"/>
    <x v="0"/>
    <x v="741"/>
    <x v="902"/>
    <s v="FK Tukums 2000 vs BFC Daugavpils"/>
  </r>
  <r>
    <s v="St. Patrick's Athletic vs Drogheda United / Total 1.5"/>
    <s v="Fulltbet"/>
    <x v="2514"/>
    <n v="38.200000000000003"/>
    <n v="4.4999999999999998E-2"/>
    <n v="40.000000000000007"/>
    <x v="14"/>
    <x v="28"/>
    <x v="255"/>
    <n v="40"/>
    <x v="177"/>
    <n v="1.8000000000000043"/>
    <n v="0.95500000000000007"/>
    <n v="1"/>
    <x v="0"/>
    <x v="613"/>
    <x v="573"/>
    <s v="St. Patrick's Athletic vs Drogheda United"/>
  </r>
  <r>
    <s v="Galway United vs Dundalk / Total 0.5"/>
    <s v="Fulltbet"/>
    <x v="2515"/>
    <n v="9.9224499999999995"/>
    <n v="4.4999999999999998E-2"/>
    <n v="10.39"/>
    <x v="18"/>
    <x v="67"/>
    <x v="234"/>
    <n v="129.82"/>
    <x v="177"/>
    <n v="0.46755000000000102"/>
    <n v="7.6432367894007092E-2"/>
    <n v="1"/>
    <x v="0"/>
    <x v="854"/>
    <x v="455"/>
    <s v="Galway United vs Dundalk"/>
  </r>
  <r>
    <s v="Galway United vs Dundalk / Total 0.5"/>
    <s v="Fulltbet"/>
    <x v="2515"/>
    <n v="1.0886999999999998"/>
    <n v="4.4999999999999998E-2"/>
    <n v="1.1399999999999999"/>
    <x v="10"/>
    <x v="49"/>
    <x v="237"/>
    <n v="10"/>
    <x v="177"/>
    <n v="5.1300000000000123E-2"/>
    <n v="0.10886999999999998"/>
    <n v="1"/>
    <x v="0"/>
    <x v="854"/>
    <x v="455"/>
    <s v="Galway United vs Dundalk"/>
  </r>
  <r>
    <s v="Galway United vs Dundalk / Total 0.5"/>
    <s v="Fulltbet"/>
    <x v="2515"/>
    <n v="38.199999999999996"/>
    <n v="4.4999999999999998E-2"/>
    <n v="40"/>
    <x v="14"/>
    <x v="19"/>
    <x v="255"/>
    <n v="40"/>
    <x v="177"/>
    <n v="1.8000000000000043"/>
    <n v="0.95499999999999985"/>
    <n v="1"/>
    <x v="0"/>
    <x v="854"/>
    <x v="455"/>
    <s v="Galway United vs Dundalk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</r>
  <r>
    <s v="Galway United vs Dundalk / Both Teams To Score"/>
    <s v="Fulltbet"/>
    <x v="2517"/>
    <n v="-5"/>
    <n v="4.4999999999999998E-2"/>
    <n v="-5"/>
    <x v="10"/>
    <x v="59"/>
    <x v="192"/>
    <n v="5"/>
    <x v="177"/>
    <n v="0"/>
    <n v="-1"/>
    <n v="0"/>
    <x v="0"/>
    <x v="854"/>
    <x v="455"/>
    <s v="Galway United vs Dundalk"/>
  </r>
  <r>
    <s v="Canada vs Bosnia-Herzegovina / Total 1.5"/>
    <s v="Fulltbet"/>
    <x v="2518"/>
    <n v="38.200000000000003"/>
    <n v="4.4999999999999998E-2"/>
    <n v="40.000000000000007"/>
    <x v="14"/>
    <x v="28"/>
    <x v="300"/>
    <n v="40"/>
    <x v="177"/>
    <n v="1.8000000000000043"/>
    <n v="0.95500000000000007"/>
    <n v="1"/>
    <x v="0"/>
    <x v="855"/>
    <x v="903"/>
    <s v="Canada vs Bosnia-Herzegovina"/>
  </r>
  <r>
    <s v="St. Patrick's Athletic vs Drogheda United / Correct Score"/>
    <s v="Fulltbet"/>
    <x v="2519"/>
    <n v="34.71"/>
    <n v="4.4999999999999998E-2"/>
    <n v="36.345549738219894"/>
    <x v="16"/>
    <x v="64"/>
    <x v="72"/>
    <n v="100"/>
    <x v="177"/>
    <n v="1.6355497382198934"/>
    <n v="0.34710000000000002"/>
    <n v="1"/>
    <x v="0"/>
    <x v="613"/>
    <x v="573"/>
    <s v="St. Patrick's Athletic vs Drogheda United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</r>
  <r>
    <s v="Atlético Goianiense vs CRB / Both Teams To Score"/>
    <s v="Fulltbet"/>
    <x v="2521"/>
    <n v="4.63"/>
    <n v="4.4999999999999998E-2"/>
    <n v="4.848167539267016"/>
    <x v="10"/>
    <x v="59"/>
    <x v="62"/>
    <n v="5"/>
    <x v="177"/>
    <n v="0.21816753926701615"/>
    <n v="0.92599999999999993"/>
    <n v="1"/>
    <x v="0"/>
    <x v="783"/>
    <x v="904"/>
    <s v="Atlético Goianiense vs CRB"/>
  </r>
  <r>
    <s v="USA vs Paraguay / Total 0.5"/>
    <s v="Fulltbet"/>
    <x v="2522"/>
    <n v="15.94"/>
    <n v="4.4999999999999998E-2"/>
    <n v="16.691099476439792"/>
    <x v="18"/>
    <x v="67"/>
    <x v="285"/>
    <n v="140.21"/>
    <x v="177"/>
    <n v="0.75109947643979247"/>
    <n v="0.11368661293773624"/>
    <n v="1"/>
    <x v="0"/>
    <x v="835"/>
    <x v="905"/>
    <s v="USA vs Paraguay"/>
  </r>
  <r>
    <s v="USA vs Paraguay / Correct Score"/>
    <s v="Fulltbet"/>
    <x v="2523"/>
    <n v="36.39"/>
    <n v="4.4999999999999998E-2"/>
    <n v="38.104712041884817"/>
    <x v="15"/>
    <x v="5"/>
    <x v="23"/>
    <n v="400.05"/>
    <x v="178"/>
    <n v="1.7147120418848161"/>
    <n v="9.0963629546306712E-2"/>
    <n v="1"/>
    <x v="0"/>
    <x v="835"/>
    <x v="905"/>
    <s v="USA vs Paraguay"/>
  </r>
  <r>
    <s v="Ilves vs TPS / Correct Score"/>
    <s v="Fulltbet"/>
    <x v="2524"/>
    <n v="5.97"/>
    <n v="4.4999999999999998E-2"/>
    <n v="6.2513089005235605"/>
    <x v="10"/>
    <x v="61"/>
    <x v="42"/>
    <n v="48.75"/>
    <x v="178"/>
    <n v="0.28130890052356072"/>
    <n v="0.12246153846153846"/>
    <n v="1"/>
    <x v="0"/>
    <x v="600"/>
    <x v="763"/>
    <s v="Ilves vs TPS"/>
  </r>
  <r>
    <s v="FC Inter Turku vs AC Oulu / Correct Score"/>
    <s v="Fulltbet"/>
    <x v="2525"/>
    <n v="26.15"/>
    <n v="4.4999999999999998E-2"/>
    <n v="27.38219895287958"/>
    <x v="19"/>
    <x v="5"/>
    <x v="10"/>
    <n v="438.08"/>
    <x v="178"/>
    <n v="1.2321989528795818"/>
    <n v="5.9692293644996348E-2"/>
    <n v="1"/>
    <x v="0"/>
    <x v="856"/>
    <x v="643"/>
    <s v="FC Inter Turku vs AC Oulu"/>
  </r>
  <r>
    <s v="Leiknir Reykjavík vs IF Vestri / Total 0.5"/>
    <s v="Fulltbet"/>
    <x v="2526"/>
    <n v="38.200000000000003"/>
    <n v="4.4999999999999998E-2"/>
    <n v="40.000000000000007"/>
    <x v="14"/>
    <x v="19"/>
    <x v="255"/>
    <n v="40"/>
    <x v="178"/>
    <n v="1.8000000000000043"/>
    <n v="0.95500000000000007"/>
    <n v="1"/>
    <x v="0"/>
    <x v="857"/>
    <x v="906"/>
    <s v="Leiknir Reykjavík vs IF Vestri"/>
  </r>
  <r>
    <s v="FK Auda vs FS Jelgava / Correct Score"/>
    <s v="Fulltbet"/>
    <x v="2527"/>
    <n v="28.65"/>
    <n v="4.4999999999999998E-2"/>
    <n v="30"/>
    <x v="19"/>
    <x v="5"/>
    <x v="34"/>
    <n v="450"/>
    <x v="178"/>
    <n v="1.3500000000000014"/>
    <n v="6.3666666666666663E-2"/>
    <n v="1"/>
    <x v="0"/>
    <x v="858"/>
    <x v="907"/>
    <s v="FK Auda vs FS Jelgava"/>
  </r>
  <r>
    <s v="Coquimbo Unido vs O'Higgins / Correct Score"/>
    <s v="Fulltbet"/>
    <x v="2528"/>
    <n v="0.27"/>
    <n v="4.4999999999999998E-2"/>
    <n v="0.28272251308900526"/>
    <x v="16"/>
    <x v="64"/>
    <x v="72"/>
    <n v="100"/>
    <x v="178"/>
    <n v="1.2722513089005238E-2"/>
    <n v="2.7000000000000001E-3"/>
    <n v="1"/>
    <x v="0"/>
    <x v="698"/>
    <x v="849"/>
    <s v="Coquimbo Unido vs O'Higgins"/>
  </r>
  <r>
    <s v="Coquimbo Unido vs O'Higgins / Match Odds"/>
    <s v="Fulltbet"/>
    <x v="2529"/>
    <n v="8.17"/>
    <n v="4.4999999999999998E-2"/>
    <n v="8.5549738219895293"/>
    <x v="20"/>
    <x v="69"/>
    <x v="302"/>
    <n v="50.010000000000005"/>
    <x v="178"/>
    <n v="0.38497382198952934"/>
    <n v="0.16336732653469305"/>
    <n v="1"/>
    <x v="0"/>
    <x v="698"/>
    <x v="849"/>
    <s v="Coquimbo Unido vs O'Higgins"/>
  </r>
  <r>
    <s v="Coquimbo Unido vs O'Higgins / Total 0.5"/>
    <s v="Fulltbet"/>
    <x v="2530"/>
    <n v="-156.9"/>
    <n v="4.4999999999999998E-2"/>
    <n v="-156.9"/>
    <x v="18"/>
    <x v="67"/>
    <x v="234"/>
    <n v="156.9"/>
    <x v="178"/>
    <n v="0"/>
    <n v="-1"/>
    <n v="0"/>
    <x v="0"/>
    <x v="698"/>
    <x v="849"/>
    <s v="Coquimbo Unido vs O'Higgins"/>
  </r>
  <r>
    <s v="Coquimbo Unido vs O'Higgins / Total 0.5"/>
    <s v="Fulltbet"/>
    <x v="2530"/>
    <n v="-2"/>
    <n v="4.4999999999999998E-2"/>
    <n v="-2"/>
    <x v="10"/>
    <x v="40"/>
    <x v="125"/>
    <n v="2"/>
    <x v="178"/>
    <n v="0"/>
    <n v="-1"/>
    <n v="0"/>
    <x v="0"/>
    <x v="698"/>
    <x v="849"/>
    <s v="Coquimbo Unido vs O'Higgins"/>
  </r>
  <r>
    <s v="Qatar vs Switzerland / Total 1.5"/>
    <s v="Fulltbet"/>
    <x v="2531"/>
    <n v="38.200000000000003"/>
    <n v="4.4999999999999998E-2"/>
    <n v="40.000000000000007"/>
    <x v="14"/>
    <x v="28"/>
    <x v="259"/>
    <n v="40"/>
    <x v="178"/>
    <n v="1.8000000000000043"/>
    <n v="0.95500000000000007"/>
    <n v="1"/>
    <x v="0"/>
    <x v="859"/>
    <x v="908"/>
    <s v="Qatar vs Switzerland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</r>
  <r>
    <s v="Birmingham Legion FC vs Las Vegas Lights / Total 1.5"/>
    <s v="Fulltbet"/>
    <x v="2534"/>
    <n v="-1.81"/>
    <n v="4.4999999999999998E-2"/>
    <n v="-1.81"/>
    <x v="10"/>
    <x v="50"/>
    <x v="303"/>
    <n v="1.81"/>
    <x v="178"/>
    <n v="0"/>
    <n v="-1"/>
    <n v="0"/>
    <x v="0"/>
    <x v="861"/>
    <x v="910"/>
    <s v="Birmingham Legion FC vs Las Vegas Lights"/>
  </r>
  <r>
    <s v="Tampa Bay Rowdies vs Hartford Athletic FC / Total 1.5"/>
    <s v="Fulltbet"/>
    <x v="2535"/>
    <n v="-23.55"/>
    <n v="4.4999999999999998E-2"/>
    <n v="-23.55"/>
    <x v="10"/>
    <x v="32"/>
    <x v="31"/>
    <n v="15"/>
    <x v="178"/>
    <n v="0"/>
    <n v="-1.57"/>
    <n v="0"/>
    <x v="0"/>
    <x v="862"/>
    <x v="911"/>
    <s v="Tampa Bay Rowdies vs Hartford Athletic FC"/>
  </r>
  <r>
    <s v="Tampa Bay Rowdies vs Hartford Athletic FC / Total 1.5"/>
    <s v="Fulltbet"/>
    <x v="2535"/>
    <n v="6.07"/>
    <n v="0"/>
    <n v="6.07"/>
    <x v="10"/>
    <x v="50"/>
    <x v="261"/>
    <n v="2"/>
    <x v="178"/>
    <n v="0"/>
    <n v="3.0350000000000001"/>
    <n v="1"/>
    <x v="0"/>
    <x v="862"/>
    <x v="911"/>
    <s v="Tampa Bay Rowdies vs Hartford Athletic FC"/>
  </r>
  <r>
    <s v="Tampa Bay Rowdies vs Hartford Athletic FC / Total 2.5"/>
    <s v="Fulltbet"/>
    <x v="2535"/>
    <n v="-2"/>
    <n v="4.4999999999999998E-2"/>
    <n v="-2"/>
    <x v="10"/>
    <x v="70"/>
    <x v="222"/>
    <n v="2"/>
    <x v="178"/>
    <n v="0"/>
    <n v="-1"/>
    <n v="0"/>
    <x v="0"/>
    <x v="862"/>
    <x v="911"/>
    <s v="Tampa Bay Rowdies vs Hartford Athletic FC"/>
  </r>
  <r>
    <s v="Colorado Springs Switchbacks FC vs Sacramento Republic / Correct Score"/>
    <s v="Fulltbet"/>
    <x v="2536"/>
    <n v="-52.36"/>
    <n v="4.4999999999999998E-2"/>
    <n v="-52.36"/>
    <x v="10"/>
    <x v="61"/>
    <x v="89"/>
    <n v="52.36"/>
    <x v="178"/>
    <n v="0"/>
    <n v="-1"/>
    <n v="0"/>
    <x v="0"/>
    <x v="614"/>
    <x v="912"/>
    <s v="Colorado Springs Switchbacks FC vs Sacramento Republic"/>
  </r>
  <r>
    <s v="Haiti vs Scotland / Correct Score"/>
    <s v="Fulltbet"/>
    <x v="2537"/>
    <n v="19.809999999999999"/>
    <n v="4.4999999999999998E-2"/>
    <n v="20.743455497382197"/>
    <x v="15"/>
    <x v="6"/>
    <x v="304"/>
    <n v="494.92"/>
    <x v="179"/>
    <n v="0.93345549738219802"/>
    <n v="4.0026670977127615E-2"/>
    <n v="1"/>
    <x v="0"/>
    <x v="832"/>
    <x v="913"/>
    <s v="Haiti vs Scotland"/>
  </r>
  <r>
    <s v="Haiti vs Scotland / Match Odds"/>
    <s v="Fulltbet"/>
    <x v="2538"/>
    <n v="68.22"/>
    <n v="4.4999999999999998E-2"/>
    <n v="71.434554973821989"/>
    <x v="3"/>
    <x v="68"/>
    <x v="85"/>
    <n v="400.01"/>
    <x v="179"/>
    <n v="3.2145549738219898"/>
    <n v="0.17054573635659109"/>
    <n v="1"/>
    <x v="46"/>
    <x v="832"/>
    <x v="913"/>
    <s v="Haiti vs Scotland"/>
  </r>
  <r>
    <s v="Australia vs Turkey / Correct Score"/>
    <s v="Fulltbet"/>
    <x v="2539"/>
    <n v="30.74"/>
    <n v="4.4999999999999998E-2"/>
    <n v="32.188481675392673"/>
    <x v="15"/>
    <x v="6"/>
    <x v="10"/>
    <n v="515.04"/>
    <x v="179"/>
    <n v="1.4484816753926744"/>
    <n v="5.9684684684684686E-2"/>
    <n v="1"/>
    <x v="0"/>
    <x v="863"/>
    <x v="914"/>
    <s v="Australia vs Turkey"/>
  </r>
  <r>
    <s v="Norrby IF vs IK Oddevold / Both Teams To Score"/>
    <s v="Fulltbet"/>
    <x v="2540"/>
    <n v="-5"/>
    <n v="4.4999999999999998E-2"/>
    <n v="-5"/>
    <x v="10"/>
    <x v="59"/>
    <x v="74"/>
    <n v="5"/>
    <x v="179"/>
    <n v="0"/>
    <n v="-1"/>
    <n v="0"/>
    <x v="0"/>
    <x v="864"/>
    <x v="725"/>
    <s v="Norrby IF vs IK Oddevold"/>
  </r>
  <r>
    <s v="EC Juventude vs Atlética Ponte Preta / 1st Half Total 0.5"/>
    <s v="Fulltbet"/>
    <x v="2541"/>
    <n v="1.24"/>
    <n v="4.4999999999999998E-2"/>
    <n v="1.2984293193717278"/>
    <x v="10"/>
    <x v="43"/>
    <x v="61"/>
    <n v="2"/>
    <x v="179"/>
    <n v="5.8429319371727795E-2"/>
    <n v="0.62"/>
    <n v="1"/>
    <x v="0"/>
    <x v="865"/>
    <x v="422"/>
    <s v="EC Juventude vs Atlética Ponte Preta"/>
  </r>
  <r>
    <s v="Falkenbergs FF vs Örebro SK / Correct Score"/>
    <s v="Fulltbet"/>
    <x v="2542"/>
    <n v="84.89"/>
    <n v="4.4999999999999998E-2"/>
    <n v="88.890052356020945"/>
    <x v="19"/>
    <x v="5"/>
    <x v="127"/>
    <n v="400.01"/>
    <x v="179"/>
    <n v="4.0000523560209444"/>
    <n v="0.21221969450763731"/>
    <n v="1"/>
    <x v="0"/>
    <x v="866"/>
    <x v="782"/>
    <s v="Falkenbergs FF vs Örebro SK"/>
  </r>
  <r>
    <s v="Falkenbergs FF vs Örebro SK / Match Odds"/>
    <s v="Fulltbet"/>
    <x v="2543"/>
    <n v="42.65"/>
    <n v="4.4999999999999998E-2"/>
    <n v="44.659685863874344"/>
    <x v="20"/>
    <x v="71"/>
    <x v="305"/>
    <n v="98.98"/>
    <x v="179"/>
    <n v="2.0096858638743456"/>
    <n v="0.43089513032935944"/>
    <n v="1"/>
    <x v="0"/>
    <x v="866"/>
    <x v="782"/>
    <s v="Falkenbergs FF vs Örebro SK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</r>
  <r>
    <s v="Stabæk vs Egersund / Correct Score"/>
    <s v="Fulltbet"/>
    <x v="2545"/>
    <n v="-11.11"/>
    <n v="4.4999999999999998E-2"/>
    <n v="-11.11"/>
    <x v="17"/>
    <x v="66"/>
    <x v="13"/>
    <n v="111.1"/>
    <x v="179"/>
    <n v="0"/>
    <n v="-0.1"/>
    <n v="0"/>
    <x v="0"/>
    <x v="703"/>
    <x v="915"/>
    <s v="Stabæk vs Egersund"/>
  </r>
  <r>
    <s v="Stabæk vs Egersund / Match Odds"/>
    <s v="Fulltbet"/>
    <x v="2546"/>
    <n v="6.84"/>
    <n v="4.4999999999999998E-2"/>
    <n v="7.162303664921466"/>
    <x v="17"/>
    <x v="53"/>
    <x v="151"/>
    <n v="100"/>
    <x v="179"/>
    <n v="0.32230366492146612"/>
    <n v="6.8400000000000002E-2"/>
    <n v="1"/>
    <x v="0"/>
    <x v="703"/>
    <x v="915"/>
    <s v="Stabæk vs Egersund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</r>
  <r>
    <s v="Brusque FC vs Santa Cruz FC / Correct Score"/>
    <s v="Fulltbet"/>
    <x v="2549"/>
    <n v="-48.85"/>
    <n v="4.4999999999999998E-2"/>
    <n v="-48.85"/>
    <x v="10"/>
    <x v="61"/>
    <x v="3"/>
    <n v="48.85"/>
    <x v="179"/>
    <n v="0"/>
    <n v="-1"/>
    <n v="0"/>
    <x v="0"/>
    <x v="868"/>
    <x v="917"/>
    <s v="Brusque FC vs Santa Cruz FC"/>
  </r>
  <r>
    <s v="Þór Akureyri vs ÍB Vestmannaeyja / Total 3.5"/>
    <s v="Fulltbet"/>
    <x v="2550"/>
    <n v="38.200000000000003"/>
    <n v="4.4999999999999998E-2"/>
    <n v="40.000000000000007"/>
    <x v="14"/>
    <x v="17"/>
    <x v="160"/>
    <n v="40"/>
    <x v="179"/>
    <n v="1.8000000000000043"/>
    <n v="0.95500000000000007"/>
    <n v="1"/>
    <x v="0"/>
    <x v="869"/>
    <x v="918"/>
    <s v="Þór Akureyri vs ÍB Vestmannaeyja"/>
  </r>
  <r>
    <s v="Germany vs Curaçao / Match Odds"/>
    <s v="Fulltbet"/>
    <x v="2551"/>
    <n v="14.143549999999999"/>
    <n v="4.4999999999999998E-2"/>
    <n v="14.81"/>
    <x v="8"/>
    <x v="20"/>
    <x v="40"/>
    <n v="385.06"/>
    <x v="179"/>
    <n v="0.6664500000000011"/>
    <n v="3.6730769230769227E-2"/>
    <n v="1"/>
    <x v="46"/>
    <x v="819"/>
    <x v="919"/>
    <s v="Germany vs Curaçao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</r>
  <r>
    <s v="Universidad Católica vs Universidad de Concepción / 1st Half Total 0.5"/>
    <s v="Fulltbet"/>
    <x v="2552"/>
    <n v="1.24"/>
    <n v="4.4999999999999998E-2"/>
    <n v="1.2984293193717278"/>
    <x v="10"/>
    <x v="43"/>
    <x v="61"/>
    <n v="2"/>
    <x v="179"/>
    <n v="5.8429319371727795E-2"/>
    <n v="0.62"/>
    <n v="1"/>
    <x v="0"/>
    <x v="483"/>
    <x v="768"/>
    <s v="Universidad Católica vs Universidad de Concepción"/>
  </r>
  <r>
    <s v="Universidad Católica vs Universidad de Concepción / Total 1.5"/>
    <s v="Fulltbet"/>
    <x v="2553"/>
    <n v="14.33"/>
    <n v="4.4999999999999998E-2"/>
    <n v="15.005235602094242"/>
    <x v="10"/>
    <x v="32"/>
    <x v="41"/>
    <n v="15"/>
    <x v="179"/>
    <n v="0.67523560209424183"/>
    <n v="0.95533333333333337"/>
    <n v="1"/>
    <x v="0"/>
    <x v="483"/>
    <x v="768"/>
    <s v="Universidad Católica vs Universidad de Concepción"/>
  </r>
  <r>
    <s v="Gremio Novorizontino vs Clube Náutico Capibaribe / Total 0.5"/>
    <s v="Fulltbet"/>
    <x v="2554"/>
    <n v="12.54"/>
    <n v="4.4999999999999998E-2"/>
    <n v="13.130890052356021"/>
    <x v="18"/>
    <x v="67"/>
    <x v="307"/>
    <n v="100"/>
    <x v="179"/>
    <n v="0.59089005235602166"/>
    <n v="0.12539999999999998"/>
    <n v="1"/>
    <x v="0"/>
    <x v="751"/>
    <x v="861"/>
    <s v="Gremio Novorizontino vs Clube Náutico Capibaribe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</r>
  <r>
    <s v="Universidad Católica vs Universidad de Concepción / Match Odds"/>
    <s v="Fulltbet"/>
    <x v="2555"/>
    <n v="7.9551499999999997"/>
    <n v="4.4999999999999998E-2"/>
    <n v="8.33"/>
    <x v="10"/>
    <x v="36"/>
    <x v="33"/>
    <n v="68.31"/>
    <x v="179"/>
    <n v="0.37485000000000035"/>
    <n v="0.1164565949348558"/>
    <n v="1"/>
    <x v="0"/>
    <x v="483"/>
    <x v="768"/>
    <s v="Universidad Católica vs Universidad de Concepción"/>
  </r>
  <r>
    <s v="Gremio Novorizontino vs Clube Náutico Capibaribe / Match Odds"/>
    <s v="Fulltbet"/>
    <x v="2556"/>
    <n v="44.03"/>
    <n v="4.4999999999999998E-2"/>
    <n v="46.104712041884817"/>
    <x v="20"/>
    <x v="71"/>
    <x v="308"/>
    <n v="100"/>
    <x v="179"/>
    <n v="2.0747120418848155"/>
    <n v="0.44030000000000002"/>
    <n v="1"/>
    <x v="0"/>
    <x v="751"/>
    <x v="861"/>
    <s v="Gremio Novorizontino vs Clube Náutico Capibaribe"/>
  </r>
  <r>
    <s v="Ivory Coast vs Ecuador / Total 1.5"/>
    <s v="Fulltbet"/>
    <x v="2557"/>
    <n v="-65.599999999999994"/>
    <n v="4.4999999999999998E-2"/>
    <n v="-65.599999999999994"/>
    <x v="14"/>
    <x v="28"/>
    <x v="265"/>
    <n v="40"/>
    <x v="179"/>
    <n v="0"/>
    <n v="-1.64"/>
    <n v="0"/>
    <x v="0"/>
    <x v="226"/>
    <x v="920"/>
    <s v="Ivory Coast vs Ecuador"/>
  </r>
  <r>
    <s v="Sweden vs Tunisia / Total 3.5"/>
    <s v="Fulltbet"/>
    <x v="2558"/>
    <n v="38.200000000000003"/>
    <n v="4.4999999999999998E-2"/>
    <n v="40.000000000000007"/>
    <x v="14"/>
    <x v="17"/>
    <x v="301"/>
    <n v="40"/>
    <x v="180"/>
    <n v="1.8000000000000043"/>
    <n v="0.95500000000000007"/>
    <n v="1"/>
    <x v="0"/>
    <x v="828"/>
    <x v="883"/>
    <s v="Sweden vs Tunisia"/>
  </r>
  <r>
    <s v="Sweden vs Tunisia / Correct Score"/>
    <s v="Fulltbet"/>
    <x v="2559"/>
    <n v="30.56"/>
    <n v="4.4999999999999998E-2"/>
    <n v="32"/>
    <x v="15"/>
    <x v="5"/>
    <x v="16"/>
    <n v="400"/>
    <x v="180"/>
    <n v="1.4400000000000013"/>
    <n v="7.6399999999999996E-2"/>
    <n v="1"/>
    <x v="0"/>
    <x v="828"/>
    <x v="883"/>
    <s v="Sweden vs Tunisia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</r>
  <r>
    <s v="Spain vs Cape Verde / Total 2.5"/>
    <s v="Fulltbet"/>
    <x v="2561"/>
    <n v="-120"/>
    <n v="4.4999999999999998E-2"/>
    <n v="-120"/>
    <x v="14"/>
    <x v="10"/>
    <x v="310"/>
    <n v="40"/>
    <x v="180"/>
    <n v="0"/>
    <n v="-3"/>
    <n v="0"/>
    <x v="0"/>
    <x v="870"/>
    <x v="921"/>
    <s v="Spain vs Cape Verde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</r>
  <r>
    <s v="Spain vs Cape Verde / Match Odds"/>
    <s v="Fulltbet"/>
    <x v="2562"/>
    <n v="-400.01"/>
    <n v="4.4999999999999998E-2"/>
    <n v="-400.01"/>
    <x v="8"/>
    <x v="20"/>
    <x v="30"/>
    <n v="400.01"/>
    <x v="180"/>
    <n v="0"/>
    <n v="-1"/>
    <n v="0"/>
    <x v="46"/>
    <x v="870"/>
    <x v="921"/>
    <s v="Spain vs Cape Verde"/>
  </r>
  <r>
    <s v="IFK Norrköping vs Varbergs BoIS / Total 1.5"/>
    <s v="Fulltbet"/>
    <x v="2563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556"/>
    <x v="785"/>
    <s v="IFK Norrköping vs Varbergs BoIS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</r>
  <r>
    <s v="GIF Sundsvall vs Östers IF / Both Teams To Score"/>
    <s v="Fulltbet"/>
    <x v="2565"/>
    <n v="-5"/>
    <n v="4.4999999999999998E-2"/>
    <n v="-5"/>
    <x v="10"/>
    <x v="59"/>
    <x v="87"/>
    <n v="5"/>
    <x v="180"/>
    <n v="0"/>
    <n v="-1"/>
    <n v="0"/>
    <x v="0"/>
    <x v="800"/>
    <x v="842"/>
    <s v="GIF Sundsvall vs Östers IF"/>
  </r>
  <r>
    <s v="Belgium vs Egypt / Total 1.5"/>
    <s v="Fulltbet"/>
    <x v="2566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833"/>
    <x v="922"/>
    <s v="Belgium vs Egypt"/>
  </r>
  <r>
    <s v="Belgium vs Egypt / Correct Score"/>
    <s v="Fulltbet"/>
    <x v="2567"/>
    <n v="35.7361"/>
    <n v="4.4999999999999998E-2"/>
    <n v="37.42"/>
    <x v="16"/>
    <x v="63"/>
    <x v="72"/>
    <n v="100"/>
    <x v="180"/>
    <n v="1.6839000000000013"/>
    <n v="0.35736099999999998"/>
    <n v="1"/>
    <x v="0"/>
    <x v="833"/>
    <x v="922"/>
    <s v="Belgium vs Egypt"/>
  </r>
  <r>
    <s v="Belgium vs Egypt / Correct Score"/>
    <s v="Fulltbet"/>
    <x v="2567"/>
    <n v="24.409799999999997"/>
    <n v="4.4999999999999998E-2"/>
    <n v="25.56"/>
    <x v="15"/>
    <x v="5"/>
    <x v="21"/>
    <n v="460.08"/>
    <x v="180"/>
    <n v="1.1502000000000017"/>
    <n v="5.305555555555555E-2"/>
    <n v="1"/>
    <x v="0"/>
    <x v="833"/>
    <x v="922"/>
    <s v="Belgium vs Egypt"/>
  </r>
  <r>
    <s v="Belgium vs Egypt / Total 2.5"/>
    <s v="Fulltbet"/>
    <x v="2568"/>
    <n v="0"/>
    <n v="4.4999999999999998E-2"/>
    <n v="0"/>
    <x v="21"/>
    <x v="0"/>
    <x v="101"/>
    <n v="50"/>
    <x v="180"/>
    <n v="0"/>
    <n v="0"/>
    <n v="0"/>
    <x v="0"/>
    <x v="833"/>
    <x v="922"/>
    <s v="Belgium vs Egypt"/>
  </r>
  <r>
    <s v="Belgium vs Egypt / Match Odds"/>
    <s v="Fulltbet"/>
    <x v="2569"/>
    <n v="68.22"/>
    <n v="4.4999999999999998E-2"/>
    <n v="71.434554973821989"/>
    <x v="3"/>
    <x v="68"/>
    <x v="85"/>
    <n v="400.01"/>
    <x v="180"/>
    <n v="3.2145549738219898"/>
    <n v="0.17054573635659109"/>
    <n v="1"/>
    <x v="46"/>
    <x v="833"/>
    <x v="922"/>
    <s v="Belgium vs Egypt"/>
  </r>
  <r>
    <s v="Saudi Arabia vs Uruguay / Total 1.5"/>
    <s v="Fulltbet"/>
    <x v="2570"/>
    <n v="38.200000000000003"/>
    <n v="4.4999999999999998E-2"/>
    <n v="40.000000000000007"/>
    <x v="14"/>
    <x v="28"/>
    <x v="182"/>
    <n v="40"/>
    <x v="180"/>
    <n v="1.8000000000000043"/>
    <n v="0.95500000000000007"/>
    <n v="1"/>
    <x v="0"/>
    <x v="871"/>
    <x v="923"/>
    <s v="Saudi Arabia vs Uruguay"/>
  </r>
  <r>
    <s v="Criciúma EC vs Ceará SC / Match Odds"/>
    <s v="Fulltbet"/>
    <x v="2571"/>
    <n v="8.42"/>
    <n v="4.4999999999999998E-2"/>
    <n v="8.8167539267015709"/>
    <x v="20"/>
    <x v="71"/>
    <x v="135"/>
    <n v="50"/>
    <x v="180"/>
    <n v="0.39675392670157095"/>
    <n v="0.16839999999999999"/>
    <n v="1"/>
    <x v="0"/>
    <x v="724"/>
    <x v="924"/>
    <s v="Criciúma EC vs Ceará SC"/>
  </r>
  <r>
    <s v="Iran vs New Zealand / Total 2.5"/>
    <s v="Fulltbet"/>
    <x v="2572"/>
    <n v="38.200000000000003"/>
    <n v="4.4999999999999998E-2"/>
    <n v="40.000000000000007"/>
    <x v="14"/>
    <x v="10"/>
    <x v="310"/>
    <n v="40"/>
    <x v="180"/>
    <n v="1.8000000000000043"/>
    <n v="0.95500000000000007"/>
    <n v="1"/>
    <x v="0"/>
    <x v="872"/>
    <x v="925"/>
    <s v="Iran vs New Zealand"/>
  </r>
  <r>
    <s v="Iran vs New Zealand / Correct Score"/>
    <s v="Fulltbet"/>
    <x v="2573"/>
    <n v="38.6"/>
    <n v="4.4999999999999998E-2"/>
    <n v="40.418848167539274"/>
    <x v="15"/>
    <x v="5"/>
    <x v="5"/>
    <n v="485.04"/>
    <x v="181"/>
    <n v="1.8188481675392723"/>
    <n v="7.9581065479135737E-2"/>
    <n v="1"/>
    <x v="0"/>
    <x v="872"/>
    <x v="925"/>
    <s v="Iran vs New Zealand"/>
  </r>
  <r>
    <s v="BFC Daugavpils vs SK Super Nova / Total 0.5"/>
    <s v="Fulltbet"/>
    <x v="2574"/>
    <n v="-120"/>
    <n v="4.4999999999999998E-2"/>
    <n v="-120"/>
    <x v="14"/>
    <x v="19"/>
    <x v="310"/>
    <n v="40"/>
    <x v="181"/>
    <n v="0"/>
    <n v="-3"/>
    <n v="0"/>
    <x v="0"/>
    <x v="873"/>
    <x v="926"/>
    <s v="BFC Daugavpils vs SK Super Nova"/>
  </r>
  <r>
    <s v="Pärnu JK Vaprus vs Tallinna FC Flora / Total 2.5"/>
    <s v="Fulltbet"/>
    <x v="2575"/>
    <n v="38.200000000000003"/>
    <n v="4.4999999999999998E-2"/>
    <n v="40.000000000000007"/>
    <x v="14"/>
    <x v="10"/>
    <x v="240"/>
    <n v="40"/>
    <x v="181"/>
    <n v="1.8000000000000043"/>
    <n v="0.95500000000000007"/>
    <n v="1"/>
    <x v="0"/>
    <x v="874"/>
    <x v="927"/>
    <s v="Pärnu JK Vaprus vs Tallinna FC Flora"/>
  </r>
  <r>
    <s v="FC Kuressaare vs Narva Trans / Total 0.5"/>
    <s v="Fulltbet"/>
    <x v="2576"/>
    <n v="-112.5"/>
    <n v="4.4999999999999998E-2"/>
    <n v="-112.5"/>
    <x v="18"/>
    <x v="67"/>
    <x v="234"/>
    <n v="112.5"/>
    <x v="181"/>
    <n v="0"/>
    <n v="-1"/>
    <n v="0"/>
    <x v="0"/>
    <x v="742"/>
    <x v="928"/>
    <s v="FC Kuressaare vs Narva Trans"/>
  </r>
  <r>
    <s v="FC Kuressaare vs Narva Trans / Total 0.5"/>
    <s v="Fulltbet"/>
    <x v="2576"/>
    <n v="-120"/>
    <n v="4.4999999999999998E-2"/>
    <n v="-120"/>
    <x v="14"/>
    <x v="19"/>
    <x v="310"/>
    <n v="40"/>
    <x v="181"/>
    <n v="0"/>
    <n v="-3"/>
    <n v="0"/>
    <x v="0"/>
    <x v="742"/>
    <x v="928"/>
    <s v="FC Kuressaare vs Narva Trans"/>
  </r>
  <r>
    <s v="FK Grobinas vs FK Liepaja / Total 1.5"/>
    <s v="Fulltbet"/>
    <x v="2577"/>
    <n v="-120"/>
    <n v="4.4999999999999998E-2"/>
    <n v="-120"/>
    <x v="14"/>
    <x v="28"/>
    <x v="310"/>
    <n v="40"/>
    <x v="181"/>
    <n v="0"/>
    <n v="-3"/>
    <n v="0"/>
    <x v="0"/>
    <x v="875"/>
    <x v="929"/>
    <s v="FK Grobinas vs FK Liepaja"/>
  </r>
  <r>
    <s v="IFK Värnamo vs Helsingborgs IF / Total 1.5"/>
    <s v="Fulltbet"/>
    <x v="2578"/>
    <n v="-120"/>
    <n v="4.4999999999999998E-2"/>
    <n v="-120"/>
    <x v="14"/>
    <x v="28"/>
    <x v="310"/>
    <n v="40"/>
    <x v="181"/>
    <n v="0"/>
    <n v="-3"/>
    <n v="0"/>
    <x v="0"/>
    <x v="876"/>
    <x v="930"/>
    <s v="IFK Värnamo vs Helsingborgs IF"/>
  </r>
  <r>
    <s v="Landskrona BoIS vs United IK Nordic / Total 2.5"/>
    <s v="Fulltbet"/>
    <x v="2579"/>
    <n v="-120"/>
    <n v="4.4999999999999998E-2"/>
    <n v="-120"/>
    <x v="14"/>
    <x v="10"/>
    <x v="310"/>
    <n v="40"/>
    <x v="181"/>
    <n v="0"/>
    <n v="-3"/>
    <n v="0"/>
    <x v="0"/>
    <x v="877"/>
    <x v="931"/>
    <s v="Landskrona BoIS vs United IK Nordic"/>
  </r>
  <r>
    <s v="France vs Senegal / Half-time Result"/>
    <s v="Betbra"/>
    <x v="2580"/>
    <n v="-8"/>
    <n v="4.4999999999999998E-2"/>
    <n v="-8"/>
    <x v="22"/>
    <x v="72"/>
    <x v="81"/>
    <n v="8"/>
    <x v="181"/>
    <n v="0"/>
    <n v="-1"/>
    <n v="0"/>
    <x v="0"/>
    <x v="878"/>
    <x v="932"/>
    <s v="France vs Senegal"/>
  </r>
  <r>
    <s v="Víkingur vs KR Reykjavik / Half-time Result"/>
    <s v="Fulltbet"/>
    <x v="2581"/>
    <n v="-12"/>
    <n v="4.4999999999999998E-2"/>
    <n v="-12"/>
    <x v="22"/>
    <x v="72"/>
    <x v="126"/>
    <n v="12"/>
    <x v="181"/>
    <n v="0"/>
    <n v="-1"/>
    <n v="0"/>
    <x v="0"/>
    <x v="761"/>
    <x v="933"/>
    <s v="Víkingur vs KR Reykjavik"/>
  </r>
  <r>
    <s v="France vs Senegal / Total 0.5"/>
    <s v="Fulltbet"/>
    <x v="2582"/>
    <n v="38.200000000000003"/>
    <n v="4.4999999999999998E-2"/>
    <n v="40.000000000000007"/>
    <x v="14"/>
    <x v="19"/>
    <x v="310"/>
    <n v="40"/>
    <x v="181"/>
    <n v="1.8000000000000043"/>
    <n v="0.95500000000000007"/>
    <n v="1"/>
    <x v="0"/>
    <x v="878"/>
    <x v="932"/>
    <s v="France vs Senegal"/>
  </r>
  <r>
    <s v="Víkingur vs KR Reykjavik / Total 1.5"/>
    <s v="Fulltbet"/>
    <x v="2583"/>
    <n v="38.08"/>
    <n v="4.4999999999999998E-2"/>
    <n v="39.874345549738223"/>
    <x v="14"/>
    <x v="28"/>
    <x v="310"/>
    <n v="39.880000000000003"/>
    <x v="181"/>
    <n v="1.7943455497382246"/>
    <n v="0.95486459378134392"/>
    <n v="1"/>
    <x v="0"/>
    <x v="761"/>
    <x v="933"/>
    <s v="Víkingur vs KR Reykjavik"/>
  </r>
  <r>
    <s v="France vs Senegal / Correct Score"/>
    <s v="Fulltbet"/>
    <x v="2584"/>
    <n v="21.391999999999999"/>
    <n v="4.4999999999999998E-2"/>
    <n v="22.400000000000002"/>
    <x v="15"/>
    <x v="5"/>
    <x v="117"/>
    <n v="560"/>
    <x v="181"/>
    <n v="1.0080000000000027"/>
    <n v="3.8199999999999998E-2"/>
    <n v="1"/>
    <x v="46"/>
    <x v="878"/>
    <x v="932"/>
    <s v="France vs Senegal"/>
  </r>
  <r>
    <s v="France vs Senegal / Correct Score"/>
    <s v="Fulltbet"/>
    <x v="2584"/>
    <n v="32.135749999999994"/>
    <n v="4.4999999999999998E-2"/>
    <n v="33.65"/>
    <x v="16"/>
    <x v="63"/>
    <x v="72"/>
    <n v="100"/>
    <x v="181"/>
    <n v="1.5142500000000041"/>
    <n v="0.32135749999999996"/>
    <n v="1"/>
    <x v="0"/>
    <x v="878"/>
    <x v="932"/>
    <s v="France vs Senegal"/>
  </r>
  <r>
    <s v="France vs Senegal / Match Odds"/>
    <s v="Fulltbet"/>
    <x v="2585"/>
    <n v="53.16"/>
    <n v="4.4999999999999998E-2"/>
    <n v="55.664921465968582"/>
    <x v="3"/>
    <x v="68"/>
    <x v="44"/>
    <n v="401.45"/>
    <x v="181"/>
    <n v="2.5049214659685859"/>
    <n v="0.13241997758126789"/>
    <n v="1"/>
    <x v="46"/>
    <x v="878"/>
    <x v="932"/>
    <s v="France vs Senegal"/>
  </r>
  <r>
    <s v="France vs Senegal / Match Odds"/>
    <s v="Betbra"/>
    <x v="2585"/>
    <n v="-14.15"/>
    <n v="4.4999999999999998E-2"/>
    <n v="-14.15"/>
    <x v="22"/>
    <x v="73"/>
    <x v="236"/>
    <n v="50"/>
    <x v="181"/>
    <n v="0"/>
    <n v="-0.28300000000000003"/>
    <n v="0"/>
    <x v="0"/>
    <x v="878"/>
    <x v="932"/>
    <s v="France vs Senegal"/>
  </r>
  <r>
    <s v="Víkingur vs KR Reykjavik / Match Odds"/>
    <s v="Fulltbet"/>
    <x v="2586"/>
    <n v="4.63"/>
    <n v="4.4999999999999998E-2"/>
    <n v="4.848167539267016"/>
    <x v="22"/>
    <x v="73"/>
    <x v="47"/>
    <n v="50"/>
    <x v="181"/>
    <n v="0.21816753926701615"/>
    <n v="9.2600000000000002E-2"/>
    <n v="1"/>
    <x v="0"/>
    <x v="761"/>
    <x v="933"/>
    <s v="Víkingur vs KR Reykjavik"/>
  </r>
  <r>
    <s v="Iraq vs Norway / Total 3.5"/>
    <s v="Fulltbet"/>
    <x v="2587"/>
    <n v="38.200000000000003"/>
    <n v="4.4999999999999998E-2"/>
    <n v="40.000000000000007"/>
    <x v="14"/>
    <x v="17"/>
    <x v="148"/>
    <n v="40"/>
    <x v="181"/>
    <n v="1.8000000000000043"/>
    <n v="0.95500000000000007"/>
    <n v="1"/>
    <x v="0"/>
    <x v="879"/>
    <x v="887"/>
    <s v="Iraq vs Norway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</r>
  <r>
    <s v="Fortaleza EC vs América-MG / Total 2.5"/>
    <s v="Fulltbet"/>
    <x v="2589"/>
    <n v="1.53"/>
    <n v="4.4999999999999998E-2"/>
    <n v="1.6020942408376964"/>
    <x v="10"/>
    <x v="70"/>
    <x v="60"/>
    <n v="2"/>
    <x v="181"/>
    <n v="7.2094240837696333E-2"/>
    <n v="0.76500000000000001"/>
    <n v="1"/>
    <x v="0"/>
    <x v="771"/>
    <x v="489"/>
    <s v="Fortaleza EC vs América-MG"/>
  </r>
  <r>
    <s v="Fortaleza EC vs América-MG / Total 3.5"/>
    <s v="Fulltbet"/>
    <x v="2590"/>
    <n v="-100"/>
    <n v="4.4999999999999998E-2"/>
    <n v="-100"/>
    <x v="21"/>
    <x v="74"/>
    <x v="312"/>
    <n v="100"/>
    <x v="181"/>
    <n v="0"/>
    <n v="-1"/>
    <n v="0"/>
    <x v="0"/>
    <x v="771"/>
    <x v="489"/>
    <s v="Fortaleza EC vs América-MG"/>
  </r>
  <r>
    <s v="Fortaleza EC vs América-MG / Match Odds"/>
    <s v="Fulltbet"/>
    <x v="2591"/>
    <n v="-530"/>
    <n v="4.4999999999999998E-2"/>
    <n v="-530"/>
    <x v="3"/>
    <x v="7"/>
    <x v="121"/>
    <n v="530"/>
    <x v="181"/>
    <n v="0"/>
    <n v="-1"/>
    <n v="0"/>
    <x v="42"/>
    <x v="771"/>
    <x v="489"/>
    <s v="Fortaleza EC vs América-MG"/>
  </r>
  <r>
    <s v="Argentina vs Algeria / Total 1.5"/>
    <s v="Fulltbet"/>
    <x v="2592"/>
    <n v="38.200000000000003"/>
    <n v="4.4999999999999998E-2"/>
    <n v="40.000000000000007"/>
    <x v="14"/>
    <x v="28"/>
    <x v="240"/>
    <n v="40"/>
    <x v="181"/>
    <n v="1.8000000000000043"/>
    <n v="0.95500000000000007"/>
    <n v="1"/>
    <x v="0"/>
    <x v="836"/>
    <x v="934"/>
    <s v="Argentina vs Algeria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</r>
  <r>
    <s v="Austria vs Jordan / Correct Score"/>
    <s v="Fulltbet"/>
    <x v="2594"/>
    <n v="22.23"/>
    <n v="4.4999999999999998E-2"/>
    <n v="23.277486910994767"/>
    <x v="15"/>
    <x v="5"/>
    <x v="117"/>
    <n v="582"/>
    <x v="182"/>
    <n v="1.0474869109947669"/>
    <n v="3.8195876288659794E-2"/>
    <n v="1"/>
    <x v="46"/>
    <x v="880"/>
    <x v="889"/>
    <s v="Austria vs Jordan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</r>
  <r>
    <s v="Ilves vs FF Jaro / Match Odds"/>
    <s v="Fulltbet"/>
    <x v="2596"/>
    <n v="5.97"/>
    <n v="4.4999999999999998E-2"/>
    <n v="6.2513089005235605"/>
    <x v="20"/>
    <x v="69"/>
    <x v="228"/>
    <n v="49.98"/>
    <x v="182"/>
    <n v="0.28130890052356072"/>
    <n v="0.11944777911164466"/>
    <n v="1"/>
    <x v="0"/>
    <x v="600"/>
    <x v="572"/>
    <s v="Ilves vs FF Jaro"/>
  </r>
  <r>
    <s v="Riga FC vs Rigas Futbola Skola / Total 2.5"/>
    <s v="Fulltbet"/>
    <x v="2597"/>
    <n v="38.200000000000003"/>
    <n v="4.4999999999999998E-2"/>
    <n v="40.000000000000007"/>
    <x v="14"/>
    <x v="10"/>
    <x v="160"/>
    <n v="40"/>
    <x v="182"/>
    <n v="1.8000000000000043"/>
    <n v="0.95500000000000007"/>
    <n v="1"/>
    <x v="0"/>
    <x v="881"/>
    <x v="936"/>
    <s v="Riga FC vs Rigas Futbola Skola"/>
  </r>
  <r>
    <s v="Paide Linnameeskond vs Harju JK Laagri / Total 1.5"/>
    <s v="Fulltbet"/>
    <x v="2598"/>
    <n v="-111.35"/>
    <n v="4.4999999999999998E-2"/>
    <n v="-111.35"/>
    <x v="14"/>
    <x v="28"/>
    <x v="313"/>
    <n v="40"/>
    <x v="182"/>
    <n v="0"/>
    <n v="-2.7837499999999999"/>
    <n v="0"/>
    <x v="0"/>
    <x v="882"/>
    <x v="656"/>
    <s v="Paide Linnameeskond vs Harju JK Laagri"/>
  </r>
  <r>
    <s v="Portugal vs Congo DR / Total 2.5"/>
    <s v="Fulltbet"/>
    <x v="2599"/>
    <n v="-120"/>
    <n v="4.4999999999999998E-2"/>
    <n v="-120"/>
    <x v="14"/>
    <x v="10"/>
    <x v="310"/>
    <n v="40"/>
    <x v="182"/>
    <n v="0"/>
    <n v="-3"/>
    <n v="0"/>
    <x v="0"/>
    <x v="849"/>
    <x v="937"/>
    <s v="Portugal vs Congo DR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</r>
  <r>
    <s v="IF Gnistan vs FC Lahti / Match Odds"/>
    <s v="Fulltbet"/>
    <x v="2601"/>
    <n v="21.72"/>
    <n v="4.4999999999999998E-2"/>
    <n v="22.7434554973822"/>
    <x v="20"/>
    <x v="71"/>
    <x v="314"/>
    <n v="50"/>
    <x v="182"/>
    <n v="1.0234554973822014"/>
    <n v="0.43439999999999995"/>
    <n v="1"/>
    <x v="0"/>
    <x v="801"/>
    <x v="813"/>
    <s v="IF Gnistan vs FC Lahti"/>
  </r>
  <r>
    <s v="England vs Croatia / Total 1.5"/>
    <s v="Fulltbet"/>
    <x v="2602"/>
    <n v="38.200000000000003"/>
    <n v="4.4999999999999998E-2"/>
    <n v="40.000000000000007"/>
    <x v="14"/>
    <x v="28"/>
    <x v="300"/>
    <n v="40"/>
    <x v="182"/>
    <n v="1.8000000000000043"/>
    <n v="0.95500000000000007"/>
    <n v="1"/>
    <x v="0"/>
    <x v="850"/>
    <x v="938"/>
    <s v="England vs Croatia"/>
  </r>
  <r>
    <s v="England vs Croatia / Correct Score"/>
    <s v="Fulltbet"/>
    <x v="2603"/>
    <n v="0.2"/>
    <n v="4.4999999999999998E-2"/>
    <n v="0.20942408376963353"/>
    <x v="16"/>
    <x v="64"/>
    <x v="72"/>
    <n v="100"/>
    <x v="182"/>
    <n v="9.4240837696335233E-3"/>
    <n v="2E-3"/>
    <n v="1"/>
    <x v="0"/>
    <x v="850"/>
    <x v="938"/>
    <s v="England vs Croatia"/>
  </r>
  <r>
    <s v="England vs Croatia / Correct Score"/>
    <s v="Betbra"/>
    <x v="2603"/>
    <n v="27.16"/>
    <n v="2.8000000000000001E-2"/>
    <n v="27.942386831275719"/>
    <x v="15"/>
    <x v="5"/>
    <x v="6"/>
    <n v="433.07"/>
    <x v="182"/>
    <n v="0.78238683127571917"/>
    <n v="6.2715034520978138E-2"/>
    <n v="1"/>
    <x v="46"/>
    <x v="850"/>
    <x v="938"/>
    <s v="England vs Croatia"/>
  </r>
  <r>
    <s v="England vs Croatia / Match Odds"/>
    <s v="Fulltbet"/>
    <x v="2604"/>
    <n v="5.26"/>
    <n v="4.4999999999999998E-2"/>
    <n v="5.5078534031413611"/>
    <x v="20"/>
    <x v="75"/>
    <x v="116"/>
    <n v="50.02"/>
    <x v="182"/>
    <n v="0.24785340314136128"/>
    <n v="0.10515793682526989"/>
    <n v="1"/>
    <x v="0"/>
    <x v="850"/>
    <x v="938"/>
    <s v="England vs Croatia"/>
  </r>
  <r>
    <s v="Ghana vs Panama / Total 1.5"/>
    <s v="Fulltbet"/>
    <x v="2605"/>
    <n v="-83.97"/>
    <n v="4.4999999999999998E-2"/>
    <n v="-83.97"/>
    <x v="14"/>
    <x v="28"/>
    <x v="148"/>
    <n v="40"/>
    <x v="182"/>
    <n v="0"/>
    <n v="-2.0992500000000001"/>
    <n v="0"/>
    <x v="0"/>
    <x v="883"/>
    <x v="939"/>
    <s v="Ghana vs Panama"/>
  </r>
  <r>
    <s v="Uzbekistan vs Colombia / Match Odds"/>
    <s v="Fulltbet"/>
    <x v="2606"/>
    <n v="93.169799999999995"/>
    <n v="4.4999999999999998E-2"/>
    <n v="97.56"/>
    <x v="8"/>
    <x v="20"/>
    <x v="174"/>
    <n v="400"/>
    <x v="183"/>
    <n v="4.3902000000000072"/>
    <n v="0.23292449999999998"/>
    <n v="1"/>
    <x v="46"/>
    <x v="884"/>
    <x v="940"/>
    <s v="Uzbekistan vs Colombia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</r>
  <r>
    <s v="AC Oulu vs IFK Mariehamn / Match Odds"/>
    <s v="Fulltbet"/>
    <x v="2607"/>
    <n v="-22.26"/>
    <n v="4.4999999999999998E-2"/>
    <n v="-22.26"/>
    <x v="23"/>
    <x v="7"/>
    <x v="315"/>
    <n v="499.96"/>
    <x v="183"/>
    <n v="0"/>
    <n v="-4.4523561884950803E-2"/>
    <n v="0"/>
    <x v="0"/>
    <x v="712"/>
    <x v="941"/>
    <s v="AC Oulu vs IFK Mariehamn"/>
  </r>
  <r>
    <s v="Czech Republic vs South Africa / Total 1.5"/>
    <s v="Fulltbet"/>
    <x v="2608"/>
    <n v="38.200000000000003"/>
    <n v="4.4999999999999998E-2"/>
    <n v="40.000000000000007"/>
    <x v="14"/>
    <x v="28"/>
    <x v="310"/>
    <n v="40"/>
    <x v="183"/>
    <n v="1.8000000000000043"/>
    <n v="0.95500000000000007"/>
    <n v="1"/>
    <x v="0"/>
    <x v="885"/>
    <x v="900"/>
    <s v="Czech Republic vs South Africa"/>
  </r>
  <r>
    <s v="FC Elva vs Viimsi JK / Total 1.5"/>
    <s v="Fulltbet"/>
    <x v="2609"/>
    <n v="-120"/>
    <n v="4.4999999999999998E-2"/>
    <n v="-120"/>
    <x v="14"/>
    <x v="28"/>
    <x v="310"/>
    <n v="40"/>
    <x v="183"/>
    <n v="0"/>
    <n v="-3"/>
    <n v="0"/>
    <x v="0"/>
    <x v="886"/>
    <x v="942"/>
    <s v="FC Elva vs Viimsi JK"/>
  </r>
  <r>
    <s v="Czech Republic vs South Africa / Correct Score"/>
    <s v="Betbra"/>
    <x v="2610"/>
    <n v="31.84"/>
    <n v="4.4999999999999998E-2"/>
    <n v="33.340314136125656"/>
    <x v="15"/>
    <x v="5"/>
    <x v="15"/>
    <n v="458.62"/>
    <x v="183"/>
    <n v="1.500314136125656"/>
    <n v="6.9425668309275657E-2"/>
    <n v="1"/>
    <x v="46"/>
    <x v="885"/>
    <x v="900"/>
    <s v="Czech Republic vs South Africa"/>
  </r>
  <r>
    <s v="Czech Republic vs South Africa / Correct Score"/>
    <s v="Fulltbet"/>
    <x v="2611"/>
    <n v="32.67"/>
    <n v="4.4999999999999998E-2"/>
    <n v="34.209424083769633"/>
    <x v="16"/>
    <x v="64"/>
    <x v="72"/>
    <n v="100"/>
    <x v="183"/>
    <n v="1.5394240837696316"/>
    <n v="0.32669999999999999"/>
    <n v="1"/>
    <x v="0"/>
    <x v="885"/>
    <x v="900"/>
    <s v="Czech Republic vs South Africa"/>
  </r>
  <r>
    <s v="Czech Republic vs South Africa / Match Odds"/>
    <s v="Fulltbet"/>
    <x v="2612"/>
    <n v="7.44"/>
    <n v="4.4999999999999998E-2"/>
    <n v="7.7905759162303676"/>
    <x v="20"/>
    <x v="75"/>
    <x v="151"/>
    <n v="50"/>
    <x v="183"/>
    <n v="0.35057591623036721"/>
    <n v="0.14880000000000002"/>
    <n v="1"/>
    <x v="0"/>
    <x v="885"/>
    <x v="900"/>
    <s v="Czech Republic vs South Africa"/>
  </r>
  <r>
    <s v="Switzerland vs Bosnia-Herzegovina / Total 0.5"/>
    <s v="Fulltbet"/>
    <x v="2613"/>
    <n v="38.200000000000003"/>
    <n v="4.4999999999999998E-2"/>
    <n v="40.000000000000007"/>
    <x v="14"/>
    <x v="19"/>
    <x v="310"/>
    <n v="40"/>
    <x v="183"/>
    <n v="1.8000000000000043"/>
    <n v="0.95500000000000007"/>
    <n v="1"/>
    <x v="0"/>
    <x v="887"/>
    <x v="903"/>
    <s v="Switzerland vs Bosnia-Herzegovina"/>
  </r>
  <r>
    <s v="Switzerland vs Bosnia-Herzegovina / Correct Score"/>
    <s v="Fulltbet"/>
    <x v="2614"/>
    <n v="37.340000000000003"/>
    <n v="4.4999999999999998E-2"/>
    <n v="39.099476439790578"/>
    <x v="16"/>
    <x v="63"/>
    <x v="72"/>
    <n v="100"/>
    <x v="183"/>
    <n v="1.7594764397905749"/>
    <n v="0.37340000000000001"/>
    <n v="1"/>
    <x v="0"/>
    <x v="887"/>
    <x v="903"/>
    <s v="Switzerland vs Bosnia-Herzegovina"/>
  </r>
  <r>
    <s v="Switzerland vs Bosnia-Herzegovina / Correct Score"/>
    <s v="Betbra"/>
    <x v="2614"/>
    <n v="22.73"/>
    <n v="4.4999999999999998E-2"/>
    <n v="23.801047120418851"/>
    <x v="15"/>
    <x v="5"/>
    <x v="4"/>
    <n v="490.98"/>
    <x v="183"/>
    <n v="1.0710471204188501"/>
    <n v="4.6295164772495824E-2"/>
    <n v="1"/>
    <x v="46"/>
    <x v="887"/>
    <x v="903"/>
    <s v="Switzerland vs Bosnia-Herzegovina"/>
  </r>
  <r>
    <s v="Switzerland vs Bosnia-Herzegovina / Match Odds"/>
    <s v="Fulltbet"/>
    <x v="2615"/>
    <n v="63.67"/>
    <n v="4.4999999999999998E-2"/>
    <n v="66.670157068062835"/>
    <x v="3"/>
    <x v="68"/>
    <x v="36"/>
    <n v="400.02"/>
    <x v="183"/>
    <n v="3.0001570680628333"/>
    <n v="0.15916704164791762"/>
    <n v="1"/>
    <x v="46"/>
    <x v="887"/>
    <x v="903"/>
    <s v="Switzerland vs Bosnia-Herzegovina"/>
  </r>
  <r>
    <s v="Switzerland vs Bosnia-Herzegovina / Match Odds"/>
    <s v="Betbra"/>
    <x v="2615"/>
    <n v="1.3"/>
    <n v="4.4999999999999998E-2"/>
    <n v="1.3612565445026179"/>
    <x v="20"/>
    <x v="76"/>
    <x v="36"/>
    <n v="48.36"/>
    <x v="183"/>
    <n v="6.125654450261786E-2"/>
    <n v="2.6881720430107527E-2"/>
    <n v="1"/>
    <x v="0"/>
    <x v="887"/>
    <x v="903"/>
    <s v="Switzerland vs Bosnia-Herzegovina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</r>
  <r>
    <s v="Sport Club do Recife vs Atlético Goianiense / Match Odds"/>
    <s v="Fulltbet"/>
    <x v="2617"/>
    <n v="5.45"/>
    <n v="4.4999999999999998E-2"/>
    <n v="5.7068062827225132"/>
    <x v="10"/>
    <x v="38"/>
    <x v="316"/>
    <n v="115.91"/>
    <x v="183"/>
    <n v="0.25680628272251305"/>
    <n v="4.7019239064791649E-2"/>
    <n v="1"/>
    <x v="0"/>
    <x v="809"/>
    <x v="675"/>
    <s v="Sport Club do Recife vs Atlético Goianiense"/>
  </r>
  <r>
    <s v="Universidad de Chile vs O'Higgins / Match Odds"/>
    <s v="Fulltbet"/>
    <x v="2618"/>
    <n v="5.2"/>
    <n v="4.4999999999999998E-2"/>
    <n v="5.4450261780104716"/>
    <x v="10"/>
    <x v="38"/>
    <x v="7"/>
    <n v="119.9"/>
    <x v="183"/>
    <n v="0.24502617801047144"/>
    <n v="4.3369474562135114E-2"/>
    <n v="1"/>
    <x v="0"/>
    <x v="806"/>
    <x v="849"/>
    <s v="Universidad de Chile vs O'Higgins"/>
  </r>
  <r>
    <s v="Mexico vs South Korea / Total 0.5"/>
    <s v="Fulltbet"/>
    <x v="2619"/>
    <n v="38.200000000000003"/>
    <n v="4.4999999999999998E-2"/>
    <n v="40.000000000000007"/>
    <x v="14"/>
    <x v="19"/>
    <x v="148"/>
    <n v="40"/>
    <x v="183"/>
    <n v="1.8000000000000043"/>
    <n v="0.95500000000000007"/>
    <n v="1"/>
    <x v="0"/>
    <x v="813"/>
    <x v="944"/>
    <s v="Mexico vs South Korea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</r>
  <r>
    <s v="Mexico vs South Korea / Correct Score"/>
    <s v="Betbra"/>
    <x v="2620"/>
    <n v="37.380000000000003"/>
    <n v="4.4999999999999998E-2"/>
    <n v="39.141361256544506"/>
    <x v="16"/>
    <x v="64"/>
    <x v="72"/>
    <n v="100"/>
    <x v="183"/>
    <n v="1.7613612565445038"/>
    <n v="0.37380000000000002"/>
    <n v="1"/>
    <x v="0"/>
    <x v="813"/>
    <x v="944"/>
    <s v="Mexico vs South Korea"/>
  </r>
  <r>
    <s v="FIFA World Cup - Group A Winner / Winner"/>
    <s v="Fulltbet"/>
    <x v="2621"/>
    <n v="23.15"/>
    <n v="4.4999999999999998E-2"/>
    <n v="24.240837696335078"/>
    <x v="24"/>
    <x v="77"/>
    <x v="27"/>
    <n v="399.96"/>
    <x v="184"/>
    <n v="1.090837696335079"/>
    <n v="5.7880788078807879E-2"/>
    <n v="1"/>
    <x v="0"/>
    <x v="207"/>
    <x v="218"/>
    <s v="FIFA World Cup - Group A Winner"/>
  </r>
  <r>
    <s v="Ranheim vs FK Lyn / Match Odds"/>
    <s v="Fulltbet"/>
    <x v="2622"/>
    <n v="-0.92"/>
    <n v="4.4999999999999998E-2"/>
    <n v="-0.92"/>
    <x v="20"/>
    <x v="78"/>
    <x v="26"/>
    <n v="49.99"/>
    <x v="184"/>
    <n v="0"/>
    <n v="-1.8403680736147229E-2"/>
    <n v="0"/>
    <x v="0"/>
    <x v="745"/>
    <x v="945"/>
    <s v="Ranheim vs FK Lyn"/>
  </r>
  <r>
    <s v="Bohemian FC vs Dundalk / Both Teams To Score"/>
    <s v="Fulltbet"/>
    <x v="2623"/>
    <n v="3.14"/>
    <n v="4.4999999999999998E-2"/>
    <n v="3.2879581151832462"/>
    <x v="10"/>
    <x v="59"/>
    <x v="74"/>
    <n v="5"/>
    <x v="184"/>
    <n v="0.14795811518324609"/>
    <n v="0.628"/>
    <n v="1"/>
    <x v="0"/>
    <x v="575"/>
    <x v="455"/>
    <s v="Bohemian FC vs Dundalk"/>
  </r>
  <r>
    <s v="Waterford FC vs Shamrock Rovers / Total 1.5"/>
    <s v="Fulltbet"/>
    <x v="2624"/>
    <n v="-2"/>
    <n v="4.4999999999999998E-2"/>
    <n v="-2"/>
    <x v="10"/>
    <x v="50"/>
    <x v="310"/>
    <n v="2"/>
    <x v="184"/>
    <n v="0"/>
    <n v="-1"/>
    <n v="0"/>
    <x v="0"/>
    <x v="888"/>
    <x v="946"/>
    <s v="Waterford FC vs Shamrock Rovers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</r>
  <r>
    <s v="Galway United vs Derry City / Total 2.5"/>
    <s v="Fulltbet"/>
    <x v="2626"/>
    <n v="-0.42"/>
    <n v="4.4999999999999998E-2"/>
    <n v="-0.42"/>
    <x v="21"/>
    <x v="1"/>
    <x v="79"/>
    <n v="25"/>
    <x v="184"/>
    <n v="0"/>
    <n v="-1.6799999999999999E-2"/>
    <n v="0"/>
    <x v="0"/>
    <x v="854"/>
    <x v="613"/>
    <s v="Galway United vs Derry City"/>
  </r>
  <r>
    <s v="St. Patrick's Athletic vs Sligo Rovers / Total 0.5"/>
    <s v="Fulltbet"/>
    <x v="2627"/>
    <n v="38.199999999999996"/>
    <n v="4.4999999999999998E-2"/>
    <n v="40"/>
    <x v="14"/>
    <x v="19"/>
    <x v="259"/>
    <n v="40"/>
    <x v="184"/>
    <n v="1.8000000000000043"/>
    <n v="0.95499999999999985"/>
    <n v="1"/>
    <x v="0"/>
    <x v="613"/>
    <x v="408"/>
    <s v="St. Patrick's Athletic vs Sligo Rovers"/>
  </r>
  <r>
    <s v="St. Patrick's Athletic vs Sligo Rovers / Total 0.5"/>
    <s v="Fulltbet"/>
    <x v="2627"/>
    <n v="0.67804999999999993"/>
    <n v="4.4999999999999998E-2"/>
    <n v="0.71"/>
    <x v="10"/>
    <x v="49"/>
    <x v="267"/>
    <n v="10"/>
    <x v="184"/>
    <n v="3.1950000000000034E-2"/>
    <n v="6.780499999999999E-2"/>
    <n v="1"/>
    <x v="0"/>
    <x v="613"/>
    <x v="408"/>
    <s v="St. Patrick's Athletic vs Sligo Rovers"/>
  </r>
  <r>
    <s v="UCD vs Kerry FC / Match Odds"/>
    <s v="Fulltbet"/>
    <x v="2628"/>
    <n v="-399.98"/>
    <n v="4.4999999999999998E-2"/>
    <n v="-399.98"/>
    <x v="3"/>
    <x v="7"/>
    <x v="25"/>
    <n v="399.98"/>
    <x v="184"/>
    <n v="0"/>
    <n v="-1"/>
    <n v="0"/>
    <x v="49"/>
    <x v="890"/>
    <x v="948"/>
    <s v="UCD vs Kerry FC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</r>
  <r>
    <s v="Galway United vs Derry City / Match Odds"/>
    <s v="Fulltbet"/>
    <x v="2630"/>
    <n v="4.68"/>
    <n v="4.4999999999999998E-2"/>
    <n v="4.9005235602094244"/>
    <x v="10"/>
    <x v="48"/>
    <x v="267"/>
    <n v="70"/>
    <x v="184"/>
    <n v="0.22052356020942465"/>
    <n v="6.6857142857142851E-2"/>
    <n v="1"/>
    <x v="0"/>
    <x v="854"/>
    <x v="613"/>
    <s v="Galway United vs Derry City"/>
  </r>
  <r>
    <s v="USA vs Australia / Correct Score"/>
    <s v="Fulltbet"/>
    <x v="2631"/>
    <n v="26.55"/>
    <n v="4.4999999999999998E-2"/>
    <n v="27.801047120418851"/>
    <x v="16"/>
    <x v="64"/>
    <x v="72"/>
    <n v="100"/>
    <x v="184"/>
    <n v="1.2510471204188498"/>
    <n v="0.26550000000000001"/>
    <n v="1"/>
    <x v="0"/>
    <x v="835"/>
    <x v="865"/>
    <s v="USA vs Australia"/>
  </r>
  <r>
    <s v="USA vs Australia / Correct Score"/>
    <s v="Betbra"/>
    <x v="2631"/>
    <n v="31.51"/>
    <n v="4.4999999999999998E-2"/>
    <n v="32.994764397905762"/>
    <x v="15"/>
    <x v="5"/>
    <x v="27"/>
    <n v="534.92999999999995"/>
    <x v="184"/>
    <n v="1.4847643979057601"/>
    <n v="5.8904903445310609E-2"/>
    <n v="1"/>
    <x v="0"/>
    <x v="835"/>
    <x v="865"/>
    <s v="USA vs Australia"/>
  </r>
  <r>
    <s v="USA vs Australia / Match Odds"/>
    <s v="Fulltbet"/>
    <x v="2632"/>
    <n v="86.82"/>
    <n v="4.4999999999999998E-2"/>
    <n v="90.910994764397898"/>
    <x v="3"/>
    <x v="68"/>
    <x v="228"/>
    <n v="400"/>
    <x v="184"/>
    <n v="4.0909947643979052"/>
    <n v="0.21704999999999999"/>
    <n v="1"/>
    <x v="46"/>
    <x v="835"/>
    <x v="865"/>
    <s v="USA vs Australia"/>
  </r>
  <r>
    <s v="USA vs Australia / Match Odds"/>
    <s v="Betbra"/>
    <x v="2632"/>
    <n v="6.45"/>
    <n v="4.4999999999999998E-2"/>
    <n v="6.7539267015706814"/>
    <x v="20"/>
    <x v="75"/>
    <x v="203"/>
    <n v="50.02"/>
    <x v="184"/>
    <n v="0.30392670157068125"/>
    <n v="0.1289484206317473"/>
    <n v="1"/>
    <x v="0"/>
    <x v="835"/>
    <x v="865"/>
    <s v="USA vs Australia"/>
  </r>
  <r>
    <s v="USA vs Australia / Total 2.5"/>
    <s v="Fulltbet"/>
    <x v="2633"/>
    <n v="-120"/>
    <n v="4.4999999999999998E-2"/>
    <n v="-120"/>
    <x v="14"/>
    <x v="10"/>
    <x v="310"/>
    <n v="40"/>
    <x v="184"/>
    <n v="0"/>
    <n v="-3"/>
    <n v="0"/>
    <x v="0"/>
    <x v="835"/>
    <x v="865"/>
    <s v="USA vs Australia"/>
  </r>
  <r>
    <s v="Scotland vs Morocco / Correct Score"/>
    <s v="Fulltbet"/>
    <x v="2634"/>
    <n v="40.31"/>
    <n v="4.4999999999999998E-2"/>
    <n v="42.20942408376964"/>
    <x v="16"/>
    <x v="63"/>
    <x v="72"/>
    <n v="100"/>
    <x v="184"/>
    <n v="1.8994240837696381"/>
    <n v="0.40310000000000001"/>
    <n v="1"/>
    <x v="0"/>
    <x v="891"/>
    <x v="949"/>
    <s v="Scotland vs Morocco"/>
  </r>
  <r>
    <s v="Scotland vs Morocco / Correct Score"/>
    <s v="Betbra"/>
    <x v="2634"/>
    <n v="35.5"/>
    <n v="4.4999999999999998E-2"/>
    <n v="37.172774869109951"/>
    <x v="15"/>
    <x v="6"/>
    <x v="6"/>
    <n v="566.02"/>
    <x v="184"/>
    <n v="1.6727748691099507"/>
    <n v="6.2718631850464654E-2"/>
    <n v="1"/>
    <x v="0"/>
    <x v="891"/>
    <x v="949"/>
    <s v="Scotland vs Morocco"/>
  </r>
  <r>
    <s v="Scotland vs Morocco / Total 1.5"/>
    <s v="Fulltbet"/>
    <x v="2635"/>
    <n v="-102"/>
    <n v="4.4999999999999998E-2"/>
    <n v="-102"/>
    <x v="14"/>
    <x v="28"/>
    <x v="299"/>
    <n v="40"/>
    <x v="184"/>
    <n v="0"/>
    <n v="-2.5499999999999998"/>
    <n v="0"/>
    <x v="0"/>
    <x v="891"/>
    <x v="949"/>
    <s v="Scotland vs Morocco"/>
  </r>
  <r>
    <s v="Scotland vs Morocco / Match Odds"/>
    <s v="Fulltbet"/>
    <x v="2636"/>
    <n v="68.22"/>
    <n v="4.4999999999999998E-2"/>
    <n v="71.434554973821989"/>
    <x v="3"/>
    <x v="68"/>
    <x v="85"/>
    <n v="399.96"/>
    <x v="184"/>
    <n v="3.2145549738219898"/>
    <n v="0.17056705670567057"/>
    <n v="1"/>
    <x v="46"/>
    <x v="891"/>
    <x v="949"/>
    <s v="Scotland vs Morocco"/>
  </r>
  <r>
    <s v="Brazil vs Haiti / Match Odds"/>
    <s v="Fulltbet"/>
    <x v="2637"/>
    <n v="34.723799999999997"/>
    <n v="4.4999999999999998E-2"/>
    <n v="36.36"/>
    <x v="8"/>
    <x v="20"/>
    <x v="2"/>
    <n v="399.96"/>
    <x v="184"/>
    <n v="1.6362000000000023"/>
    <n v="8.6818181818181822E-2"/>
    <n v="1"/>
    <x v="46"/>
    <x v="892"/>
    <x v="950"/>
    <s v="Brazil vs Haiti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</r>
  <r>
    <s v="Brazil vs Haiti / Total 3.5"/>
    <s v="Fulltbet"/>
    <x v="2638"/>
    <n v="-55.2"/>
    <n v="4.4999999999999998E-2"/>
    <n v="-55.2"/>
    <x v="14"/>
    <x v="17"/>
    <x v="257"/>
    <n v="40"/>
    <x v="184"/>
    <n v="0"/>
    <n v="-1.3800000000000001"/>
    <n v="0"/>
    <x v="0"/>
    <x v="892"/>
    <x v="950"/>
    <s v="Brazil vs Haiti"/>
  </r>
  <r>
    <s v="Turkey vs Paraguay / Correct Score"/>
    <s v="Betbra"/>
    <x v="2639"/>
    <n v="-400"/>
    <n v="4.4999999999999998E-2"/>
    <n v="-400"/>
    <x v="15"/>
    <x v="5"/>
    <x v="16"/>
    <n v="400"/>
    <x v="185"/>
    <n v="0"/>
    <n v="-1"/>
    <n v="0"/>
    <x v="0"/>
    <x v="893"/>
    <x v="905"/>
    <s v="Turkey vs Paraguay"/>
  </r>
  <r>
    <s v="Londrina vs Athletic Club MG / Total 0.5"/>
    <s v="Fulltbet"/>
    <x v="2640"/>
    <n v="38.199999999999996"/>
    <n v="4.4999999999999998E-2"/>
    <n v="40"/>
    <x v="14"/>
    <x v="19"/>
    <x v="146"/>
    <n v="40"/>
    <x v="185"/>
    <n v="1.8000000000000043"/>
    <n v="0.95499999999999985"/>
    <n v="1"/>
    <x v="0"/>
    <x v="457"/>
    <x v="718"/>
    <s v="Londrina vs Athletic Club MG"/>
  </r>
  <r>
    <s v="Londrina vs Athletic Club MG / Total 0.5"/>
    <s v="Fulltbet"/>
    <x v="2640"/>
    <n v="7.8787499999999993"/>
    <n v="4.4999999999999998E-2"/>
    <n v="8.25"/>
    <x v="10"/>
    <x v="47"/>
    <x v="199"/>
    <n v="15"/>
    <x v="185"/>
    <n v="0.37125000000000075"/>
    <n v="0.52524999999999999"/>
    <n v="1"/>
    <x v="0"/>
    <x v="457"/>
    <x v="718"/>
    <s v="Londrina vs Athletic Club MG"/>
  </r>
  <r>
    <s v="Tallinna FC Levadia vs Nõmme Kalju FC / Total 0.5"/>
    <s v="Fulltbet"/>
    <x v="2641"/>
    <n v="-118.08"/>
    <n v="4.4999999999999998E-2"/>
    <n v="-118.08"/>
    <x v="14"/>
    <x v="19"/>
    <x v="85"/>
    <n v="40"/>
    <x v="185"/>
    <n v="0"/>
    <n v="-2.952"/>
    <n v="0"/>
    <x v="0"/>
    <x v="616"/>
    <x v="951"/>
    <s v="Tallinna FC Levadia vs Nõmme Kalju FC"/>
  </r>
  <r>
    <s v="Netherlands vs Sweden / Correct Score"/>
    <s v="Betbra"/>
    <x v="2642"/>
    <n v="16.899999999999999"/>
    <n v="4.4999999999999998E-2"/>
    <n v="17.69633507853403"/>
    <x v="15"/>
    <x v="5"/>
    <x v="109"/>
    <n v="399.97"/>
    <x v="185"/>
    <n v="0.79633507853403174"/>
    <n v="4.2253168987674068E-2"/>
    <n v="1"/>
    <x v="0"/>
    <x v="842"/>
    <x v="952"/>
    <s v="Netherlands vs Sweden"/>
  </r>
  <r>
    <s v="Netherlands vs Sweden / Correct Score"/>
    <s v="Fulltbet"/>
    <x v="2643"/>
    <n v="39.97"/>
    <n v="4.4999999999999998E-2"/>
    <n v="41.853403141361255"/>
    <x v="16"/>
    <x v="64"/>
    <x v="72"/>
    <n v="100"/>
    <x v="185"/>
    <n v="1.8834031413612564"/>
    <n v="0.3997"/>
    <n v="1"/>
    <x v="0"/>
    <x v="842"/>
    <x v="952"/>
    <s v="Netherlands vs Sweden"/>
  </r>
  <r>
    <s v="Netherlands vs Sweden / Match Odds"/>
    <s v="Fulltbet"/>
    <x v="2644"/>
    <n v="9.8699999999999992"/>
    <n v="4.4999999999999998E-2"/>
    <n v="10.335078534031414"/>
    <x v="20"/>
    <x v="71"/>
    <x v="128"/>
    <n v="74.989999999999995"/>
    <x v="185"/>
    <n v="0.46507853403141475"/>
    <n v="0.13161754900653419"/>
    <n v="1"/>
    <x v="0"/>
    <x v="842"/>
    <x v="952"/>
    <s v="Netherlands vs Sweden"/>
  </r>
  <r>
    <s v="UD Almería vs Málaga / Total 0.5"/>
    <s v="Fulltbet"/>
    <x v="2645"/>
    <n v="38.200000000000003"/>
    <n v="4.4999999999999998E-2"/>
    <n v="40.000000000000007"/>
    <x v="14"/>
    <x v="19"/>
    <x v="317"/>
    <n v="40"/>
    <x v="185"/>
    <n v="1.8000000000000043"/>
    <n v="0.95500000000000007"/>
    <n v="1"/>
    <x v="0"/>
    <x v="148"/>
    <x v="869"/>
    <s v="UD Almería vs Málaga"/>
  </r>
  <r>
    <s v="Germany vs Ivory Coast / Total 1.5"/>
    <s v="Fulltbet"/>
    <x v="2646"/>
    <n v="38.200000000000003"/>
    <n v="4.4999999999999998E-2"/>
    <n v="40.000000000000007"/>
    <x v="14"/>
    <x v="28"/>
    <x v="215"/>
    <n v="40"/>
    <x v="185"/>
    <n v="1.8000000000000043"/>
    <n v="0.95500000000000007"/>
    <n v="1"/>
    <x v="0"/>
    <x v="819"/>
    <x v="953"/>
    <s v="Germany vs Ivory Coast"/>
  </r>
  <r>
    <s v="Germany vs Ivory Coast / Total 2.5"/>
    <s v="Fulltbet"/>
    <x v="2647"/>
    <n v="86.37"/>
    <n v="4.4999999999999998E-2"/>
    <n v="90.439790575916234"/>
    <x v="21"/>
    <x v="0"/>
    <x v="318"/>
    <n v="100"/>
    <x v="185"/>
    <n v="4.0697905759162296"/>
    <n v="0.86370000000000002"/>
    <n v="1"/>
    <x v="0"/>
    <x v="819"/>
    <x v="953"/>
    <s v="Germany vs Ivory Coast"/>
  </r>
  <r>
    <s v="Germany vs Ivory Coast / Correct Score"/>
    <s v="Betbra"/>
    <x v="2648"/>
    <n v="13.07"/>
    <n v="4.4999999999999998E-2"/>
    <n v="13.68586387434555"/>
    <x v="15"/>
    <x v="5"/>
    <x v="66"/>
    <n v="416.95"/>
    <x v="185"/>
    <n v="0.61586387434554979"/>
    <n v="3.1346684254706804E-2"/>
    <n v="1"/>
    <x v="0"/>
    <x v="819"/>
    <x v="953"/>
    <s v="Germany vs Ivory Coast"/>
  </r>
  <r>
    <s v="Germany vs Ivory Coast / Match Odds"/>
    <s v="Fulltbet"/>
    <x v="2649"/>
    <n v="-37.840000000000003"/>
    <n v="4.4999999999999998E-2"/>
    <n v="-37.840000000000003"/>
    <x v="23"/>
    <x v="20"/>
    <x v="44"/>
    <n v="145.72"/>
    <x v="185"/>
    <n v="0"/>
    <n v="-0.25967609113368106"/>
    <n v="0"/>
    <x v="0"/>
    <x v="819"/>
    <x v="953"/>
    <s v="Germany vs Ivory Coast"/>
  </r>
  <r>
    <s v="Ceará SC vs Botafogo SP / Match Odds"/>
    <s v="Fulltbet"/>
    <x v="2650"/>
    <n v="0.11"/>
    <n v="4.4999999999999998E-2"/>
    <n v="0.11518324607329844"/>
    <x v="20"/>
    <x v="71"/>
    <x v="126"/>
    <n v="75.010000000000005"/>
    <x v="185"/>
    <n v="5.1832460732984392E-3"/>
    <n v="1.4664711371817089E-3"/>
    <n v="1"/>
    <x v="0"/>
    <x v="630"/>
    <x v="872"/>
    <s v="Ceará SC vs Botafogo SP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</r>
  <r>
    <s v="Vila Nova FC vs Clube Náutico Capibaribe / Correct Score"/>
    <s v="Betbra"/>
    <x v="2651"/>
    <n v="-100.53"/>
    <n v="4.4999999999999998E-2"/>
    <n v="-100.53"/>
    <x v="16"/>
    <x v="64"/>
    <x v="72"/>
    <n v="100.53"/>
    <x v="185"/>
    <n v="0"/>
    <n v="-1"/>
    <n v="0"/>
    <x v="0"/>
    <x v="726"/>
    <x v="861"/>
    <s v="Vila Nova FC vs Clube Náutico Capibaribe"/>
  </r>
  <r>
    <s v="Vila Nova FC vs Clube Náutico Capibaribe / Match Odds"/>
    <s v="Fulltbet"/>
    <x v="2652"/>
    <n v="14.38"/>
    <n v="4.4999999999999998E-2"/>
    <n v="15.05759162303665"/>
    <x v="20"/>
    <x v="71"/>
    <x v="160"/>
    <n v="75"/>
    <x v="185"/>
    <n v="0.67759162303664944"/>
    <n v="0.19173333333333334"/>
    <n v="1"/>
    <x v="0"/>
    <x v="726"/>
    <x v="861"/>
    <s v="Vila Nova FC vs Clube Náutico Capibaribe"/>
  </r>
  <r>
    <s v="Ituano FC vs Figueirense FC / Correct Score"/>
    <s v="Fulltbet"/>
    <x v="2653"/>
    <n v="5.68"/>
    <n v="4.4999999999999998E-2"/>
    <n v="5.9476439790575917"/>
    <x v="10"/>
    <x v="61"/>
    <x v="0"/>
    <n v="49.98"/>
    <x v="185"/>
    <n v="0.26764397905759196"/>
    <n v="0.1136454581832733"/>
    <n v="1"/>
    <x v="0"/>
    <x v="794"/>
    <x v="954"/>
    <s v="Ituano FC vs Figueirense FC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</r>
  <r>
    <s v="Ecuador vs Curaçao / Total 0.5"/>
    <s v="Fulltbet"/>
    <x v="2655"/>
    <n v="-120"/>
    <n v="4.4999999999999998E-2"/>
    <n v="-120"/>
    <x v="14"/>
    <x v="19"/>
    <x v="310"/>
    <n v="40"/>
    <x v="185"/>
    <n v="0"/>
    <n v="-3"/>
    <n v="0"/>
    <x v="0"/>
    <x v="840"/>
    <x v="919"/>
    <s v="Ecuador vs Curaçao"/>
  </r>
  <r>
    <s v="Tartu JK Tammeka vs Narva Trans / Correct Score"/>
    <s v="Fulltbet"/>
    <x v="2656"/>
    <n v="-72.8"/>
    <n v="4.4999999999999998E-2"/>
    <n v="-72.8"/>
    <x v="19"/>
    <x v="5"/>
    <x v="319"/>
    <n v="800.31"/>
    <x v="186"/>
    <n v="0"/>
    <n v="-9.0964751158925924E-2"/>
    <n v="0"/>
    <x v="0"/>
    <x v="894"/>
    <x v="928"/>
    <s v="Tartu JK Tammeka vs Narva Trans"/>
  </r>
  <r>
    <s v="Tartu JK Tammeka vs Narva Trans / Correct Score"/>
    <s v="Betbra"/>
    <x v="2656"/>
    <n v="2.1"/>
    <n v="4.4999999999999998E-2"/>
    <n v="2.1989528795811522"/>
    <x v="19"/>
    <x v="5"/>
    <x v="41"/>
    <n v="400.03"/>
    <x v="186"/>
    <n v="9.8952879581152065E-2"/>
    <n v="5.2496062795290357E-3"/>
    <n v="1"/>
    <x v="0"/>
    <x v="894"/>
    <x v="928"/>
    <s v="Tartu JK Tammeka vs Narva Trans"/>
  </r>
  <r>
    <s v="Moss vs Sandnes Ulf / Total 1.5"/>
    <s v="Fulltbet"/>
    <x v="2657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5"/>
    <x v="559"/>
    <s v="Moss vs Sandnes Ulf"/>
  </r>
  <r>
    <s v="Moss vs Sandnes Ulf / Total 2.5"/>
    <s v="Fulltbet"/>
    <x v="2658"/>
    <n v="133.27000000000001"/>
    <n v="4.4999999999999998E-2"/>
    <n v="139.54973821989532"/>
    <x v="21"/>
    <x v="74"/>
    <x v="320"/>
    <n v="100"/>
    <x v="186"/>
    <n v="6.2797382198953073"/>
    <n v="1.3327"/>
    <n v="1"/>
    <x v="0"/>
    <x v="895"/>
    <x v="559"/>
    <s v="Moss vs Sandnes Ulf"/>
  </r>
  <r>
    <s v="Moss vs Sandnes Ulf / Match Odds"/>
    <s v="Fulltbet"/>
    <x v="2659"/>
    <n v="-148.47999999999999"/>
    <n v="4.4999999999999998E-2"/>
    <n v="-148.47999999999999"/>
    <x v="20"/>
    <x v="71"/>
    <x v="321"/>
    <n v="148.49"/>
    <x v="186"/>
    <n v="0"/>
    <n v="-0.99993265539766973"/>
    <n v="0"/>
    <x v="0"/>
    <x v="895"/>
    <x v="559"/>
    <s v="Moss vs Sandnes Ulf"/>
  </r>
  <r>
    <s v="Odds Ballklubb vs Hødd / Correct Score"/>
    <s v="Fulltbet"/>
    <x v="2660"/>
    <n v="-70.42"/>
    <n v="4.4999999999999998E-2"/>
    <n v="-70.42"/>
    <x v="15"/>
    <x v="5"/>
    <x v="322"/>
    <n v="800.4"/>
    <x v="186"/>
    <n v="0"/>
    <n v="-8.798100949525238E-2"/>
    <n v="0"/>
    <x v="0"/>
    <x v="896"/>
    <x v="794"/>
    <s v="Odds Ballklubb vs Hødd"/>
  </r>
  <r>
    <s v="Bryne vs Åsane / Match Odds"/>
    <s v="Fulltbet"/>
    <x v="2661"/>
    <n v="97.94"/>
    <n v="4.4999999999999998E-2"/>
    <n v="102.55497382198953"/>
    <x v="23"/>
    <x v="20"/>
    <x v="42"/>
    <n v="799.97"/>
    <x v="186"/>
    <n v="4.6149738219895369"/>
    <n v="0.1224295911096666"/>
    <n v="1"/>
    <x v="0"/>
    <x v="897"/>
    <x v="867"/>
    <s v="Bryne vs Åsane"/>
  </r>
  <r>
    <s v="Bryne vs Åsane / Total 1.5"/>
    <s v="Fulltbet"/>
    <x v="2662"/>
    <n v="-120"/>
    <n v="4.4999999999999998E-2"/>
    <n v="-120"/>
    <x v="14"/>
    <x v="28"/>
    <x v="310"/>
    <n v="40"/>
    <x v="186"/>
    <n v="0"/>
    <n v="-3"/>
    <n v="0"/>
    <x v="0"/>
    <x v="897"/>
    <x v="867"/>
    <s v="Bryne vs Åsane"/>
  </r>
  <r>
    <s v="Norrby IF vs United IK Nordic / Total 0.5"/>
    <s v="Fulltbet"/>
    <x v="2663"/>
    <n v="-117.65"/>
    <n v="4.4999999999999998E-2"/>
    <n v="-117.65"/>
    <x v="14"/>
    <x v="19"/>
    <x v="317"/>
    <n v="40"/>
    <x v="186"/>
    <n v="0"/>
    <n v="-2.9412500000000001"/>
    <n v="0"/>
    <x v="0"/>
    <x v="864"/>
    <x v="931"/>
    <s v="Norrby IF vs United IK Nordic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</r>
  <r>
    <s v="Valur vs Keflavik IF / Total 1.5"/>
    <s v="Fulltbet"/>
    <x v="2665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8"/>
    <x v="956"/>
    <s v="Valur vs Keflavik IF"/>
  </r>
  <r>
    <s v="ÍB Vestmannaeyja vs Stjarnan / Total 3.5"/>
    <s v="Fulltbet"/>
    <x v="2666"/>
    <n v="-120"/>
    <n v="4.4999999999999998E-2"/>
    <n v="-120"/>
    <x v="14"/>
    <x v="17"/>
    <x v="310"/>
    <n v="40"/>
    <x v="186"/>
    <n v="0"/>
    <n v="-3"/>
    <n v="0"/>
    <x v="0"/>
    <x v="899"/>
    <x v="957"/>
    <s v="ÍB Vestmannaeyja vs Stjarnan"/>
  </r>
  <r>
    <s v="FIFA World Cup - Group E Winner / Winner"/>
    <s v="Fulltbet"/>
    <x v="2667"/>
    <n v="54.57"/>
    <n v="4.4999999999999998E-2"/>
    <n v="57.141361256544506"/>
    <x v="24"/>
    <x v="77"/>
    <x v="9"/>
    <n v="399.98"/>
    <x v="186"/>
    <n v="2.5713612565445061"/>
    <n v="0.13643182159107956"/>
    <n v="1"/>
    <x v="0"/>
    <x v="207"/>
    <x v="218"/>
    <s v="FIFA World Cup - Group E Winner"/>
  </r>
  <r>
    <s v="FIFA World Cup - Group D Winner / Winner"/>
    <s v="Fulltbet"/>
    <x v="2668"/>
    <n v="40.22"/>
    <n v="4.4999999999999998E-2"/>
    <n v="42.1151832460733"/>
    <x v="24"/>
    <x v="77"/>
    <x v="14"/>
    <n v="400.05"/>
    <x v="186"/>
    <n v="1.8951832460733016"/>
    <n v="0.10053743282089739"/>
    <n v="1"/>
    <x v="0"/>
    <x v="207"/>
    <x v="218"/>
    <s v="FIFA World Cup - Group D Winner"/>
  </r>
  <r>
    <s v="CRB vs Fortaleza EC / Total 1.5"/>
    <s v="Fulltbet"/>
    <x v="2669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39"/>
    <x v="95"/>
    <s v="CRB vs Fortaleza EC"/>
  </r>
  <r>
    <s v="Belgium vs Iran / Correct Score"/>
    <s v="Fulltbet"/>
    <x v="2670"/>
    <n v="-32"/>
    <n v="4.4999999999999998E-2"/>
    <n v="-32"/>
    <x v="15"/>
    <x v="5"/>
    <x v="117"/>
    <n v="800"/>
    <x v="186"/>
    <n v="0"/>
    <n v="-0.04"/>
    <n v="0"/>
    <x v="0"/>
    <x v="833"/>
    <x v="958"/>
    <s v="Belgium vs Iran"/>
  </r>
  <r>
    <s v="Belgium vs Iran / Total 1.5"/>
    <s v="Fulltbet"/>
    <x v="2671"/>
    <n v="-120"/>
    <n v="4.4999999999999998E-2"/>
    <n v="-120"/>
    <x v="14"/>
    <x v="28"/>
    <x v="310"/>
    <n v="40"/>
    <x v="186"/>
    <n v="0"/>
    <n v="-3"/>
    <n v="0"/>
    <x v="0"/>
    <x v="833"/>
    <x v="958"/>
    <s v="Belgium vs Iran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</r>
  <r>
    <s v="Fram Reykjavik vs Víkingur / Correct Score"/>
    <s v="Fulltbet"/>
    <x v="2673"/>
    <n v="24.65"/>
    <n v="4.4999999999999998E-2"/>
    <n v="25.811518324607331"/>
    <x v="15"/>
    <x v="6"/>
    <x v="66"/>
    <n v="800.11"/>
    <x v="186"/>
    <n v="1.1615183246073322"/>
    <n v="3.0808263863718738E-2"/>
    <n v="1"/>
    <x v="0"/>
    <x v="900"/>
    <x v="848"/>
    <s v="Fram Reykjavik vs Víkingur"/>
  </r>
  <r>
    <s v="Goiás EC vs Operário Ferroviário / Total 3.5"/>
    <s v="Fulltbet"/>
    <x v="2674"/>
    <n v="-114"/>
    <n v="4.4999999999999998E-2"/>
    <n v="-114"/>
    <x v="14"/>
    <x v="17"/>
    <x v="122"/>
    <n v="40"/>
    <x v="186"/>
    <n v="0"/>
    <n v="-2.85"/>
    <n v="0"/>
    <x v="0"/>
    <x v="901"/>
    <x v="959"/>
    <s v="Goiás EC vs Operário Ferroviário"/>
  </r>
  <r>
    <s v="Goiás EC vs Operário Ferroviário / Match Odds"/>
    <s v="Fulltbet"/>
    <x v="2675"/>
    <n v="-149.99"/>
    <n v="4.4999999999999998E-2"/>
    <n v="-149.99"/>
    <x v="20"/>
    <x v="71"/>
    <x v="323"/>
    <n v="150"/>
    <x v="186"/>
    <n v="0"/>
    <n v="-0.99993333333333334"/>
    <n v="0"/>
    <x v="0"/>
    <x v="901"/>
    <x v="959"/>
    <s v="Goiás EC vs Operário Ferroviário"/>
  </r>
  <r>
    <s v="Goiás EC vs Operário Ferroviário / Total 4.5"/>
    <s v="Fulltbet"/>
    <x v="2676"/>
    <n v="-100"/>
    <n v="4.4999999999999998E-2"/>
    <n v="-100"/>
    <x v="21"/>
    <x v="79"/>
    <x v="324"/>
    <n v="100"/>
    <x v="186"/>
    <n v="0"/>
    <n v="-1"/>
    <n v="0"/>
    <x v="0"/>
    <x v="901"/>
    <x v="959"/>
    <s v="Goiás EC vs Operário Ferroviário"/>
  </r>
  <r>
    <s v="Barra FC vs Amazonas FC / Correct Score"/>
    <s v="Fulltbet"/>
    <x v="2677"/>
    <n v="5.42"/>
    <n v="4.4999999999999998E-2"/>
    <n v="5.6753926701570681"/>
    <x v="10"/>
    <x v="61"/>
    <x v="3"/>
    <n v="48.85"/>
    <x v="186"/>
    <n v="0.25539267015706812"/>
    <n v="0.11095189355168884"/>
    <n v="1"/>
    <x v="0"/>
    <x v="902"/>
    <x v="960"/>
    <s v="Barra FC vs Amazonas FC"/>
  </r>
  <r>
    <s v="Uruguay vs Cape Verde / Total 3.5"/>
    <s v="Fulltbet"/>
    <x v="2678"/>
    <n v="38.200000000000003"/>
    <n v="4.4999999999999998E-2"/>
    <n v="40.000000000000007"/>
    <x v="14"/>
    <x v="17"/>
    <x v="325"/>
    <n v="40"/>
    <x v="186"/>
    <n v="1.8000000000000043"/>
    <n v="0.95500000000000007"/>
    <n v="1"/>
    <x v="0"/>
    <x v="903"/>
    <x v="921"/>
    <s v="Uruguay vs Cape Verde"/>
  </r>
  <r>
    <s v="Uruguay vs Cape Verde / Match Odds"/>
    <s v="Fulltbet"/>
    <x v="2679"/>
    <n v="-147.5"/>
    <n v="4.4999999999999998E-2"/>
    <n v="-147.5"/>
    <x v="23"/>
    <x v="20"/>
    <x v="31"/>
    <n v="800"/>
    <x v="186"/>
    <n v="0"/>
    <n v="-0.18437500000000001"/>
    <n v="0"/>
    <x v="0"/>
    <x v="903"/>
    <x v="921"/>
    <s v="Uruguay vs Cape Verde"/>
  </r>
  <r>
    <s v="New Zealand vs Egypt / Total 2.5"/>
    <s v="Fulltbet"/>
    <x v="2680"/>
    <n v="22.47"/>
    <n v="4.4999999999999998E-2"/>
    <n v="23.528795811518325"/>
    <x v="21"/>
    <x v="1"/>
    <x v="134"/>
    <n v="50"/>
    <x v="186"/>
    <n v="1.0587958115183262"/>
    <n v="0.44939999999999997"/>
    <n v="1"/>
    <x v="0"/>
    <x v="904"/>
    <x v="922"/>
    <s v="New Zealand vs Egypt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</r>
  <r>
    <s v="Varbergs BoIS vs Landskrona BoIS / Correct Score"/>
    <s v="Fulltbet"/>
    <x v="2682"/>
    <n v="47.75"/>
    <n v="4.4999999999999998E-2"/>
    <n v="50"/>
    <x v="19"/>
    <x v="5"/>
    <x v="10"/>
    <n v="800"/>
    <x v="187"/>
    <n v="2.25"/>
    <n v="5.9687499999999998E-2"/>
    <n v="1"/>
    <x v="0"/>
    <x v="848"/>
    <x v="601"/>
    <s v="Varbergs BoIS vs Landskrona BoIS"/>
  </r>
  <r>
    <s v="IK Oddevold vs Ljungskile SK / Correct Score"/>
    <s v="Fulltbet"/>
    <x v="2683"/>
    <n v="-94.12"/>
    <n v="4.4999999999999998E-2"/>
    <n v="-94.12"/>
    <x v="19"/>
    <x v="5"/>
    <x v="30"/>
    <n v="800.02"/>
    <x v="187"/>
    <n v="0"/>
    <n v="-0.11764705882352942"/>
    <n v="0"/>
    <x v="0"/>
    <x v="731"/>
    <x v="894"/>
    <s v="IK Oddevold vs Ljungskile SK"/>
  </r>
  <r>
    <s v="IK Oddevold vs Ljungskile SK / Both Teams To Score"/>
    <s v="Fulltbet"/>
    <x v="2684"/>
    <n v="-5"/>
    <n v="4.4999999999999998E-2"/>
    <n v="-5"/>
    <x v="10"/>
    <x v="59"/>
    <x v="82"/>
    <n v="5"/>
    <x v="187"/>
    <n v="0"/>
    <n v="-1"/>
    <n v="0"/>
    <x v="0"/>
    <x v="731"/>
    <x v="894"/>
    <s v="IK Oddevold vs Ljungskile SK"/>
  </r>
  <r>
    <s v="Argentina vs Austria / Match Odds"/>
    <s v="Fulltbet"/>
    <x v="2685"/>
    <n v="6.62"/>
    <n v="4.4999999999999998E-2"/>
    <n v="6.9319371727748695"/>
    <x v="20"/>
    <x v="76"/>
    <x v="33"/>
    <n v="75.03"/>
    <x v="187"/>
    <n v="0.31193717277486943"/>
    <n v="8.8231374117019853E-2"/>
    <n v="1"/>
    <x v="0"/>
    <x v="836"/>
    <x v="961"/>
    <s v="Argentina vs Austria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</r>
  <r>
    <s v="Shamrock Rovers vs Derry City / Match Odds"/>
    <s v="Fulltbet"/>
    <x v="2687"/>
    <n v="-2"/>
    <n v="4.4999999999999998E-2"/>
    <n v="-2"/>
    <x v="10"/>
    <x v="39"/>
    <x v="125"/>
    <n v="2"/>
    <x v="187"/>
    <n v="0"/>
    <n v="-1"/>
    <n v="0"/>
    <x v="0"/>
    <x v="759"/>
    <x v="613"/>
    <s v="Shamrock Rovers vs Derry City"/>
  </r>
  <r>
    <s v="Shamrock Rovers vs Derry City / Total 2.5"/>
    <s v="Fulltbet"/>
    <x v="2688"/>
    <n v="-19.77"/>
    <n v="4.4999999999999998E-2"/>
    <n v="-19.77"/>
    <x v="21"/>
    <x v="0"/>
    <x v="326"/>
    <n v="100"/>
    <x v="187"/>
    <n v="0"/>
    <n v="-0.19769999999999999"/>
    <n v="0"/>
    <x v="0"/>
    <x v="759"/>
    <x v="613"/>
    <s v="Shamrock Rovers vs Derry City"/>
  </r>
  <r>
    <s v="KR Reykjavik vs IA Akranes / Correct Score"/>
    <s v="Fulltbet"/>
    <x v="2689"/>
    <n v="16.25"/>
    <n v="4.4999999999999998E-2"/>
    <n v="17.015706806282722"/>
    <x v="15"/>
    <x v="5"/>
    <x v="327"/>
    <n v="799.94"/>
    <x v="187"/>
    <n v="0.76570680628272214"/>
    <n v="2.031402355176638E-2"/>
    <n v="1"/>
    <x v="0"/>
    <x v="905"/>
    <x v="963"/>
    <s v="KR Reykjavik vs IA Akranes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</r>
  <r>
    <s v="France vs Iraq / Match Odds"/>
    <s v="Fulltbet"/>
    <x v="2690"/>
    <n v="28.29665"/>
    <n v="4.4999999999999998E-2"/>
    <n v="29.630000000000003"/>
    <x v="8"/>
    <x v="20"/>
    <x v="17"/>
    <n v="400.01"/>
    <x v="187"/>
    <n v="1.3333500000000029"/>
    <n v="7.0739856503587412E-2"/>
    <n v="1"/>
    <x v="46"/>
    <x v="878"/>
    <x v="964"/>
    <s v="France vs Iraq"/>
  </r>
  <r>
    <s v="Norway vs Senegal / Match Odds"/>
    <s v="Fulltbet"/>
    <x v="2691"/>
    <n v="16.88"/>
    <n v="4.4999999999999998E-2"/>
    <n v="17.675392670157066"/>
    <x v="20"/>
    <x v="75"/>
    <x v="170"/>
    <n v="73.39"/>
    <x v="187"/>
    <n v="0.79539267015706727"/>
    <n v="0.2300040877503747"/>
    <n v="1"/>
    <x v="0"/>
    <x v="906"/>
    <x v="932"/>
    <s v="Norway vs Senegal"/>
  </r>
  <r>
    <s v="Jordan vs Algeria / Correct Score"/>
    <s v="Fulltbet"/>
    <x v="2692"/>
    <n v="10.06"/>
    <n v="4.4999999999999998E-2"/>
    <n v="10.534031413612567"/>
    <x v="15"/>
    <x v="6"/>
    <x v="18"/>
    <n v="200.07"/>
    <x v="188"/>
    <n v="0.47403141361256651"/>
    <n v="5.0282401159594148E-2"/>
    <n v="1"/>
    <x v="0"/>
    <x v="907"/>
    <x v="934"/>
    <s v="Jordan vs Algeria"/>
  </r>
  <r>
    <s v="FC Lahti vs TPS / Correct Score"/>
    <s v="Fulltbet"/>
    <x v="2693"/>
    <n v="5.83"/>
    <n v="4.4999999999999998E-2"/>
    <n v="6.1047120418848166"/>
    <x v="10"/>
    <x v="61"/>
    <x v="22"/>
    <n v="48.8"/>
    <x v="188"/>
    <n v="0.27471204188481657"/>
    <n v="0.11946721311475411"/>
    <n v="1"/>
    <x v="0"/>
    <x v="908"/>
    <x v="763"/>
    <s v="FC Lahti vs TPS"/>
  </r>
  <r>
    <s v="FC Inter Turku vs SJK / Match Odds"/>
    <s v="Fulltbet"/>
    <x v="2694"/>
    <n v="34.46555"/>
    <n v="4.4999999999999998E-2"/>
    <n v="36.089581151832462"/>
    <x v="20"/>
    <x v="75"/>
    <x v="328"/>
    <n v="148.66000000000003"/>
    <x v="188"/>
    <n v="1.6240311518324617"/>
    <n v="0.2318414502892506"/>
    <n v="1"/>
    <x v="0"/>
    <x v="856"/>
    <x v="646"/>
    <s v="FC Inter Turku vs SJK"/>
  </r>
  <r>
    <s v="FC Inter Turku vs SJK / Match Odds"/>
    <s v="Fulltbet"/>
    <x v="2694"/>
    <n v="25.584449999999997"/>
    <n v="4.4999999999999998E-2"/>
    <n v="26.79"/>
    <x v="10"/>
    <x v="41"/>
    <x v="139"/>
    <n v="28.93"/>
    <x v="188"/>
    <n v="1.2055500000000023"/>
    <n v="0.88435706878672649"/>
    <n v="1"/>
    <x v="0"/>
    <x v="856"/>
    <x v="646"/>
    <s v="FC Inter Turku vs SJK"/>
  </r>
  <r>
    <s v="FC Inter Turku vs SJK / Total 2.5"/>
    <s v="Fulltbet"/>
    <x v="2695"/>
    <n v="0.49"/>
    <n v="4.4999999999999998E-2"/>
    <n v="0.51308900523560208"/>
    <x v="21"/>
    <x v="0"/>
    <x v="62"/>
    <n v="50"/>
    <x v="188"/>
    <n v="2.3089005235602089E-2"/>
    <n v="9.7999999999999997E-3"/>
    <n v="1"/>
    <x v="0"/>
    <x v="856"/>
    <x v="646"/>
    <s v="FC Inter Turku vs SJK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</r>
  <r>
    <s v="Panama vs Croatia / Correct Score"/>
    <s v="Fulltbet"/>
    <x v="2698"/>
    <n v="27.28"/>
    <n v="4.4999999999999998E-2"/>
    <n v="28.565445026178011"/>
    <x v="15"/>
    <x v="6"/>
    <x v="80"/>
    <n v="799.96"/>
    <x v="188"/>
    <n v="1.2854450261780102"/>
    <n v="3.4101705085254265E-2"/>
    <n v="1"/>
    <x v="0"/>
    <x v="909"/>
    <x v="938"/>
    <s v="Panama vs Croatia"/>
  </r>
  <r>
    <s v="Panama vs Croatia / Correct Score"/>
    <s v="Betbra"/>
    <x v="2698"/>
    <n v="34.54"/>
    <n v="4.4999999999999998E-2"/>
    <n v="36.167539267015705"/>
    <x v="16"/>
    <x v="63"/>
    <x v="72"/>
    <n v="100"/>
    <x v="188"/>
    <n v="1.6275392670157061"/>
    <n v="0.34539999999999998"/>
    <n v="1"/>
    <x v="0"/>
    <x v="909"/>
    <x v="938"/>
    <s v="Panama vs Croatia"/>
  </r>
  <r>
    <s v="Panama vs Croatia / Match Odds"/>
    <s v="Betbra"/>
    <x v="2699"/>
    <n v="57.17"/>
    <n v="4.4999999999999998E-2"/>
    <n v="59.863874345549739"/>
    <x v="3"/>
    <x v="68"/>
    <x v="44"/>
    <n v="399.98"/>
    <x v="188"/>
    <n v="2.6938743455497374"/>
    <n v="0.14293214660733036"/>
    <n v="1"/>
    <x v="46"/>
    <x v="909"/>
    <x v="938"/>
    <s v="Panama vs Croatia"/>
  </r>
  <r>
    <s v="Panama vs Croatia / Match Odds"/>
    <s v="Bolsa"/>
    <x v="2699"/>
    <n v="47.75"/>
    <n v="4.4999999999999998E-2"/>
    <n v="50"/>
    <x v="17"/>
    <x v="53"/>
    <x v="135"/>
    <n v="200"/>
    <x v="188"/>
    <n v="2.25"/>
    <n v="0.23874999999999999"/>
    <n v="1"/>
    <x v="0"/>
    <x v="909"/>
    <x v="938"/>
    <s v="Panama vs Croatia"/>
  </r>
  <r>
    <s v="Panama vs Croatia / Correct Score"/>
    <s v="Bolsa"/>
    <x v="2699"/>
    <n v="-21.06"/>
    <n v="4.4999999999999998E-2"/>
    <n v="-21.06"/>
    <x v="17"/>
    <x v="66"/>
    <x v="14"/>
    <n v="21.06"/>
    <x v="188"/>
    <n v="0"/>
    <n v="-1"/>
    <n v="0"/>
    <x v="0"/>
    <x v="909"/>
    <x v="938"/>
    <s v="Panama vs Croatia"/>
  </r>
  <r>
    <s v="Colombia vs Congo DR / Correct Score"/>
    <s v="Fulltbet"/>
    <x v="2700"/>
    <n v="-16.93"/>
    <n v="4.4999999999999998E-2"/>
    <n v="-16.93"/>
    <x v="15"/>
    <x v="5"/>
    <x v="32"/>
    <n v="799.93"/>
    <x v="189"/>
    <n v="0"/>
    <n v="-2.1164351880789571E-2"/>
    <n v="0"/>
    <x v="0"/>
    <x v="841"/>
    <x v="937"/>
    <s v="Colombia vs Congo DR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</r>
  <r>
    <s v="Colombia vs Congo DR / Correct Score"/>
    <s v="Betbra"/>
    <x v="2700"/>
    <n v="29.957249999999998"/>
    <n v="4.4999999999999998E-2"/>
    <n v="31.368848167539266"/>
    <x v="16"/>
    <x v="63"/>
    <x v="72"/>
    <n v="100"/>
    <x v="189"/>
    <n v="1.4115981675392675"/>
    <n v="0.29957249999999996"/>
    <n v="1"/>
    <x v="0"/>
    <x v="841"/>
    <x v="937"/>
    <s v="Colombia vs Congo DR"/>
  </r>
  <r>
    <s v="Colombia vs Congo DR / Match Odds"/>
    <s v="Betbra"/>
    <x v="2701"/>
    <n v="58.91"/>
    <n v="4.4999999999999998E-2"/>
    <n v="61.68586387434555"/>
    <x v="3"/>
    <x v="68"/>
    <x v="41"/>
    <n v="400.03"/>
    <x v="189"/>
    <n v="2.7758638743455535"/>
    <n v="0.14726395520335975"/>
    <n v="1"/>
    <x v="46"/>
    <x v="841"/>
    <x v="937"/>
    <s v="Colombia vs Congo DR"/>
  </r>
  <r>
    <s v="Bosnia-Herzegovina vs Qatar / Match Odds"/>
    <s v="Bolsa"/>
    <x v="2702"/>
    <n v="32.659999999999997"/>
    <n v="4.4999999999999998E-2"/>
    <n v="34.198952879581149"/>
    <x v="17"/>
    <x v="53"/>
    <x v="228"/>
    <n v="199.98"/>
    <x v="189"/>
    <n v="1.5389528795811529"/>
    <n v="0.16331633163316331"/>
    <n v="1"/>
    <x v="0"/>
    <x v="910"/>
    <x v="943"/>
    <s v="Bosnia-Herzegovina vs Qatar"/>
  </r>
  <r>
    <s v="Bosnia-Herzegovina vs Qatar / Correct Score"/>
    <s v="Bolsa"/>
    <x v="2702"/>
    <n v="-20"/>
    <n v="4.4999999999999998E-2"/>
    <n v="-20"/>
    <x v="17"/>
    <x v="66"/>
    <x v="31"/>
    <n v="20"/>
    <x v="189"/>
    <n v="0"/>
    <n v="-1"/>
    <n v="0"/>
    <x v="0"/>
    <x v="910"/>
    <x v="943"/>
    <s v="Bosnia-Herzegovina vs Qatar"/>
  </r>
  <r>
    <s v="FIFA World Cup - Group B Winner / Winner"/>
    <s v="Fulltbet"/>
    <x v="2703"/>
    <n v="51.62"/>
    <n v="4.4999999999999998E-2"/>
    <n v="54.052356020942405"/>
    <x v="24"/>
    <x v="77"/>
    <x v="19"/>
    <n v="399.97"/>
    <x v="189"/>
    <n v="2.4323560209424073"/>
    <n v="0.12905967947596067"/>
    <n v="1"/>
    <x v="0"/>
    <x v="207"/>
    <x v="218"/>
    <s v="FIFA World Cup - Group B Winner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</r>
  <r>
    <s v="Scotland vs Brazil / Correct Score"/>
    <s v="Fulltbet"/>
    <x v="2705"/>
    <n v="28.3"/>
    <n v="4.4999999999999998E-2"/>
    <n v="29.633507853403142"/>
    <x v="15"/>
    <x v="6"/>
    <x v="35"/>
    <n v="800.01"/>
    <x v="189"/>
    <n v="1.333507853403141"/>
    <n v="3.5374557818027279E-2"/>
    <n v="1"/>
    <x v="0"/>
    <x v="891"/>
    <x v="965"/>
    <s v="Scotland vs Brazil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</r>
  <r>
    <s v="FIFA World Cup - Group C Winner / Winner"/>
    <s v="Fulltbet"/>
    <x v="2707"/>
    <n v="33.21"/>
    <n v="4.4999999999999998E-2"/>
    <n v="34.774869109947645"/>
    <x v="24"/>
    <x v="77"/>
    <x v="12"/>
    <n v="399.97"/>
    <x v="189"/>
    <n v="1.5648691099476437"/>
    <n v="8.3031227342050651E-2"/>
    <n v="1"/>
    <x v="0"/>
    <x v="207"/>
    <x v="218"/>
    <s v="FIFA World Cup - Group C Winner"/>
  </r>
  <r>
    <s v="South Africa vs South Korea / Match Odds"/>
    <s v="Fulltbet"/>
    <x v="2708"/>
    <n v="-147.78"/>
    <n v="4.4999999999999998E-2"/>
    <n v="-147.78"/>
    <x v="20"/>
    <x v="76"/>
    <x v="329"/>
    <n v="147.78"/>
    <x v="189"/>
    <n v="0"/>
    <n v="-1"/>
    <n v="0"/>
    <x v="0"/>
    <x v="911"/>
    <x v="944"/>
    <s v="South Africa vs South Korea"/>
  </r>
  <r>
    <s v="South Africa vs South Korea / Match Odds"/>
    <s v="Bolsa"/>
    <x v="2708"/>
    <n v="67.02"/>
    <n v="4.4999999999999998E-2"/>
    <n v="70.178010471204189"/>
    <x v="17"/>
    <x v="66"/>
    <x v="41"/>
    <n v="30.3"/>
    <x v="189"/>
    <n v="3.158010471204193"/>
    <n v="2.2118811881188116"/>
    <n v="1"/>
    <x v="0"/>
    <x v="911"/>
    <x v="944"/>
    <s v="South Africa vs South Korea"/>
  </r>
  <r>
    <s v="South Africa vs South Korea / Correct Score"/>
    <s v="Bolsa"/>
    <x v="2708"/>
    <n v="-30.3"/>
    <n v="4.4999999999999998E-2"/>
    <n v="-30.3"/>
    <x v="17"/>
    <x v="53"/>
    <x v="300"/>
    <n v="196.5"/>
    <x v="189"/>
    <n v="0"/>
    <n v="-0.15419847328244274"/>
    <n v="0"/>
    <x v="0"/>
    <x v="911"/>
    <x v="944"/>
    <s v="South Africa vs South Korea"/>
  </r>
  <r>
    <s v="BFC Daugavpils vs Riga FC / Total 0.5"/>
    <s v="Fulltbet"/>
    <x v="2709"/>
    <n v="-120"/>
    <n v="4.4999999999999998E-2"/>
    <n v="-120"/>
    <x v="14"/>
    <x v="19"/>
    <x v="310"/>
    <n v="40"/>
    <x v="190"/>
    <n v="0"/>
    <n v="-3"/>
    <n v="0"/>
    <x v="0"/>
    <x v="873"/>
    <x v="790"/>
    <s v="BFC Daugavpils vs Riga FC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</r>
  <r>
    <s v="Ecuador vs Germany / Correct Score"/>
    <s v="Fulltbet"/>
    <x v="2711"/>
    <n v="20.100000000000001"/>
    <n v="4.4999999999999998E-2"/>
    <n v="21.04712041884817"/>
    <x v="15"/>
    <x v="6"/>
    <x v="24"/>
    <n v="389.43"/>
    <x v="190"/>
    <n v="0.94712041884816855"/>
    <n v="5.1613897234419538E-2"/>
    <n v="1"/>
    <x v="0"/>
    <x v="840"/>
    <x v="884"/>
    <s v="Ecuador vs Germany"/>
  </r>
  <r>
    <s v="Japan vs Sweden / Total 0.5"/>
    <s v="Fulltbet"/>
    <x v="2712"/>
    <n v="38.200000000000003"/>
    <n v="4.4999999999999998E-2"/>
    <n v="40.000000000000007"/>
    <x v="14"/>
    <x v="19"/>
    <x v="301"/>
    <n v="40"/>
    <x v="190"/>
    <n v="1.8000000000000043"/>
    <n v="0.95500000000000007"/>
    <n v="1"/>
    <x v="0"/>
    <x v="912"/>
    <x v="952"/>
    <s v="Japan vs Sweden"/>
  </r>
  <r>
    <s v="Japan vs Sweden / Correct Score"/>
    <s v="Fulltbet"/>
    <x v="2713"/>
    <n v="29.79"/>
    <n v="4.4999999999999998E-2"/>
    <n v="31.193717277486911"/>
    <x v="15"/>
    <x v="5"/>
    <x v="17"/>
    <n v="421.07"/>
    <x v="190"/>
    <n v="1.403717277486912"/>
    <n v="7.0748331631320202E-2"/>
    <n v="1"/>
    <x v="0"/>
    <x v="912"/>
    <x v="952"/>
    <s v="Japan vs Sweden"/>
  </r>
  <r>
    <s v="Cuiabá EC vs Londrina / Correct Score"/>
    <s v="Fulltbet"/>
    <x v="2714"/>
    <n v="-31.25"/>
    <n v="4.4999999999999998E-2"/>
    <n v="-31.25"/>
    <x v="17"/>
    <x v="66"/>
    <x v="81"/>
    <n v="31.25"/>
    <x v="190"/>
    <n v="0"/>
    <n v="-1"/>
    <n v="0"/>
    <x v="0"/>
    <x v="913"/>
    <x v="818"/>
    <s v="Cuiabá EC vs Londrina"/>
  </r>
  <r>
    <s v="Cuiabá EC vs Londrina / Match Odds"/>
    <s v="Fulltbet"/>
    <x v="2715"/>
    <n v="33.72"/>
    <n v="4.4999999999999998E-2"/>
    <n v="35.308900523560212"/>
    <x v="17"/>
    <x v="53"/>
    <x v="235"/>
    <n v="199.99"/>
    <x v="190"/>
    <n v="1.5889005235602127"/>
    <n v="0.16860843042152107"/>
    <n v="1"/>
    <x v="0"/>
    <x v="913"/>
    <x v="818"/>
    <s v="Cuiabá EC vs Londrina"/>
  </r>
  <r>
    <s v="IK Brage vs Falkenbergs FF / Both Teams To Score"/>
    <s v="Fulltbet"/>
    <x v="2716"/>
    <n v="2.6"/>
    <n v="4.4999999999999998E-2"/>
    <n v="2.7225130890052358"/>
    <x v="10"/>
    <x v="59"/>
    <x v="232"/>
    <n v="5"/>
    <x v="191"/>
    <n v="0.12251308900523572"/>
    <n v="0.52"/>
    <n v="1"/>
    <x v="0"/>
    <x v="846"/>
    <x v="655"/>
    <s v="IK Brage vs Falkenbergs FF"/>
  </r>
  <r>
    <s v="FK Liepaja vs Rigas Futbola Skola / Correct Score"/>
    <s v="Fulltbet"/>
    <x v="2717"/>
    <n v="13.55"/>
    <n v="4.4999999999999998E-2"/>
    <n v="14.188481675392671"/>
    <x v="15"/>
    <x v="6"/>
    <x v="66"/>
    <n v="439.89"/>
    <x v="191"/>
    <n v="0.63848167539267031"/>
    <n v="3.080315533428812E-2"/>
    <n v="1"/>
    <x v="0"/>
    <x v="914"/>
    <x v="936"/>
    <s v="FK Liepaja vs Rigas Futbola Skola"/>
  </r>
  <r>
    <s v="Shamrock Rovers vs Galway United / Total 2.5"/>
    <s v="Fulltbet"/>
    <x v="2718"/>
    <n v="38.200000000000003"/>
    <n v="4.4999999999999998E-2"/>
    <n v="40.000000000000007"/>
    <x v="14"/>
    <x v="10"/>
    <x v="310"/>
    <n v="40"/>
    <x v="191"/>
    <n v="1.8000000000000043"/>
    <n v="0.95500000000000007"/>
    <n v="1"/>
    <x v="0"/>
    <x v="759"/>
    <x v="634"/>
    <s v="Shamrock Rovers vs Galway United"/>
  </r>
  <r>
    <s v="Shamrock Rovers vs Galway United / Correct Score"/>
    <s v="Betbra"/>
    <x v="2719"/>
    <n v="-22.22"/>
    <n v="4.4999999999999998E-2"/>
    <n v="-22.22"/>
    <x v="17"/>
    <x v="66"/>
    <x v="13"/>
    <n v="22.22"/>
    <x v="191"/>
    <n v="0"/>
    <n v="-1"/>
    <n v="0"/>
    <x v="0"/>
    <x v="759"/>
    <x v="634"/>
    <s v="Shamrock Rovers vs Galway United"/>
  </r>
  <r>
    <s v="Shamrock Rovers vs Galway United / Correct Score"/>
    <s v="Fulltbet"/>
    <x v="2719"/>
    <n v="27.28"/>
    <n v="4.4999999999999998E-2"/>
    <n v="28.565445026178011"/>
    <x v="19"/>
    <x v="5"/>
    <x v="15"/>
    <n v="399.98"/>
    <x v="191"/>
    <n v="1.2854450261780102"/>
    <n v="6.820341017050853E-2"/>
    <n v="1"/>
    <x v="0"/>
    <x v="759"/>
    <x v="634"/>
    <s v="Shamrock Rovers vs Galway United"/>
  </r>
  <r>
    <s v="Shamrock Rovers vs Galway United / Match Odds"/>
    <s v="Betbra"/>
    <x v="2720"/>
    <n v="39.25"/>
    <n v="4.4999999999999998E-2"/>
    <n v="41.099476439790578"/>
    <x v="17"/>
    <x v="53"/>
    <x v="135"/>
    <n v="200"/>
    <x v="191"/>
    <n v="1.8494764397905783"/>
    <n v="0.19625000000000001"/>
    <n v="1"/>
    <x v="0"/>
    <x v="759"/>
    <x v="634"/>
    <s v="Shamrock Rovers vs Galway United"/>
  </r>
  <r>
    <s v="Shamrock Rovers vs Galway United / Match Odds"/>
    <s v="Fulltbet"/>
    <x v="2720"/>
    <n v="5.51"/>
    <n v="4.4999999999999998E-2"/>
    <n v="5.7696335078534036"/>
    <x v="20"/>
    <x v="76"/>
    <x v="42"/>
    <n v="75.040000000000006"/>
    <x v="191"/>
    <n v="0.25963350785340378"/>
    <n v="7.3427505330490403E-2"/>
    <n v="1"/>
    <x v="0"/>
    <x v="759"/>
    <x v="634"/>
    <s v="Shamrock Rovers vs Galway United"/>
  </r>
  <r>
    <s v="Dundalk vs Waterford FC / Match Odds"/>
    <s v="Fulltbet"/>
    <x v="2721"/>
    <n v="-399.37"/>
    <n v="4.4999999999999998E-2"/>
    <n v="-399.37"/>
    <x v="3"/>
    <x v="7"/>
    <x v="116"/>
    <n v="399.37"/>
    <x v="191"/>
    <n v="0"/>
    <n v="-1"/>
    <n v="0"/>
    <x v="37"/>
    <x v="915"/>
    <x v="653"/>
    <s v="Dundalk vs Waterford FC"/>
  </r>
  <r>
    <s v="Norway vs France / Total 4.5"/>
    <s v="Fulltbet"/>
    <x v="2722"/>
    <n v="-224.85"/>
    <n v="4.4999999999999998E-2"/>
    <n v="-224.85"/>
    <x v="25"/>
    <x v="80"/>
    <x v="206"/>
    <n v="50"/>
    <x v="191"/>
    <n v="0"/>
    <n v="-4.4969999999999999"/>
    <n v="0"/>
    <x v="0"/>
    <x v="906"/>
    <x v="966"/>
    <s v="Norway vs France"/>
  </r>
  <r>
    <s v="Norway vs France / Total 4.5"/>
    <s v="Fulltbet"/>
    <x v="2722"/>
    <n v="40"/>
    <n v="0"/>
    <n v="40"/>
    <x v="14"/>
    <x v="81"/>
    <x v="216"/>
    <n v="40"/>
    <x v="191"/>
    <n v="0"/>
    <n v="1"/>
    <n v="1"/>
    <x v="0"/>
    <x v="906"/>
    <x v="966"/>
    <s v="Norway vs France"/>
  </r>
  <r>
    <s v="Norway vs France / Correct Score"/>
    <s v="Fulltbet"/>
    <x v="2723"/>
    <n v="6.99"/>
    <n v="4.4999999999999998E-2"/>
    <n v="7.3193717277486918"/>
    <x v="15"/>
    <x v="6"/>
    <x v="66"/>
    <n v="226.92"/>
    <x v="191"/>
    <n v="0.32937172774869161"/>
    <n v="3.0803807509254367E-2"/>
    <n v="1"/>
    <x v="0"/>
    <x v="906"/>
    <x v="966"/>
    <s v="Norway vs France"/>
  </r>
  <r>
    <s v="FIFA World Cup - Group I Winner / Winner"/>
    <s v="Fulltbet"/>
    <x v="2724"/>
    <n v="47.75"/>
    <n v="4.4999999999999998E-2"/>
    <n v="50"/>
    <x v="24"/>
    <x v="77"/>
    <x v="22"/>
    <n v="400"/>
    <x v="191"/>
    <n v="2.25"/>
    <n v="0.119375"/>
    <n v="1"/>
    <x v="0"/>
    <x v="207"/>
    <x v="218"/>
    <s v="FIFA World Cup - Group I Winner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</r>
  <r>
    <s v="Uruguay vs Spain / Correct Score"/>
    <s v="Fulltbet"/>
    <x v="2726"/>
    <n v="30.29"/>
    <n v="4.4999999999999998E-2"/>
    <n v="31.717277486910994"/>
    <x v="15"/>
    <x v="6"/>
    <x v="29"/>
    <n v="459.94"/>
    <x v="191"/>
    <n v="1.4272774869109952"/>
    <n v="6.5856416054267952E-2"/>
    <n v="1"/>
    <x v="0"/>
    <x v="903"/>
    <x v="967"/>
    <s v="Uruguay vs Spain"/>
  </r>
  <r>
    <s v="Uruguay vs Spain / Match Odds"/>
    <s v="Betbra"/>
    <x v="2727"/>
    <n v="72"/>
    <n v="4.4999999999999998E-2"/>
    <n v="75.392670157068068"/>
    <x v="3"/>
    <x v="68"/>
    <x v="25"/>
    <n v="399.98"/>
    <x v="191"/>
    <n v="3.3926701570680677"/>
    <n v="0.18000900045002249"/>
    <n v="1"/>
    <x v="46"/>
    <x v="903"/>
    <x v="967"/>
    <s v="Uruguay vs Spain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</r>
  <r>
    <s v="Henan Songshan Longmen vs Shanghai Port / Total 2.5"/>
    <s v="Fulltbet"/>
    <x v="2729"/>
    <n v="1.08"/>
    <n v="4.4999999999999998E-2"/>
    <n v="1.130890052356021"/>
    <x v="14"/>
    <x v="10"/>
    <x v="300"/>
    <n v="3.16"/>
    <x v="192"/>
    <n v="5.0890052356020954E-2"/>
    <n v="0.34177215189873417"/>
    <n v="1"/>
    <x v="0"/>
    <x v="798"/>
    <x v="693"/>
    <s v="Henan Songshan Longmen vs Shanghai Port"/>
  </r>
  <r>
    <s v="Shenzhen Peng City vs Chengdu Rongcheng / Total 1.5"/>
    <s v="Fulltbet"/>
    <x v="2730"/>
    <n v="38.200000000000003"/>
    <n v="4.4999999999999998E-2"/>
    <n v="40.000000000000007"/>
    <x v="14"/>
    <x v="28"/>
    <x v="310"/>
    <n v="40"/>
    <x v="192"/>
    <n v="1.8000000000000043"/>
    <n v="0.95500000000000007"/>
    <n v="1"/>
    <x v="0"/>
    <x v="917"/>
    <x v="810"/>
    <s v="Shenzhen Peng City vs Chengdu Rongcheng"/>
  </r>
  <r>
    <s v="Beijing Guoan vs Wuhan Three Towns / Correct Score"/>
    <s v="Fulltbet"/>
    <x v="2731"/>
    <n v="11.41"/>
    <n v="4.4999999999999998E-2"/>
    <n v="11.947643979057592"/>
    <x v="15"/>
    <x v="5"/>
    <x v="287"/>
    <n v="489.95"/>
    <x v="192"/>
    <n v="0.53764397905759154"/>
    <n v="2.3288090621491991E-2"/>
    <n v="1"/>
    <x v="0"/>
    <x v="527"/>
    <x v="579"/>
    <s v="Beijing Guoan vs Wuhan Three Towns"/>
  </r>
  <r>
    <s v="Varbergs BoIS vs Östers IF / Correct Score"/>
    <s v="Fulltbet"/>
    <x v="2732"/>
    <n v="27.02"/>
    <n v="4.4999999999999998E-2"/>
    <n v="28.293193717277486"/>
    <x v="15"/>
    <x v="5"/>
    <x v="330"/>
    <n v="500.46"/>
    <x v="192"/>
    <n v="1.2731937172774863"/>
    <n v="5.3990328897414383E-2"/>
    <n v="1"/>
    <x v="0"/>
    <x v="848"/>
    <x v="842"/>
    <s v="Varbergs BoIS vs Östers IF"/>
  </r>
  <r>
    <s v="Sandnes Ulf vs Raufoss / Correct Score"/>
    <s v="Betbra"/>
    <x v="2733"/>
    <n v="-25"/>
    <n v="4.4999999999999998E-2"/>
    <n v="-25"/>
    <x v="17"/>
    <x v="66"/>
    <x v="22"/>
    <n v="25"/>
    <x v="192"/>
    <n v="0"/>
    <n v="-1"/>
    <n v="0"/>
    <x v="0"/>
    <x v="918"/>
    <x v="748"/>
    <s v="Sandnes Ulf vs Raufoss"/>
  </r>
  <r>
    <s v="Sandnes Ulf vs Raufoss / Match Odds"/>
    <s v="Betbra"/>
    <x v="2734"/>
    <n v="51.75"/>
    <n v="4.4999999999999998E-2"/>
    <n v="54.188481675392673"/>
    <x v="17"/>
    <x v="53"/>
    <x v="245"/>
    <n v="200.02"/>
    <x v="192"/>
    <n v="2.4384816753926728"/>
    <n v="0.25872412758724128"/>
    <n v="1"/>
    <x v="0"/>
    <x v="918"/>
    <x v="748"/>
    <s v="Sandnes Ulf vs Raufoss"/>
  </r>
  <r>
    <s v="Sandnes Ulf vs Raufoss / Match Odds"/>
    <s v="Fulltbet"/>
    <x v="2734"/>
    <n v="15.57"/>
    <n v="4.4999999999999998E-2"/>
    <n v="16.30366492146597"/>
    <x v="20"/>
    <x v="75"/>
    <x v="224"/>
    <n v="74.98"/>
    <x v="192"/>
    <n v="0.7336649214659694"/>
    <n v="0.20765537476660442"/>
    <n v="1"/>
    <x v="0"/>
    <x v="918"/>
    <x v="748"/>
    <s v="Sandnes Ulf vs Raufoss"/>
  </r>
  <r>
    <s v="Stabæk vs Bryne / Correct Score"/>
    <s v="Fulltbet"/>
    <x v="2735"/>
    <n v="18.72"/>
    <n v="4.4999999999999998E-2"/>
    <n v="19.602094240837697"/>
    <x v="15"/>
    <x v="5"/>
    <x v="117"/>
    <n v="490"/>
    <x v="192"/>
    <n v="0.88209424083769861"/>
    <n v="3.8204081632653056E-2"/>
    <n v="1"/>
    <x v="0"/>
    <x v="703"/>
    <x v="840"/>
    <s v="Stabæk vs Bryne"/>
  </r>
  <r>
    <s v="Operário Ferroviário vs América-MG / Correct Score"/>
    <s v="Betbra"/>
    <x v="2736"/>
    <n v="-31.25"/>
    <n v="4.4999999999999998E-2"/>
    <n v="-31.25"/>
    <x v="17"/>
    <x v="66"/>
    <x v="81"/>
    <n v="31.25"/>
    <x v="192"/>
    <n v="0"/>
    <n v="-1"/>
    <n v="0"/>
    <x v="0"/>
    <x v="919"/>
    <x v="489"/>
    <s v="Operário Ferroviário vs América-MG"/>
  </r>
  <r>
    <s v="Operário Ferroviário vs América-MG / Match Odds"/>
    <s v="Betbra"/>
    <x v="2737"/>
    <n v="74.77"/>
    <n v="4.4999999999999998E-2"/>
    <n v="78.293193717277489"/>
    <x v="17"/>
    <x v="53"/>
    <x v="301"/>
    <n v="199.99"/>
    <x v="192"/>
    <n v="3.5231937172774934"/>
    <n v="0.37386869343467172"/>
    <n v="1"/>
    <x v="0"/>
    <x v="919"/>
    <x v="489"/>
    <s v="Operário Ferroviário vs América-MG"/>
  </r>
  <r>
    <s v="Operário Ferroviário vs América-MG / Match Odds"/>
    <s v="Fulltbet"/>
    <x v="2737"/>
    <n v="14.55"/>
    <n v="4.4999999999999998E-2"/>
    <n v="15.235602094240839"/>
    <x v="20"/>
    <x v="75"/>
    <x v="128"/>
    <n v="74.989999999999995"/>
    <x v="192"/>
    <n v="0.68560209424083851"/>
    <n v="0.19402587011601549"/>
    <n v="1"/>
    <x v="0"/>
    <x v="919"/>
    <x v="489"/>
    <s v="Operário Ferroviário vs América-MG"/>
  </r>
  <r>
    <s v="TPS vs FF Jaro / Correct Score"/>
    <s v="Betbra"/>
    <x v="2738"/>
    <n v="-31.25"/>
    <n v="4.4999999999999998E-2"/>
    <n v="-31.25"/>
    <x v="17"/>
    <x v="66"/>
    <x v="81"/>
    <n v="31.25"/>
    <x v="192"/>
    <n v="0"/>
    <n v="-1"/>
    <n v="0"/>
    <x v="0"/>
    <x v="601"/>
    <x v="572"/>
    <s v="TPS vs FF Jaro"/>
  </r>
  <r>
    <s v="TPS vs FF Jaro / Match Odds"/>
    <s v="Betbra"/>
    <x v="2739"/>
    <n v="-9.92"/>
    <n v="4.4999999999999998E-2"/>
    <n v="-9.92"/>
    <x v="17"/>
    <x v="53"/>
    <x v="163"/>
    <n v="200.01"/>
    <x v="192"/>
    <n v="0"/>
    <n v="-4.95975201239938E-2"/>
    <n v="0"/>
    <x v="0"/>
    <x v="601"/>
    <x v="572"/>
    <s v="TPS vs FF Jaro"/>
  </r>
  <r>
    <s v="TPS vs FF Jaro / Match Odds"/>
    <s v="Fulltbet"/>
    <x v="2739"/>
    <n v="14.86"/>
    <n v="4.4999999999999998E-2"/>
    <n v="15.560209424083769"/>
    <x v="20"/>
    <x v="75"/>
    <x v="182"/>
    <n v="75.010000000000005"/>
    <x v="192"/>
    <n v="0.70020942408376996"/>
    <n v="0.19810691907745631"/>
    <n v="1"/>
    <x v="0"/>
    <x v="601"/>
    <x v="572"/>
    <s v="TPS vs FF Jaro"/>
  </r>
  <r>
    <s v="Strømsgodset vs Odds Ballklubb / Correct Score"/>
    <s v="Fulltbet"/>
    <x v="2740"/>
    <n v="12.49"/>
    <n v="4.4999999999999998E-2"/>
    <n v="13.078534031413612"/>
    <x v="15"/>
    <x v="5"/>
    <x v="178"/>
    <n v="510.12"/>
    <x v="192"/>
    <n v="0.58853403141361227"/>
    <n v="2.448443503489375E-2"/>
    <n v="1"/>
    <x v="0"/>
    <x v="789"/>
    <x v="710"/>
    <s v="Strømsgodset vs Odds Ballklubb"/>
  </r>
  <r>
    <s v="AC Oulu vs FC Lahti / Correct Score"/>
    <s v="Betbra"/>
    <x v="2741"/>
    <n v="-14.07"/>
    <n v="4.4999999999999998E-2"/>
    <n v="-14.07"/>
    <x v="17"/>
    <x v="66"/>
    <x v="44"/>
    <n v="29.41"/>
    <x v="192"/>
    <n v="0"/>
    <n v="-0.47840870452227136"/>
    <n v="0"/>
    <x v="0"/>
    <x v="712"/>
    <x v="813"/>
    <s v="AC Oulu vs FC Lahti"/>
  </r>
  <r>
    <s v="AC Oulu vs FC Lahti / Match Odds"/>
    <s v="Betbra"/>
    <x v="2742"/>
    <n v="-72.44"/>
    <n v="4.4999999999999998E-2"/>
    <n v="-72.44"/>
    <x v="17"/>
    <x v="53"/>
    <x v="331"/>
    <n v="200"/>
    <x v="192"/>
    <n v="0"/>
    <n v="-0.36219999999999997"/>
    <n v="0"/>
    <x v="0"/>
    <x v="712"/>
    <x v="813"/>
    <s v="AC Oulu vs FC Lahti"/>
  </r>
  <r>
    <s v="AC Oulu vs FC Lahti / Match Odds"/>
    <s v="Fulltbet"/>
    <x v="2742"/>
    <n v="151.55000000000001"/>
    <n v="4.4999999999999998E-2"/>
    <n v="158.6910994764398"/>
    <x v="20"/>
    <x v="75"/>
    <x v="332"/>
    <n v="150.01"/>
    <x v="192"/>
    <n v="7.1410994764397913"/>
    <n v="1.010265982267849"/>
    <n v="1"/>
    <x v="0"/>
    <x v="712"/>
    <x v="813"/>
    <s v="AC Oulu vs FC Lahti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</r>
  <r>
    <s v="Croatia vs Ghana / Correct Score"/>
    <s v="Fulltbet"/>
    <x v="2744"/>
    <n v="35.65"/>
    <n v="4.4999999999999998E-2"/>
    <n v="37.329842931937172"/>
    <x v="15"/>
    <x v="5"/>
    <x v="34"/>
    <n v="559.95000000000005"/>
    <x v="192"/>
    <n v="1.6798429319371735"/>
    <n v="6.3666398785605843E-2"/>
    <n v="1"/>
    <x v="0"/>
    <x v="825"/>
    <x v="876"/>
    <s v="Croatia vs Ghana"/>
  </r>
  <r>
    <s v="Colombia vs Portugal / Correct Score"/>
    <s v="Fulltbet"/>
    <x v="2745"/>
    <n v="21.83"/>
    <n v="4.4999999999999998E-2"/>
    <n v="22.858638743455497"/>
    <x v="15"/>
    <x v="6"/>
    <x v="32"/>
    <n v="400.05"/>
    <x v="192"/>
    <n v="1.0286387434554989"/>
    <n v="5.4568178977627793E-2"/>
    <n v="1"/>
    <x v="0"/>
    <x v="841"/>
    <x v="969"/>
    <s v="Colombia vs Portugal"/>
  </r>
  <r>
    <s v="Qingdao West Coast vs Zhejiang Professional / Total 4.5"/>
    <s v="Fulltbet"/>
    <x v="2746"/>
    <n v="0.52"/>
    <n v="4.4999999999999998E-2"/>
    <n v="0.54450261780104714"/>
    <x v="10"/>
    <x v="62"/>
    <x v="217"/>
    <n v="5"/>
    <x v="193"/>
    <n v="2.4502617801047122E-2"/>
    <n v="0.10400000000000001"/>
    <n v="1"/>
    <x v="0"/>
    <x v="645"/>
    <x v="578"/>
    <s v="Qingdao West Coast vs Zhejiang Professional"/>
  </r>
  <r>
    <s v="IFK Norrköping vs Norrby IF / Correct Score"/>
    <s v="Fulltbet"/>
    <x v="2747"/>
    <n v="-420.05"/>
    <n v="4.4999999999999998E-2"/>
    <n v="-420.05"/>
    <x v="15"/>
    <x v="5"/>
    <x v="66"/>
    <n v="420.05"/>
    <x v="193"/>
    <n v="0"/>
    <n v="-1"/>
    <n v="0"/>
    <x v="0"/>
    <x v="556"/>
    <x v="895"/>
    <s v="IFK Norrköping vs Norrby IF"/>
  </r>
  <r>
    <s v="IFK Norrköping vs Norrby IF / Correct Score"/>
    <s v="Bolsa"/>
    <x v="2748"/>
    <n v="-21.05"/>
    <n v="4.4999999999999998E-2"/>
    <n v="-21.05"/>
    <x v="17"/>
    <x v="66"/>
    <x v="14"/>
    <n v="21.05"/>
    <x v="193"/>
    <n v="0"/>
    <n v="-1"/>
    <n v="0"/>
    <x v="0"/>
    <x v="556"/>
    <x v="895"/>
    <s v="IFK Norrköping vs Norrby IF"/>
  </r>
  <r>
    <s v="IFK Norrköping vs Norrby IF / Match Odds"/>
    <s v="Betbra"/>
    <x v="2748"/>
    <n v="-399.98"/>
    <n v="4.4999999999999998E-2"/>
    <n v="-399.98"/>
    <x v="3"/>
    <x v="7"/>
    <x v="44"/>
    <n v="399.98"/>
    <x v="193"/>
    <n v="0"/>
    <n v="-1"/>
    <n v="0"/>
    <x v="38"/>
    <x v="556"/>
    <x v="895"/>
    <s v="IFK Norrköping vs Norrby IF"/>
  </r>
  <r>
    <s v="IFK Norrköping vs Norrby IF / Match Odds"/>
    <s v="Fulltbet"/>
    <x v="2748"/>
    <n v="-147.13"/>
    <n v="4.4999999999999998E-2"/>
    <n v="-147.13"/>
    <x v="20"/>
    <x v="76"/>
    <x v="333"/>
    <n v="147.13"/>
    <x v="193"/>
    <n v="0"/>
    <n v="-1"/>
    <n v="0"/>
    <x v="0"/>
    <x v="556"/>
    <x v="895"/>
    <s v="IFK Norrköping vs Norrby IF"/>
  </r>
  <r>
    <s v="IFK Norrköping vs Norrby IF / Match Odds"/>
    <s v="Fulltbet"/>
    <x v="2748"/>
    <n v="-29.680000000000007"/>
    <n v="4.4999999999999998E-2"/>
    <n v="-29.680000000000007"/>
    <x v="10"/>
    <x v="41"/>
    <x v="201"/>
    <n v="29.68"/>
    <x v="193"/>
    <n v="0"/>
    <n v="-1.0000000000000002"/>
    <n v="0"/>
    <x v="0"/>
    <x v="556"/>
    <x v="895"/>
    <s v="IFK Norrköping vs Norrby IF"/>
  </r>
  <r>
    <s v="IFK Norrköping vs Norrby IF / Match Odds"/>
    <s v="Bolsa"/>
    <x v="2749"/>
    <n v="45.48"/>
    <n v="4.4999999999999998E-2"/>
    <n v="47.623036649214662"/>
    <x v="17"/>
    <x v="53"/>
    <x v="126"/>
    <n v="200"/>
    <x v="193"/>
    <n v="2.1430366492146646"/>
    <n v="0.22739999999999999"/>
    <n v="1"/>
    <x v="0"/>
    <x v="556"/>
    <x v="895"/>
    <s v="IFK Norrköping vs Norrby IF"/>
  </r>
  <r>
    <s v="IFK Norrköping vs Norrby IF / Total 1.5"/>
    <s v="Fulltbet"/>
    <x v="2749"/>
    <n v="-97.78"/>
    <n v="4.4999999999999998E-2"/>
    <n v="-97.78"/>
    <x v="25"/>
    <x v="82"/>
    <x v="231"/>
    <n v="50"/>
    <x v="193"/>
    <n v="0"/>
    <n v="-1.9556"/>
    <n v="0"/>
    <x v="0"/>
    <x v="556"/>
    <x v="895"/>
    <s v="IFK Norrköping vs Norrby IF"/>
  </r>
  <r>
    <s v="Atlético Goianiense vs Atlética Ponte Preta / 1st Half Total 0.5"/>
    <s v="Fulltbet"/>
    <x v="2750"/>
    <n v="1.18"/>
    <n v="4.4999999999999998E-2"/>
    <n v="1.2356020942408377"/>
    <x v="10"/>
    <x v="43"/>
    <x v="52"/>
    <n v="2"/>
    <x v="193"/>
    <n v="5.5602094240837729E-2"/>
    <n v="0.59"/>
    <n v="1"/>
    <x v="0"/>
    <x v="783"/>
    <x v="422"/>
    <s v="Atlético Goianiense vs Atlética Ponte Preta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</r>
  <r>
    <s v="EC Juventude vs Ceará SC / Correct Score"/>
    <s v="Betbra"/>
    <x v="2752"/>
    <n v="-33.33"/>
    <n v="4.4999999999999998E-2"/>
    <n v="-33.33"/>
    <x v="17"/>
    <x v="66"/>
    <x v="36"/>
    <n v="33.33"/>
    <x v="193"/>
    <n v="0"/>
    <n v="-1"/>
    <n v="0"/>
    <x v="0"/>
    <x v="865"/>
    <x v="924"/>
    <s v="EC Juventude vs Ceará SC"/>
  </r>
  <r>
    <s v="South Africa vs Canada / Correct Score"/>
    <s v="Fulltbet"/>
    <x v="2753"/>
    <n v="26.35"/>
    <n v="4.4999999999999998E-2"/>
    <n v="27.591623036649217"/>
    <x v="15"/>
    <x v="6"/>
    <x v="29"/>
    <n v="400.06"/>
    <x v="193"/>
    <n v="1.2416230366492158"/>
    <n v="6.586512023196521E-2"/>
    <n v="1"/>
    <x v="0"/>
    <x v="911"/>
    <x v="970"/>
    <s v="South Africa vs Canada"/>
  </r>
  <r>
    <s v="EC Juventude vs Ceará SC / Match Odds"/>
    <s v="Betbra"/>
    <x v="2754"/>
    <n v="65.290000000000006"/>
    <n v="4.4999999999999998E-2"/>
    <n v="68.366492146596869"/>
    <x v="17"/>
    <x v="53"/>
    <x v="170"/>
    <n v="200.01"/>
    <x v="193"/>
    <n v="3.0764921465968627"/>
    <n v="0.32643367831608422"/>
    <n v="1"/>
    <x v="0"/>
    <x v="865"/>
    <x v="924"/>
    <s v="EC Juventude vs Ceará SC"/>
  </r>
  <r>
    <s v="EC Juventude vs Ceará SC / Match Odds"/>
    <s v="Fulltbet"/>
    <x v="2754"/>
    <n v="14.33"/>
    <n v="4.4999999999999998E-2"/>
    <n v="15.005235602094242"/>
    <x v="20"/>
    <x v="75"/>
    <x v="153"/>
    <n v="75.010000000000005"/>
    <x v="193"/>
    <n v="0.67523560209424183"/>
    <n v="0.19104119450739901"/>
    <n v="1"/>
    <x v="0"/>
    <x v="865"/>
    <x v="924"/>
    <s v="EC Juventude vs Ceará SC"/>
  </r>
  <r>
    <s v="Atlético Goianiense vs Atlética Ponte Preta / Correct Score"/>
    <s v="Betbra"/>
    <x v="2755"/>
    <n v="-22.22"/>
    <n v="4.4999999999999998E-2"/>
    <n v="-22.22"/>
    <x v="17"/>
    <x v="66"/>
    <x v="13"/>
    <n v="22.22"/>
    <x v="193"/>
    <n v="0"/>
    <n v="-1"/>
    <n v="0"/>
    <x v="0"/>
    <x v="783"/>
    <x v="422"/>
    <s v="Atlético Goianiense vs Atlética Ponte Preta"/>
  </r>
  <r>
    <s v="Atlético Goianiense vs Atlética Ponte Preta / Correct Score"/>
    <s v="Fulltbet"/>
    <x v="2755"/>
    <n v="16.43"/>
    <n v="4.4999999999999998E-2"/>
    <n v="17.204188481675391"/>
    <x v="19"/>
    <x v="5"/>
    <x v="117"/>
    <n v="430"/>
    <x v="193"/>
    <n v="0.77418848167539167"/>
    <n v="3.8209302325581396E-2"/>
    <n v="1"/>
    <x v="0"/>
    <x v="783"/>
    <x v="422"/>
    <s v="Atlético Goianiense vs Atlética Ponte Preta"/>
  </r>
  <r>
    <s v="Athletic Club MG vs Avaí FC / Correct Score"/>
    <s v="Betbra"/>
    <x v="2756"/>
    <n v="-15.67"/>
    <n v="4.4999999999999998E-2"/>
    <n v="-15.67"/>
    <x v="17"/>
    <x v="66"/>
    <x v="28"/>
    <n v="32.26"/>
    <x v="193"/>
    <n v="0"/>
    <n v="-0.48574085554866708"/>
    <n v="0"/>
    <x v="0"/>
    <x v="920"/>
    <x v="778"/>
    <s v="Athletic Club MG vs Avaí FC"/>
  </r>
  <r>
    <s v="Atlético Goianiense vs Atlética Ponte Preta / Match Odds"/>
    <s v="Betbra"/>
    <x v="2757"/>
    <n v="41.46"/>
    <n v="4.4999999999999998E-2"/>
    <n v="43.413612565445028"/>
    <x v="17"/>
    <x v="53"/>
    <x v="135"/>
    <n v="200"/>
    <x v="193"/>
    <n v="1.9536125654450274"/>
    <n v="0.20730000000000001"/>
    <n v="1"/>
    <x v="0"/>
    <x v="783"/>
    <x v="422"/>
    <s v="Atlético Goianiense vs Atlética Ponte Preta"/>
  </r>
  <r>
    <s v="Atlético Goianiense vs Atlética Ponte Preta / Match Odds"/>
    <s v="Fulltbet"/>
    <x v="2757"/>
    <n v="7.47"/>
    <n v="4.4999999999999998E-2"/>
    <n v="7.8219895287958119"/>
    <x v="20"/>
    <x v="76"/>
    <x v="89"/>
    <n v="74.98"/>
    <x v="193"/>
    <n v="0.35198952879581213"/>
    <n v="9.9626567084555875E-2"/>
    <n v="1"/>
    <x v="0"/>
    <x v="783"/>
    <x v="422"/>
    <s v="Atlético Goianiense vs Atlética Ponte Preta"/>
  </r>
  <r>
    <s v="Athletic Club MG vs Avaí FC / Match Odds"/>
    <s v="Betbra"/>
    <x v="2758"/>
    <n v="-66.59"/>
    <n v="4.4999999999999998E-2"/>
    <n v="-66.59"/>
    <x v="17"/>
    <x v="53"/>
    <x v="259"/>
    <n v="199.99"/>
    <x v="193"/>
    <n v="0"/>
    <n v="-0.33296664833241663"/>
    <n v="0"/>
    <x v="0"/>
    <x v="920"/>
    <x v="778"/>
    <s v="Athletic Club MG vs Avaí FC"/>
  </r>
  <r>
    <s v="Athletic Club MG vs Avaí FC / Match Odds"/>
    <s v="Fulltbet"/>
    <x v="2759"/>
    <n v="8.02"/>
    <n v="4.4999999999999998E-2"/>
    <n v="8.3979057591623043"/>
    <x v="20"/>
    <x v="75"/>
    <x v="153"/>
    <n v="75.010000000000005"/>
    <x v="193"/>
    <n v="0.37790575916230473"/>
    <n v="0.10691907745633915"/>
    <n v="1"/>
    <x v="0"/>
    <x v="920"/>
    <x v="778"/>
    <s v="Athletic Club MG vs Avaí FC"/>
  </r>
  <r>
    <s v="Clube Náutico Capibaribe vs Goiás EC / Total 1.5"/>
    <s v="Fulltbet"/>
    <x v="2760"/>
    <n v="-106.38"/>
    <n v="4.4999999999999998E-2"/>
    <n v="-106.38"/>
    <x v="25"/>
    <x v="82"/>
    <x v="205"/>
    <n v="50"/>
    <x v="193"/>
    <n v="0"/>
    <n v="-2.1275999999999997"/>
    <n v="0"/>
    <x v="0"/>
    <x v="847"/>
    <x v="720"/>
    <s v="Clube Náutico Capibaribe vs Goiás EC"/>
  </r>
  <r>
    <s v="Clube Náutico Capibaribe vs Goiás EC / Total 2.5"/>
    <s v="Fulltbet"/>
    <x v="2761"/>
    <n v="-100"/>
    <n v="4.4999999999999998E-2"/>
    <n v="-100"/>
    <x v="21"/>
    <x v="0"/>
    <x v="334"/>
    <n v="100"/>
    <x v="193"/>
    <n v="0"/>
    <n v="-1"/>
    <n v="0"/>
    <x v="0"/>
    <x v="847"/>
    <x v="720"/>
    <s v="Clube Náutico Capibaribe vs Goiás EC"/>
  </r>
  <r>
    <s v="Brazil vs Japan / Correct Score"/>
    <s v="Fulltbet"/>
    <x v="2762"/>
    <n v="28.99"/>
    <n v="4.4999999999999998E-2"/>
    <n v="30.356020942408378"/>
    <x v="15"/>
    <x v="5"/>
    <x v="15"/>
    <n v="425.04"/>
    <x v="194"/>
    <n v="1.3660209424083796"/>
    <n v="6.8205345379258417E-2"/>
    <n v="1"/>
    <x v="0"/>
    <x v="892"/>
    <x v="971"/>
    <s v="Brazil vs Japan"/>
  </r>
  <r>
    <s v="Brazil vs Japan / Match Odds"/>
    <s v="Fulltbet"/>
    <x v="2763"/>
    <n v="79.58"/>
    <n v="4.4999999999999998E-2"/>
    <n v="83.329842931937179"/>
    <x v="3"/>
    <x v="68"/>
    <x v="203"/>
    <n v="399.98"/>
    <x v="194"/>
    <n v="3.7498429319371809"/>
    <n v="0.19895994799739986"/>
    <n v="1"/>
    <x v="46"/>
    <x v="892"/>
    <x v="971"/>
    <s v="Brazil vs Japan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</r>
  <r>
    <s v="Germany vs Paraguay / Correct Score"/>
    <s v="Betbra"/>
    <x v="2765"/>
    <n v="194.42"/>
    <n v="4.4999999999999998E-2"/>
    <n v="203.58115183246073"/>
    <x v="17"/>
    <x v="66"/>
    <x v="23"/>
    <n v="19.05"/>
    <x v="194"/>
    <n v="9.1611518324607459"/>
    <n v="10.205774278215221"/>
    <n v="1"/>
    <x v="0"/>
    <x v="819"/>
    <x v="905"/>
    <s v="Germany vs Paraguay"/>
  </r>
  <r>
    <s v="Germany vs Paraguay / Match Odds"/>
    <s v="Fulltbet"/>
    <x v="2766"/>
    <n v="20.54"/>
    <n v="4.4999999999999998E-2"/>
    <n v="21.507853403141361"/>
    <x v="20"/>
    <x v="76"/>
    <x v="335"/>
    <n v="148.63999999999999"/>
    <x v="194"/>
    <n v="0.96785340314136192"/>
    <n v="0.13818622174381057"/>
    <n v="1"/>
    <x v="0"/>
    <x v="819"/>
    <x v="905"/>
    <s v="Germany vs Paraguay"/>
  </r>
  <r>
    <s v="Germany vs Paraguay / Match Odds"/>
    <s v="Betbra"/>
    <x v="2766"/>
    <n v="-199.98"/>
    <n v="4.4999999999999998E-2"/>
    <n v="-199.98"/>
    <x v="17"/>
    <x v="53"/>
    <x v="127"/>
    <n v="199.98"/>
    <x v="194"/>
    <n v="0"/>
    <n v="-1"/>
    <n v="0"/>
    <x v="0"/>
    <x v="819"/>
    <x v="905"/>
    <s v="Germany vs Paraguay"/>
  </r>
  <r>
    <s v="Netherlands vs Morocco / Correct Score"/>
    <s v="Betbra"/>
    <x v="2767"/>
    <n v="35.17"/>
    <n v="4.4999999999999998E-2"/>
    <n v="36.827225130890056"/>
    <x v="16"/>
    <x v="83"/>
    <x v="72"/>
    <n v="100"/>
    <x v="194"/>
    <n v="1.6572251308900547"/>
    <n v="0.35170000000000001"/>
    <n v="1"/>
    <x v="0"/>
    <x v="842"/>
    <x v="949"/>
    <s v="Netherlands vs Morocco"/>
  </r>
  <r>
    <s v="Netherlands vs Morocco / Correct Score"/>
    <s v="Fulltbet"/>
    <x v="2768"/>
    <n v="43.45"/>
    <n v="4.4999999999999998E-2"/>
    <n v="45.497382198952884"/>
    <x v="15"/>
    <x v="5"/>
    <x v="31"/>
    <n v="455"/>
    <x v="194"/>
    <n v="2.0473821989528815"/>
    <n v="9.5494505494505499E-2"/>
    <n v="1"/>
    <x v="0"/>
    <x v="842"/>
    <x v="949"/>
    <s v="Netherlands vs Morocco"/>
  </r>
  <r>
    <s v="FIFA World Cup 2026 / Winner"/>
    <s v="Fulltbet"/>
    <x v="2769"/>
    <n v="18.18"/>
    <n v="4.4999999999999998E-2"/>
    <n v="19.036649214659686"/>
    <x v="24"/>
    <x v="84"/>
    <x v="7"/>
    <n v="399.96"/>
    <x v="195"/>
    <n v="0.85664921465968646"/>
    <n v="4.5454545454545456E-2"/>
    <n v="1"/>
    <x v="0"/>
    <x v="207"/>
    <x v="218"/>
    <s v="FIFA World Cup 2026"/>
  </r>
  <r>
    <s v="Ivory Coast vs Norway / Total 1.5"/>
    <s v="Fulltbet"/>
    <x v="2770"/>
    <n v="47.75"/>
    <n v="4.4999999999999998E-2"/>
    <n v="50"/>
    <x v="25"/>
    <x v="82"/>
    <x v="222"/>
    <n v="50"/>
    <x v="195"/>
    <n v="2.25"/>
    <n v="0.95499999999999996"/>
    <n v="1"/>
    <x v="0"/>
    <x v="226"/>
    <x v="887"/>
    <s v="Ivory Coast vs Norway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</r>
  <r>
    <s v="Botafogo PB vs Brusque FC / Correct Score"/>
    <s v="Fulltbet"/>
    <x v="2772"/>
    <n v="5.97"/>
    <n v="4.4999999999999998E-2"/>
    <n v="6.2513089005235605"/>
    <x v="10"/>
    <x v="61"/>
    <x v="42"/>
    <n v="48.75"/>
    <x v="195"/>
    <n v="0.28130890052356072"/>
    <n v="0.12246153846153846"/>
    <n v="1"/>
    <x v="0"/>
    <x v="922"/>
    <x v="973"/>
    <s v="Botafogo PB vs Brusque FC"/>
  </r>
  <r>
    <s v="Mexico vs Ecuador / Correct Score"/>
    <s v="Betbra"/>
    <x v="2773"/>
    <n v="-35.71"/>
    <n v="4.4999999999999998E-2"/>
    <n v="-35.71"/>
    <x v="17"/>
    <x v="66"/>
    <x v="85"/>
    <n v="35.71"/>
    <x v="196"/>
    <n v="0"/>
    <n v="-1"/>
    <n v="0"/>
    <x v="0"/>
    <x v="813"/>
    <x v="920"/>
    <s v="Mexico vs Ecuador"/>
  </r>
  <r>
    <s v="Mexico vs Ecuador / Match Odds"/>
    <s v="Fulltbet"/>
    <x v="2774"/>
    <n v="12.09"/>
    <n v="4.4999999999999998E-2"/>
    <n v="12.659685863874346"/>
    <x v="20"/>
    <x v="75"/>
    <x v="153"/>
    <n v="75.010000000000005"/>
    <x v="196"/>
    <n v="0.56968586387434605"/>
    <n v="0.16117850953206239"/>
    <n v="1"/>
    <x v="0"/>
    <x v="813"/>
    <x v="920"/>
    <s v="Mexico vs Ecuador"/>
  </r>
  <r>
    <s v="Mexico vs Ecuador / Match Odds"/>
    <s v="Betbra"/>
    <x v="2774"/>
    <n v="72.540000000000006"/>
    <n v="4.4999999999999998E-2"/>
    <n v="75.958115183246079"/>
    <x v="17"/>
    <x v="53"/>
    <x v="150"/>
    <n v="200"/>
    <x v="196"/>
    <n v="3.4181151832460728"/>
    <n v="0.36270000000000002"/>
    <n v="1"/>
    <x v="0"/>
    <x v="813"/>
    <x v="920"/>
    <s v="Mexico vs Ecuador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</r>
  <r>
    <s v="Belgium vs Senegal / Total 2.5"/>
    <s v="Fulltbet"/>
    <x v="2776"/>
    <n v="3.62"/>
    <n v="4.4999999999999998E-2"/>
    <n v="3.7905759162303667"/>
    <x v="21"/>
    <x v="0"/>
    <x v="78"/>
    <n v="25"/>
    <x v="196"/>
    <n v="0.17057591623036661"/>
    <n v="0.14480000000000001"/>
    <n v="1"/>
    <x v="0"/>
    <x v="833"/>
    <x v="932"/>
    <s v="Belgium vs Senegal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</r>
  <r>
    <s v="Belgium vs Senegal / Correct Score"/>
    <s v="Betbra"/>
    <x v="2777"/>
    <n v="-100"/>
    <n v="4.4999999999999998E-2"/>
    <n v="-100"/>
    <x v="16"/>
    <x v="64"/>
    <x v="72"/>
    <n v="100"/>
    <x v="196"/>
    <n v="0"/>
    <n v="-1"/>
    <n v="0"/>
    <x v="0"/>
    <x v="833"/>
    <x v="932"/>
    <s v="Belgium vs Senegal"/>
  </r>
  <r>
    <s v="Belgium vs Senegal / Match Odds"/>
    <s v="Fulltbet"/>
    <x v="2778"/>
    <n v="90.59"/>
    <n v="4.4999999999999998E-2"/>
    <n v="94.858638743455501"/>
    <x v="20"/>
    <x v="75"/>
    <x v="336"/>
    <n v="149.99"/>
    <x v="196"/>
    <n v="4.2686387434554973"/>
    <n v="0.60397359823988261"/>
    <n v="1"/>
    <x v="0"/>
    <x v="833"/>
    <x v="932"/>
    <s v="Belgium vs Senegal"/>
  </r>
  <r>
    <s v="LDU Quito vs Orense SC / Total 1.5"/>
    <s v="Fulltbet"/>
    <x v="2779"/>
    <n v="14.33"/>
    <n v="4.4999999999999998E-2"/>
    <n v="15.005235602094242"/>
    <x v="10"/>
    <x v="32"/>
    <x v="161"/>
    <n v="15"/>
    <x v="196"/>
    <n v="0.67523560209424183"/>
    <n v="0.95533333333333337"/>
    <n v="1"/>
    <x v="0"/>
    <x v="923"/>
    <x v="5"/>
    <s v="LDU Quito vs Orense SC"/>
  </r>
  <r>
    <s v="USA vs Bosnia-Herzegovina / Correct Score"/>
    <s v="Betbra"/>
    <x v="2780"/>
    <n v="-20"/>
    <n v="4.4999999999999998E-2"/>
    <n v="-20"/>
    <x v="17"/>
    <x v="66"/>
    <x v="31"/>
    <n v="20"/>
    <x v="196"/>
    <n v="0"/>
    <n v="-1"/>
    <n v="0"/>
    <x v="0"/>
    <x v="835"/>
    <x v="903"/>
    <s v="USA vs Bosnia-Herzegovina"/>
  </r>
  <r>
    <s v="USA vs Bosnia-Herzegovina / Match Odds"/>
    <s v="Fulltbet"/>
    <x v="2781"/>
    <n v="5.2"/>
    <n v="4.4999999999999998E-2"/>
    <n v="5.4450261780104716"/>
    <x v="20"/>
    <x v="76"/>
    <x v="31"/>
    <n v="75"/>
    <x v="196"/>
    <n v="0.24502617801047144"/>
    <n v="6.933333333333333E-2"/>
    <n v="1"/>
    <x v="0"/>
    <x v="835"/>
    <x v="903"/>
    <s v="USA vs Bosnia-Herzegovina"/>
  </r>
  <r>
    <s v="USA vs Bosnia-Herzegovina / Match Odds"/>
    <s v="Betbra"/>
    <x v="2781"/>
    <n v="37.9"/>
    <n v="4.4999999999999998E-2"/>
    <n v="39.68586387434555"/>
    <x v="17"/>
    <x v="53"/>
    <x v="228"/>
    <n v="195.54"/>
    <x v="196"/>
    <n v="1.7858638743455515"/>
    <n v="0.19382223585967065"/>
    <n v="1"/>
    <x v="0"/>
    <x v="835"/>
    <x v="903"/>
    <s v="USA vs Bosnia-Herzegovina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</r>
  <r>
    <s v="Fortaleza EC vs Atlética Ponte Preta / 1st Half Total 0.5"/>
    <s v="Fulltbet"/>
    <x v="2785"/>
    <n v="-2"/>
    <n v="4.4999999999999998E-2"/>
    <n v="-2"/>
    <x v="10"/>
    <x v="43"/>
    <x v="97"/>
    <n v="2"/>
    <x v="197"/>
    <n v="0"/>
    <n v="-1"/>
    <n v="0"/>
    <x v="0"/>
    <x v="771"/>
    <x v="422"/>
    <s v="Fortaleza EC vs Atlética Ponte Preta"/>
  </r>
  <r>
    <s v="Cuiabá EC vs América-MG / Correct Score"/>
    <s v="Betbra"/>
    <x v="2786"/>
    <n v="-16.329999999999998"/>
    <n v="4.4999999999999998E-2"/>
    <n v="-16.329999999999998"/>
    <x v="17"/>
    <x v="66"/>
    <x v="81"/>
    <n v="31.25"/>
    <x v="197"/>
    <n v="0"/>
    <n v="-0.52255999999999991"/>
    <n v="0"/>
    <x v="0"/>
    <x v="913"/>
    <x v="489"/>
    <s v="Cuiabá EC vs América-MG"/>
  </r>
  <r>
    <s v="Cuiabá EC vs América-MG / Match Odds"/>
    <s v="Betbra"/>
    <x v="2787"/>
    <n v="-72.069999999999993"/>
    <n v="4.4999999999999998E-2"/>
    <n v="-72.069999999999993"/>
    <x v="17"/>
    <x v="53"/>
    <x v="299"/>
    <n v="200"/>
    <x v="197"/>
    <n v="0"/>
    <n v="-0.36034999999999995"/>
    <n v="0"/>
    <x v="0"/>
    <x v="913"/>
    <x v="489"/>
    <s v="Cuiabá EC vs América-MG"/>
  </r>
  <r>
    <s v="Cuiabá EC vs América-MG / Match Odds"/>
    <s v="Fulltbet"/>
    <x v="2788"/>
    <n v="6.38"/>
    <n v="4.4999999999999998E-2"/>
    <n v="6.6806282722513091"/>
    <x v="20"/>
    <x v="75"/>
    <x v="76"/>
    <n v="75.010000000000005"/>
    <x v="197"/>
    <n v="0.30062827225130917"/>
    <n v="8.5055325956539127E-2"/>
    <n v="1"/>
    <x v="0"/>
    <x v="913"/>
    <x v="489"/>
    <s v="Cuiabá EC vs América-MG"/>
  </r>
  <r>
    <s v="Portugal vs Croatia / Correct Score"/>
    <s v="Betbra"/>
    <x v="2789"/>
    <n v="-30.3"/>
    <n v="4.4999999999999998E-2"/>
    <n v="-30.3"/>
    <x v="17"/>
    <x v="66"/>
    <x v="41"/>
    <n v="30.3"/>
    <x v="197"/>
    <n v="0"/>
    <n v="-1"/>
    <n v="0"/>
    <x v="0"/>
    <x v="849"/>
    <x v="938"/>
    <s v="Portugal vs Croatia"/>
  </r>
  <r>
    <s v="Portugal vs Croatia / Correct Score"/>
    <s v="Fulltbet"/>
    <x v="2789"/>
    <n v="21.71"/>
    <n v="4.4999999999999998E-2"/>
    <n v="22.73298429319372"/>
    <x v="15"/>
    <x v="5"/>
    <x v="7"/>
    <n v="500.06"/>
    <x v="197"/>
    <n v="1.0229842931937192"/>
    <n v="4.3414790225172979E-2"/>
    <n v="1"/>
    <x v="0"/>
    <x v="849"/>
    <x v="938"/>
    <s v="Portugal vs Croatia"/>
  </r>
  <r>
    <s v="Portugal vs Croatia / Match Odds"/>
    <s v="Betbra"/>
    <x v="2790"/>
    <n v="41.99"/>
    <n v="4.4999999999999998E-2"/>
    <n v="43.968586387434556"/>
    <x v="17"/>
    <x v="53"/>
    <x v="300"/>
    <n v="200"/>
    <x v="197"/>
    <n v="1.9785863874345537"/>
    <n v="0.20995"/>
    <n v="1"/>
    <x v="0"/>
    <x v="849"/>
    <x v="938"/>
    <s v="Portugal vs Croatia"/>
  </r>
  <r>
    <s v="Portugal vs Croatia / Match Odds"/>
    <s v="Fulltbet"/>
    <x v="2791"/>
    <n v="50.1"/>
    <n v="4.4999999999999998E-2"/>
    <n v="52.460732984293195"/>
    <x v="20"/>
    <x v="75"/>
    <x v="337"/>
    <n v="149.98000000000002"/>
    <x v="197"/>
    <n v="2.3607329842931932"/>
    <n v="0.33404453927190286"/>
    <n v="1"/>
    <x v="0"/>
    <x v="849"/>
    <x v="938"/>
    <s v="Portugal vs Croatia"/>
  </r>
  <r>
    <s v="Fortaleza EC vs Atlética Ponte Preta / Match Odds"/>
    <s v="Bolsa"/>
    <x v="2792"/>
    <n v="32.93"/>
    <n v="4.4999999999999998E-2"/>
    <n v="34.481675392670155"/>
    <x v="17"/>
    <x v="53"/>
    <x v="121"/>
    <n v="199.98"/>
    <x v="197"/>
    <n v="1.5516753926701554"/>
    <n v="0.16466646664666468"/>
    <n v="1"/>
    <x v="0"/>
    <x v="771"/>
    <x v="422"/>
    <s v="Fortaleza EC vs Atlética Ponte Preta"/>
  </r>
  <r>
    <s v="Fortaleza EC vs Atlética Ponte Preta / Correct Score"/>
    <s v="Bolsa"/>
    <x v="2792"/>
    <n v="-16"/>
    <n v="4.4999999999999998E-2"/>
    <n v="-16"/>
    <x v="17"/>
    <x v="66"/>
    <x v="16"/>
    <n v="16"/>
    <x v="197"/>
    <n v="0"/>
    <n v="-1"/>
    <n v="0"/>
    <x v="0"/>
    <x v="771"/>
    <x v="422"/>
    <s v="Fortaleza EC vs Atlética Ponte Preta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</r>
  <r>
    <s v="Fortaleza EC vs Atlética Ponte Preta / Match Odds"/>
    <s v="Fulltbet"/>
    <x v="2793"/>
    <n v="4.17"/>
    <n v="4.4999999999999998E-2"/>
    <n v="4.3664921465968591"/>
    <x v="20"/>
    <x v="76"/>
    <x v="29"/>
    <n v="74.97"/>
    <x v="197"/>
    <n v="0.19649214659685921"/>
    <n v="5.5622248899559822E-2"/>
    <n v="1"/>
    <x v="42"/>
    <x v="771"/>
    <x v="422"/>
    <s v="Fortaleza EC vs Atlética Ponte Preta"/>
  </r>
  <r>
    <s v="Switzerland vs Algeria / Correct Score"/>
    <s v="Fulltbet"/>
    <x v="2794"/>
    <n v="36.79"/>
    <n v="4.4999999999999998E-2"/>
    <n v="38.523560209424083"/>
    <x v="15"/>
    <x v="5"/>
    <x v="17"/>
    <n v="520.02"/>
    <x v="198"/>
    <n v="1.7335602094240841"/>
    <n v="7.0747278950809581E-2"/>
    <n v="1"/>
    <x v="0"/>
    <x v="887"/>
    <x v="934"/>
    <s v="Switzerland vs Algeria"/>
  </r>
  <r>
    <s v="Yunnan Yukun vs Henan Songshan Longmen / Total 2.5"/>
    <s v="Fulltbet"/>
    <x v="2795"/>
    <n v="1.22"/>
    <n v="4.4999999999999998E-2"/>
    <n v="1.2774869109947644"/>
    <x v="10"/>
    <x v="70"/>
    <x v="130"/>
    <n v="2"/>
    <x v="198"/>
    <n v="5.748691099476444E-2"/>
    <n v="0.61"/>
    <n v="1"/>
    <x v="0"/>
    <x v="495"/>
    <x v="658"/>
    <s v="Yunnan Yukun vs Henan Songshan Longmen"/>
  </r>
  <r>
    <s v="Kongsvinger IL vs Sogndal / Correct Score"/>
    <s v="Betbra"/>
    <x v="2796"/>
    <n v="-20.96"/>
    <n v="4.4999999999999998E-2"/>
    <n v="-20.96"/>
    <x v="17"/>
    <x v="66"/>
    <x v="338"/>
    <n v="20.96"/>
    <x v="198"/>
    <n v="0"/>
    <n v="-1"/>
    <n v="0"/>
    <x v="0"/>
    <x v="817"/>
    <x v="975"/>
    <s v="Kongsvinger IL vs Sogndal"/>
  </r>
  <r>
    <s v="Kongsvinger IL vs Sogndal / Match Odds"/>
    <s v="Fulltbet"/>
    <x v="2797"/>
    <n v="8.25"/>
    <n v="4.4999999999999998E-2"/>
    <n v="8.6387434554973819"/>
    <x v="20"/>
    <x v="75"/>
    <x v="25"/>
    <n v="100.01"/>
    <x v="198"/>
    <n v="0.38874345549738187"/>
    <n v="8.2491750824917498E-2"/>
    <n v="1"/>
    <x v="0"/>
    <x v="817"/>
    <x v="975"/>
    <s v="Kongsvinger IL vs Sogndal"/>
  </r>
  <r>
    <s v="Kongsvinger IL vs Sogndal / Match Odds"/>
    <s v="Betbra"/>
    <x v="2797"/>
    <n v="31.82"/>
    <n v="4.4999999999999998E-2"/>
    <n v="33.319371727748695"/>
    <x v="17"/>
    <x v="53"/>
    <x v="339"/>
    <n v="300.02"/>
    <x v="198"/>
    <n v="1.4993717277486951"/>
    <n v="0.10605959602693155"/>
    <n v="1"/>
    <x v="0"/>
    <x v="817"/>
    <x v="975"/>
    <s v="Kongsvinger IL vs Sogndal"/>
  </r>
  <r>
    <s v="IK Sirius vs Mjällby AIF / Total 1.5"/>
    <s v="Fulltbet"/>
    <x v="2798"/>
    <n v="14.33"/>
    <n v="4.4999999999999998E-2"/>
    <n v="15.005235602094242"/>
    <x v="10"/>
    <x v="32"/>
    <x v="31"/>
    <n v="15"/>
    <x v="198"/>
    <n v="0.67523560209424183"/>
    <n v="0.95533333333333337"/>
    <n v="1"/>
    <x v="0"/>
    <x v="496"/>
    <x v="976"/>
    <s v="IK Sirius vs Mjällby AIF"/>
  </r>
  <r>
    <s v="IK Sirius vs Mjällby AIF / Match Odds"/>
    <s v="Fulltbet"/>
    <x v="2799"/>
    <n v="-2"/>
    <n v="4.4999999999999998E-2"/>
    <n v="-2"/>
    <x v="10"/>
    <x v="39"/>
    <x v="93"/>
    <n v="2"/>
    <x v="198"/>
    <n v="0"/>
    <n v="-1"/>
    <n v="0"/>
    <x v="0"/>
    <x v="496"/>
    <x v="976"/>
    <s v="IK Sirius vs Mjällby AIF"/>
  </r>
  <r>
    <s v="Derry City vs Waterford FC / Total 1.5"/>
    <s v="Fulltbet"/>
    <x v="2800"/>
    <n v="-2"/>
    <n v="4.4999999999999998E-2"/>
    <n v="-2"/>
    <x v="10"/>
    <x v="50"/>
    <x v="26"/>
    <n v="2"/>
    <x v="198"/>
    <n v="0"/>
    <n v="-1"/>
    <n v="0"/>
    <x v="0"/>
    <x v="373"/>
    <x v="653"/>
    <s v="Derry City vs Waterford FC"/>
  </r>
  <r>
    <s v="Derry City vs Waterford FC / Total 2.5"/>
    <s v="Fulltbet"/>
    <x v="2801"/>
    <n v="148.03"/>
    <n v="4.4999999999999998E-2"/>
    <n v="155.00523560209425"/>
    <x v="21"/>
    <x v="0"/>
    <x v="312"/>
    <n v="100"/>
    <x v="198"/>
    <n v="6.9752356020942443"/>
    <n v="1.4802999999999999"/>
    <n v="1"/>
    <x v="0"/>
    <x v="373"/>
    <x v="653"/>
    <s v="Derry City vs Waterford FC"/>
  </r>
  <r>
    <s v="Derry City vs Waterford FC / Match Odds"/>
    <s v="Fulltbet"/>
    <x v="2802"/>
    <n v="-30"/>
    <n v="4.4999999999999998E-2"/>
    <n v="-30"/>
    <x v="10"/>
    <x v="41"/>
    <x v="340"/>
    <n v="30"/>
    <x v="198"/>
    <n v="0"/>
    <n v="-1"/>
    <n v="0"/>
    <x v="0"/>
    <x v="373"/>
    <x v="653"/>
    <s v="Derry City vs Waterford FC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</r>
  <r>
    <s v="Loudoun United FC vs Sporting Club Jacksonville / Total 1.5"/>
    <s v="Fulltbet"/>
    <x v="2804"/>
    <n v="-2"/>
    <n v="4.4999999999999998E-2"/>
    <n v="-2"/>
    <x v="10"/>
    <x v="50"/>
    <x v="135"/>
    <n v="2"/>
    <x v="198"/>
    <n v="0"/>
    <n v="-1"/>
    <n v="0"/>
    <x v="0"/>
    <x v="924"/>
    <x v="677"/>
    <s v="Loudoun United FC vs Sporting Club Jacksonville"/>
  </r>
  <r>
    <s v="Loudoun United FC vs Sporting Club Jacksonville / Total 2.5"/>
    <s v="Fulltbet"/>
    <x v="2805"/>
    <n v="1.47"/>
    <n v="4.4999999999999998E-2"/>
    <n v="1.5392670157068062"/>
    <x v="10"/>
    <x v="70"/>
    <x v="53"/>
    <n v="2"/>
    <x v="198"/>
    <n v="6.9267015706806268E-2"/>
    <n v="0.73499999999999999"/>
    <n v="1"/>
    <x v="0"/>
    <x v="924"/>
    <x v="677"/>
    <s v="Loudoun United FC vs Sporting Club Jacksonville"/>
  </r>
  <r>
    <s v="Loudoun United FC vs Sporting Club Jacksonville / Correct Score"/>
    <s v="Fulltbet"/>
    <x v="2806"/>
    <n v="8.18"/>
    <n v="4.4999999999999998E-2"/>
    <n v="8.5654450261780113"/>
    <x v="10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</r>
  <r>
    <s v="Colombia vs Ghana / Correct Score"/>
    <s v="Fulltbet"/>
    <x v="2807"/>
    <n v="24.09"/>
    <n v="4.4999999999999998E-2"/>
    <n v="25.225130890052355"/>
    <x v="15"/>
    <x v="5"/>
    <x v="7"/>
    <n v="555.05999999999995"/>
    <x v="199"/>
    <n v="1.1351308900523556"/>
    <n v="4.3400713436385262E-2"/>
    <n v="1"/>
    <x v="0"/>
    <x v="841"/>
    <x v="876"/>
    <s v="Colombia vs Ghana"/>
  </r>
  <r>
    <s v="Colombia vs Ghana / Correct Score"/>
    <s v="Betbra"/>
    <x v="2807"/>
    <n v="-37.5"/>
    <n v="4.4999999999999998E-2"/>
    <n v="-37.5"/>
    <x v="17"/>
    <x v="66"/>
    <x v="22"/>
    <n v="37.5"/>
    <x v="199"/>
    <n v="0"/>
    <n v="-1"/>
    <n v="0"/>
    <x v="0"/>
    <x v="841"/>
    <x v="876"/>
    <s v="Colombia vs Ghana"/>
  </r>
  <r>
    <s v="Colombia vs Ghana / Match Odds"/>
    <s v="Fulltbet"/>
    <x v="2808"/>
    <n v="7.31"/>
    <n v="4.4999999999999998E-2"/>
    <n v="7.6544502617801049"/>
    <x v="20"/>
    <x v="76"/>
    <x v="89"/>
    <n v="99.97"/>
    <x v="199"/>
    <n v="0.34445026178010529"/>
    <n v="7.3121936580974295E-2"/>
    <n v="1"/>
    <x v="0"/>
    <x v="841"/>
    <x v="876"/>
    <s v="Colombia vs Ghana"/>
  </r>
  <r>
    <s v="Colombia vs Ghana / Match Odds"/>
    <s v="Betbra"/>
    <x v="2808"/>
    <n v="83.31"/>
    <n v="4.4999999999999998E-2"/>
    <n v="87.235602094240846"/>
    <x v="17"/>
    <x v="53"/>
    <x v="153"/>
    <n v="299.98"/>
    <x v="199"/>
    <n v="3.9256020942408441"/>
    <n v="0.27771851456763785"/>
    <n v="1"/>
    <x v="0"/>
    <x v="841"/>
    <x v="876"/>
    <s v="Colombia vs Ghana"/>
  </r>
  <r>
    <s v="Dalian Yingbo vs Wuhan Three Towns / Total 1.5"/>
    <s v="Fulltbet"/>
    <x v="2809"/>
    <n v="14.33"/>
    <n v="4.4999999999999998E-2"/>
    <n v="15.005235602094242"/>
    <x v="10"/>
    <x v="32"/>
    <x v="17"/>
    <n v="15"/>
    <x v="199"/>
    <n v="0.67523560209424183"/>
    <n v="0.95533333333333337"/>
    <n v="1"/>
    <x v="0"/>
    <x v="764"/>
    <x v="579"/>
    <s v="Dalian Yingbo vs Wuhan Three Towns"/>
  </r>
  <r>
    <s v="Dalian Yingbo vs Wuhan Three Towns / Total 2.5"/>
    <s v="Fulltbet"/>
    <x v="2810"/>
    <n v="0.63"/>
    <n v="4.4999999999999998E-2"/>
    <n v="0.65968586387434558"/>
    <x v="10"/>
    <x v="70"/>
    <x v="231"/>
    <n v="2"/>
    <x v="199"/>
    <n v="2.9685863874345575E-2"/>
    <n v="0.315"/>
    <n v="1"/>
    <x v="0"/>
    <x v="764"/>
    <x v="579"/>
    <s v="Dalian Yingbo vs Wuhan Three Towns"/>
  </r>
  <r>
    <s v="Qingdao West Coast vs Shanghai Port / Both Teams To Score"/>
    <s v="Fulltbet"/>
    <x v="2811"/>
    <n v="2.68"/>
    <n v="4.4999999999999998E-2"/>
    <n v="2.8062827225130893"/>
    <x v="10"/>
    <x v="59"/>
    <x v="198"/>
    <n v="5"/>
    <x v="199"/>
    <n v="0.12628272251308914"/>
    <n v="0.53600000000000003"/>
    <n v="1"/>
    <x v="0"/>
    <x v="645"/>
    <x v="693"/>
    <s v="Qingdao West Coast vs Shanghai Port"/>
  </r>
  <r>
    <s v="Qingdao West Coast vs Shanghai Port / Total 4.5"/>
    <s v="Fulltbet"/>
    <x v="2812"/>
    <n v="0.36"/>
    <n v="4.4999999999999998E-2"/>
    <n v="0.37696335078534032"/>
    <x v="10"/>
    <x v="62"/>
    <x v="207"/>
    <n v="5"/>
    <x v="199"/>
    <n v="1.6963350785340336E-2"/>
    <n v="7.1999999999999995E-2"/>
    <n v="1"/>
    <x v="0"/>
    <x v="645"/>
    <x v="693"/>
    <s v="Qingdao West Coast vs Shanghai Port"/>
  </r>
  <r>
    <s v="Dalian Yingbo vs Wuhan Three Towns / Match Odds"/>
    <s v="Fulltbet"/>
    <x v="2813"/>
    <n v="15.08"/>
    <n v="4.4999999999999998E-2"/>
    <n v="15.790575916230367"/>
    <x v="10"/>
    <x v="41"/>
    <x v="184"/>
    <n v="30.63"/>
    <x v="199"/>
    <n v="0.71057591623036664"/>
    <n v="0.49232778321906628"/>
    <n v="1"/>
    <x v="0"/>
    <x v="764"/>
    <x v="579"/>
    <s v="Dalian Yingbo vs Wuhan Three Towns"/>
  </r>
  <r>
    <s v="Tianjin Jinmenhu vs Shenzhen Peng City / Match Odds"/>
    <s v="Fulltbet"/>
    <x v="2814"/>
    <n v="6.37"/>
    <n v="4.4999999999999998E-2"/>
    <n v="6.6701570680628279"/>
    <x v="10"/>
    <x v="38"/>
    <x v="21"/>
    <n v="120.06"/>
    <x v="199"/>
    <n v="0.30015706806282783"/>
    <n v="5.3056804930867903E-2"/>
    <n v="1"/>
    <x v="0"/>
    <x v="814"/>
    <x v="977"/>
    <s v="Tianjin Jinmenhu vs Shenzhen Peng City"/>
  </r>
  <r>
    <s v="VPS vs IFK Mariehamn / Match Odds"/>
    <s v="Bolsa"/>
    <x v="2815"/>
    <n v="41.76"/>
    <n v="4.4999999999999998E-2"/>
    <n v="43.727748691099478"/>
    <x v="17"/>
    <x v="53"/>
    <x v="121"/>
    <n v="299.98"/>
    <x v="199"/>
    <n v="1.9677486910994801"/>
    <n v="0.13920928061870791"/>
    <n v="1"/>
    <x v="0"/>
    <x v="925"/>
    <x v="941"/>
    <s v="VPS vs IFK Mariehamn"/>
  </r>
  <r>
    <s v="VPS vs IFK Mariehamn / Correct Score"/>
    <s v="Bolsa"/>
    <x v="2815"/>
    <n v="-24"/>
    <n v="4.4999999999999998E-2"/>
    <n v="-24"/>
    <x v="17"/>
    <x v="66"/>
    <x v="16"/>
    <n v="24"/>
    <x v="199"/>
    <n v="0"/>
    <n v="-1"/>
    <n v="0"/>
    <x v="0"/>
    <x v="925"/>
    <x v="941"/>
    <s v="VPS vs IFK Mariehamn"/>
  </r>
  <r>
    <s v="VPS vs IFK Mariehamn / Match Odds"/>
    <s v="Fulltbet"/>
    <x v="2816"/>
    <n v="5.71"/>
    <n v="4.4999999999999998E-2"/>
    <n v="5.9790575916230368"/>
    <x v="20"/>
    <x v="76"/>
    <x v="12"/>
    <n v="100.05"/>
    <x v="199"/>
    <n v="0.26905759162303688"/>
    <n v="5.7071464267866065E-2"/>
    <n v="1"/>
    <x v="0"/>
    <x v="925"/>
    <x v="941"/>
    <s v="VPS vs IFK Mariehamn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</r>
  <r>
    <s v="Canada vs Morocco / Correct Score"/>
    <s v="Betbra"/>
    <x v="2818"/>
    <n v="-51.72"/>
    <n v="4.4999999999999998E-2"/>
    <n v="-51.72"/>
    <x v="17"/>
    <x v="66"/>
    <x v="121"/>
    <n v="51.72"/>
    <x v="199"/>
    <n v="0"/>
    <n v="-1"/>
    <n v="0"/>
    <x v="0"/>
    <x v="855"/>
    <x v="949"/>
    <s v="Canada vs Morocco"/>
  </r>
  <r>
    <s v="Canada vs Morocco / Correct Score"/>
    <s v="Fulltbet"/>
    <x v="2819"/>
    <n v="35.74"/>
    <n v="4.4999999999999998E-2"/>
    <n v="37.424083769633512"/>
    <x v="15"/>
    <x v="6"/>
    <x v="6"/>
    <n v="580.01"/>
    <x v="199"/>
    <n v="1.68408376963351"/>
    <n v="6.1619627247806077E-2"/>
    <n v="1"/>
    <x v="0"/>
    <x v="855"/>
    <x v="949"/>
    <s v="Canada vs Morocco"/>
  </r>
  <r>
    <s v="Canada vs Morocco / Match Odds"/>
    <s v="Fulltbet"/>
    <x v="2820"/>
    <n v="12.22"/>
    <n v="4.4999999999999998E-2"/>
    <n v="12.795811518324609"/>
    <x v="20"/>
    <x v="75"/>
    <x v="341"/>
    <n v="97.56"/>
    <x v="199"/>
    <n v="0.57581151832460797"/>
    <n v="0.12525625256252562"/>
    <n v="1"/>
    <x v="0"/>
    <x v="855"/>
    <x v="949"/>
    <s v="Canada vs Morocco"/>
  </r>
  <r>
    <s v="Canada vs Morocco / Match Odds"/>
    <s v="Betbra"/>
    <x v="2820"/>
    <n v="110.81"/>
    <n v="4.4999999999999998E-2"/>
    <n v="116.03141361256546"/>
    <x v="17"/>
    <x v="53"/>
    <x v="259"/>
    <n v="300"/>
    <x v="199"/>
    <n v="5.2214136125654562"/>
    <n v="0.36936666666666668"/>
    <n v="1"/>
    <x v="0"/>
    <x v="855"/>
    <x v="949"/>
    <s v="Canada vs Morocco"/>
  </r>
  <r>
    <s v="Gremio Novorizontino vs Atlético Goianiense / Correct Score"/>
    <s v="Betbra"/>
    <x v="2821"/>
    <n v="-50"/>
    <n v="4.4999999999999998E-2"/>
    <n v="-50"/>
    <x v="17"/>
    <x v="66"/>
    <x v="36"/>
    <n v="50"/>
    <x v="199"/>
    <n v="0"/>
    <n v="-1"/>
    <n v="0"/>
    <x v="0"/>
    <x v="751"/>
    <x v="675"/>
    <s v="Gremio Novorizontino vs Atlético Goianiense"/>
  </r>
  <r>
    <s v="Gremio Novorizontino vs Atlético Goianiense / Match Odds"/>
    <s v="Fulltbet"/>
    <x v="2822"/>
    <n v="18.899999999999999"/>
    <n v="4.4999999999999998E-2"/>
    <n v="19.790575916230367"/>
    <x v="20"/>
    <x v="75"/>
    <x v="245"/>
    <n v="100.01"/>
    <x v="199"/>
    <n v="0.89057591623036814"/>
    <n v="0.18898110188981099"/>
    <n v="1"/>
    <x v="0"/>
    <x v="751"/>
    <x v="675"/>
    <s v="Gremio Novorizontino vs Atlético Goianiense"/>
  </r>
  <r>
    <s v="Gremio Novorizontino vs Atlético Goianiense / Match Odds"/>
    <s v="Betbra"/>
    <x v="2822"/>
    <n v="105.34"/>
    <n v="4.4999999999999998E-2"/>
    <n v="110.30366492146598"/>
    <x v="17"/>
    <x v="53"/>
    <x v="259"/>
    <n v="300"/>
    <x v="199"/>
    <n v="4.9636649214659769"/>
    <n v="0.35113333333333335"/>
    <n v="1"/>
    <x v="0"/>
    <x v="751"/>
    <x v="675"/>
    <s v="Gremio Novorizontino vs Atlético Goianiense"/>
  </r>
  <r>
    <s v="Criciúma EC vs Sport Club do Recife / Match Odds"/>
    <s v="Bolsa"/>
    <x v="2823"/>
    <n v="116.94"/>
    <n v="4.4999999999999998E-2"/>
    <n v="122.45026178010471"/>
    <x v="17"/>
    <x v="66"/>
    <x v="28"/>
    <n v="48.39"/>
    <x v="199"/>
    <n v="5.5102617801047131"/>
    <n v="2.4166150030998139"/>
    <n v="1"/>
    <x v="0"/>
    <x v="724"/>
    <x v="979"/>
    <s v="Criciúma EC vs Sport Club do Recife"/>
  </r>
  <r>
    <s v="Criciúma EC vs Sport Club do Recife / Correct Score"/>
    <s v="Bolsa"/>
    <x v="2823"/>
    <n v="-48.39"/>
    <n v="4.4999999999999998E-2"/>
    <n v="-48.39"/>
    <x v="17"/>
    <x v="53"/>
    <x v="259"/>
    <n v="300"/>
    <x v="199"/>
    <n v="0"/>
    <n v="-0.1613"/>
    <n v="0"/>
    <x v="0"/>
    <x v="724"/>
    <x v="979"/>
    <s v="Criciúma EC vs Sport Club do Recife"/>
  </r>
  <r>
    <s v="Criciúma EC vs Sport Club do Recife / Match Odds"/>
    <s v="Fulltbet"/>
    <x v="2824"/>
    <n v="19.84"/>
    <n v="4.4999999999999998E-2"/>
    <n v="20.774869109947645"/>
    <x v="20"/>
    <x v="75"/>
    <x v="153"/>
    <n v="100"/>
    <x v="199"/>
    <n v="0.93486910994764472"/>
    <n v="0.19839999999999999"/>
    <n v="1"/>
    <x v="0"/>
    <x v="724"/>
    <x v="979"/>
    <s v="Criciúma EC vs Sport Club do Recife"/>
  </r>
  <r>
    <s v="Indy Eleven vs Charleston Battery / Correct Score"/>
    <s v="Fulltbet"/>
    <x v="2825"/>
    <n v="6.63"/>
    <n v="4.4999999999999998E-2"/>
    <n v="6.9424083769633507"/>
    <x v="10"/>
    <x v="60"/>
    <x v="37"/>
    <n v="49.97"/>
    <x v="199"/>
    <n v="0.31240837696335078"/>
    <n v="0.13267960776465879"/>
    <n v="1"/>
    <x v="0"/>
    <x v="632"/>
    <x v="980"/>
    <s v="Indy Eleven vs Charleston Battery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</r>
  <r>
    <s v="Ferroviária vs SER Caxias Do Sul / Correct Score"/>
    <s v="Fulltbet"/>
    <x v="2827"/>
    <n v="-50"/>
    <n v="4.4999999999999998E-2"/>
    <n v="-50"/>
    <x v="10"/>
    <x v="61"/>
    <x v="22"/>
    <n v="50"/>
    <x v="199"/>
    <n v="0"/>
    <n v="-1"/>
    <n v="0"/>
    <x v="0"/>
    <x v="927"/>
    <x v="981"/>
    <s v="Ferroviária vs SER Caxias Do Sul"/>
  </r>
  <r>
    <s v="San Antonio FC vs Monterey Bay FC / Correct Score"/>
    <s v="Fulltbet"/>
    <x v="2828"/>
    <n v="5.31"/>
    <n v="4.4999999999999998E-2"/>
    <n v="5.5602094240837694"/>
    <x v="10"/>
    <x v="61"/>
    <x v="13"/>
    <n v="50.04"/>
    <x v="200"/>
    <n v="0.25020942408376978"/>
    <n v="0.10611510791366906"/>
    <n v="1"/>
    <x v="0"/>
    <x v="928"/>
    <x v="982"/>
    <s v="San Antonio FC vs Monterey Bay FC"/>
  </r>
  <r>
    <s v="Qingdao Hainiu vs Chengdu Rongcheng / Both Teams To Score"/>
    <s v="Fulltbet"/>
    <x v="2829"/>
    <n v="3.6767499999999997"/>
    <n v="4.4999999999999998E-2"/>
    <n v="3.85"/>
    <x v="10"/>
    <x v="59"/>
    <x v="53"/>
    <n v="5"/>
    <x v="200"/>
    <n v="0.17325000000000035"/>
    <n v="0.73534999999999995"/>
    <n v="1"/>
    <x v="0"/>
    <x v="773"/>
    <x v="810"/>
    <s v="Qingdao Hainiu vs Chengdu Rongcheng"/>
  </r>
  <r>
    <s v="Qingdao Hainiu vs Chengdu Rongcheng / Both Teams To Score"/>
    <s v="Fulltbet"/>
    <x v="2829"/>
    <n v="1.7094499999999999"/>
    <n v="4.4999999999999998E-2"/>
    <n v="1.79"/>
    <x v="10"/>
    <x v="51"/>
    <x v="100"/>
    <n v="2"/>
    <x v="200"/>
    <n v="8.0550000000000122E-2"/>
    <n v="0.85472499999999996"/>
    <n v="1"/>
    <x v="0"/>
    <x v="773"/>
    <x v="810"/>
    <s v="Qingdao Hainiu vs Chengdu Rongcheng"/>
  </r>
  <r>
    <s v="Kalmar FF vs Örgryte IS / Total 1.5"/>
    <s v="Fulltbet"/>
    <x v="2830"/>
    <n v="-0.69"/>
    <n v="4.4999999999999998E-2"/>
    <n v="-0.69"/>
    <x v="10"/>
    <x v="32"/>
    <x v="121"/>
    <n v="15"/>
    <x v="200"/>
    <n v="0"/>
    <n v="-4.5999999999999999E-2"/>
    <n v="0"/>
    <x v="0"/>
    <x v="647"/>
    <x v="708"/>
    <s v="Kalmar FF vs Örgryte IS"/>
  </r>
  <r>
    <s v="IFK Göteborg vs AIK / Correct Score"/>
    <s v="Fulltbet"/>
    <x v="2831"/>
    <n v="6.82"/>
    <n v="4.4999999999999998E-2"/>
    <n v="7.1413612565445028"/>
    <x v="10"/>
    <x v="31"/>
    <x v="4"/>
    <n v="149.94"/>
    <x v="200"/>
    <n v="0.32136125654450254"/>
    <n v="4.5484860610911032E-2"/>
    <n v="1"/>
    <x v="0"/>
    <x v="929"/>
    <x v="823"/>
    <s v="IFK Göteborg vs AIK"/>
  </r>
  <r>
    <s v="IFK Göteborg vs AIK / Total 4.5"/>
    <s v="Fulltbet"/>
    <x v="2832"/>
    <n v="0.35"/>
    <n v="4.4999999999999998E-2"/>
    <n v="0.36649214659685864"/>
    <x v="10"/>
    <x v="62"/>
    <x v="59"/>
    <n v="5"/>
    <x v="200"/>
    <n v="1.6492146596858659E-2"/>
    <n v="6.9999999999999993E-2"/>
    <n v="1"/>
    <x v="0"/>
    <x v="929"/>
    <x v="823"/>
    <s v="IFK Göteborg vs AIK"/>
  </r>
  <r>
    <s v="Kalmar FF vs Örgryte IS / Match Odds"/>
    <s v="Fulltbet"/>
    <x v="2833"/>
    <n v="2.0099999999999998"/>
    <n v="4.4999999999999998E-2"/>
    <n v="2.1047120418848166"/>
    <x v="10"/>
    <x v="48"/>
    <x v="253"/>
    <n v="70"/>
    <x v="200"/>
    <n v="9.4712041884816855E-2"/>
    <n v="2.871428571428571E-2"/>
    <n v="1"/>
    <x v="0"/>
    <x v="647"/>
    <x v="708"/>
    <s v="Kalmar FF vs Örgryte IS"/>
  </r>
  <r>
    <s v="Brazil vs Norway / Correct Score"/>
    <s v="Fulltbet"/>
    <x v="2834"/>
    <n v="17.36"/>
    <n v="4.4999999999999998E-2"/>
    <n v="18.178010471204189"/>
    <x v="15"/>
    <x v="5"/>
    <x v="7"/>
    <n v="399.96"/>
    <x v="200"/>
    <n v="0.81801047120418957"/>
    <n v="4.3404340434043405E-2"/>
    <n v="1"/>
    <x v="0"/>
    <x v="892"/>
    <x v="887"/>
    <s v="Brazil vs Norway"/>
  </r>
  <r>
    <s v="Brazil vs Norway / Match Odds"/>
    <s v="Fulltbet"/>
    <x v="2835"/>
    <n v="-400"/>
    <n v="4.4999999999999998E-2"/>
    <n v="-400"/>
    <x v="3"/>
    <x v="68"/>
    <x v="174"/>
    <n v="400"/>
    <x v="200"/>
    <n v="0"/>
    <n v="-1"/>
    <n v="0"/>
    <x v="46"/>
    <x v="892"/>
    <x v="887"/>
    <s v="Brazil vs Norway"/>
  </r>
  <r>
    <s v="Portugal vs Spain / Correct Score"/>
    <s v="Fulltbet"/>
    <x v="2836"/>
    <n v="23.31"/>
    <n v="4.4999999999999998E-2"/>
    <n v="24.408376963350786"/>
    <x v="15"/>
    <x v="6"/>
    <x v="30"/>
    <n v="414.97"/>
    <x v="201"/>
    <n v="1.0983769633507876"/>
    <n v="5.6172735378461083E-2"/>
    <n v="1"/>
    <x v="0"/>
    <x v="849"/>
    <x v="967"/>
    <s v="Portugal vs Spain"/>
  </r>
  <r>
    <s v="Botafogo SP vs Avaí FC / Correct Score"/>
    <s v="Betbra"/>
    <x v="2837"/>
    <n v="-45.45"/>
    <n v="4.4999999999999998E-2"/>
    <n v="-45.45"/>
    <x v="17"/>
    <x v="66"/>
    <x v="41"/>
    <n v="45.45"/>
    <x v="201"/>
    <n v="0"/>
    <n v="-1"/>
    <n v="0"/>
    <x v="0"/>
    <x v="930"/>
    <x v="778"/>
    <s v="Botafogo SP vs Avaí FC"/>
  </r>
  <r>
    <s v="Botafogo SP vs Avaí FC / Match Odds"/>
    <s v="Fulltbet"/>
    <x v="2838"/>
    <n v="8.5500000000000007"/>
    <n v="4.4999999999999998E-2"/>
    <n v="8.9528795811518336"/>
    <x v="20"/>
    <x v="75"/>
    <x v="25"/>
    <n v="75.010000000000005"/>
    <x v="201"/>
    <n v="0.40287958115183287"/>
    <n v="0.11398480202639648"/>
    <n v="1"/>
    <x v="0"/>
    <x v="930"/>
    <x v="778"/>
    <s v="Botafogo SP vs Avaí FC"/>
  </r>
  <r>
    <s v="Botafogo SP vs Avaí FC / Match Odds"/>
    <s v="Betbra"/>
    <x v="2838"/>
    <n v="96.19"/>
    <n v="4.4999999999999998E-2"/>
    <n v="100.72251308900523"/>
    <x v="17"/>
    <x v="53"/>
    <x v="160"/>
    <n v="300.01"/>
    <x v="201"/>
    <n v="4.532513089005235"/>
    <n v="0.32062264591180295"/>
    <n v="1"/>
    <x v="0"/>
    <x v="930"/>
    <x v="778"/>
    <s v="Botafogo SP vs Avaí FC"/>
  </r>
  <r>
    <s v="Argentina vs Egypt / Correct Score"/>
    <s v="Bolsa"/>
    <x v="2839"/>
    <n v="-31.58"/>
    <n v="4.4999999999999998E-2"/>
    <n v="-31.58"/>
    <x v="17"/>
    <x v="66"/>
    <x v="14"/>
    <n v="31.58"/>
    <x v="202"/>
    <n v="0"/>
    <n v="-1"/>
    <n v="0"/>
    <x v="0"/>
    <x v="836"/>
    <x v="922"/>
    <s v="Argentina vs Egypt"/>
  </r>
  <r>
    <s v="Argentina vs Egypt / Total 2.5"/>
    <s v="Fulltbet"/>
    <x v="2840"/>
    <n v="22.88"/>
    <n v="4.4999999999999998E-2"/>
    <n v="23.958115183246072"/>
    <x v="21"/>
    <x v="0"/>
    <x v="64"/>
    <n v="50"/>
    <x v="202"/>
    <n v="1.0781151832460729"/>
    <n v="0.45760000000000001"/>
    <n v="1"/>
    <x v="0"/>
    <x v="836"/>
    <x v="922"/>
    <s v="Argentina vs Egypt"/>
  </r>
  <r>
    <s v="Argentina vs Egypt / Match Odds"/>
    <s v="Bolsa"/>
    <x v="2841"/>
    <n v="10.49"/>
    <n v="4.4999999999999998E-2"/>
    <n v="10.984293193717278"/>
    <x v="17"/>
    <x v="53"/>
    <x v="174"/>
    <n v="300"/>
    <x v="202"/>
    <n v="0.49429319371727765"/>
    <n v="3.4966666666666667E-2"/>
    <n v="1"/>
    <x v="0"/>
    <x v="836"/>
    <x v="922"/>
    <s v="Argentina vs Egypt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</r>
  <r>
    <s v="Argentina vs Egypt / Match Odds"/>
    <s v="Betbra"/>
    <x v="2842"/>
    <n v="17.73"/>
    <n v="4.4999999999999998E-2"/>
    <n v="18.565445026178011"/>
    <x v="20"/>
    <x v="76"/>
    <x v="342"/>
    <n v="197.2"/>
    <x v="202"/>
    <n v="0.83544502617801086"/>
    <n v="8.9908722109533476E-2"/>
    <n v="1"/>
    <x v="0"/>
    <x v="836"/>
    <x v="922"/>
    <s v="Argentina vs Egypt"/>
  </r>
  <r>
    <s v="CDT Real Oruro vs Universitario de Vinto / Total 2.5"/>
    <s v="Fulltbet"/>
    <x v="2843"/>
    <n v="-10"/>
    <n v="4.4999999999999998E-2"/>
    <n v="-10"/>
    <x v="10"/>
    <x v="34"/>
    <x v="158"/>
    <n v="10"/>
    <x v="203"/>
    <n v="0"/>
    <n v="-1"/>
    <n v="0"/>
    <x v="0"/>
    <x v="931"/>
    <x v="140"/>
    <s v="CDT Real Oruro vs Universitario de Vinto"/>
  </r>
  <r>
    <s v="CDT Real Oruro vs Universitario de Vinto / Correct Score"/>
    <s v="Fulltbet"/>
    <x v="2844"/>
    <n v="-150"/>
    <n v="4.4999999999999998E-2"/>
    <n v="-150"/>
    <x v="10"/>
    <x v="31"/>
    <x v="11"/>
    <n v="150"/>
    <x v="203"/>
    <n v="0"/>
    <n v="-1"/>
    <n v="0"/>
    <x v="0"/>
    <x v="931"/>
    <x v="140"/>
    <s v="CDT Real Oruro vs Universitario de Vinto"/>
  </r>
  <r>
    <s v="Hartford Athletic FC vs Orange County SC / Correct Score"/>
    <s v="Fulltbet"/>
    <x v="2845"/>
    <n v="6.23"/>
    <n v="4.4999999999999998E-2"/>
    <n v="6.5235602094240841"/>
    <x v="10"/>
    <x v="31"/>
    <x v="109"/>
    <n v="149.96"/>
    <x v="203"/>
    <n v="0.29356020942408367"/>
    <n v="4.1544411843158179E-2"/>
    <n v="1"/>
    <x v="0"/>
    <x v="932"/>
    <x v="654"/>
    <s v="Hartford Athletic FC vs Orange County SC"/>
  </r>
  <r>
    <s v="Dinamo Minsk vs FK Sileks / Match Odds"/>
    <s v="Fulltbet"/>
    <x v="2846"/>
    <n v="-30.6"/>
    <n v="4.4999999999999998E-2"/>
    <n v="-30.6"/>
    <x v="10"/>
    <x v="41"/>
    <x v="134"/>
    <n v="30.6"/>
    <x v="204"/>
    <n v="0"/>
    <n v="-1"/>
    <n v="0"/>
    <x v="0"/>
    <x v="933"/>
    <x v="983"/>
    <s v="Dinamo Minsk vs FK Sileks"/>
  </r>
  <r>
    <s v="France vs Morocco / Correct Score"/>
    <s v="Fulltbet"/>
    <x v="2847"/>
    <n v="19.78"/>
    <n v="4.4999999999999998E-2"/>
    <n v="20.712041884816756"/>
    <x v="15"/>
    <x v="5"/>
    <x v="4"/>
    <n v="434.91"/>
    <x v="204"/>
    <n v="0.93204188481675487"/>
    <n v="4.5480674162470397E-2"/>
    <n v="1"/>
    <x v="0"/>
    <x v="878"/>
    <x v="949"/>
    <s v="France vs Morocco"/>
  </r>
  <r>
    <s v="France vs Morocco / Correct Score"/>
    <s v="Betbra"/>
    <x v="2847"/>
    <n v="-39.47"/>
    <n v="4.4999999999999998E-2"/>
    <n v="-39.47"/>
    <x v="17"/>
    <x v="66"/>
    <x v="38"/>
    <n v="39.47"/>
    <x v="204"/>
    <n v="0"/>
    <n v="-1"/>
    <n v="0"/>
    <x v="0"/>
    <x v="878"/>
    <x v="949"/>
    <s v="France vs Morocco"/>
  </r>
  <r>
    <s v="France vs Morocco / Match Odds"/>
    <s v="Betbra"/>
    <x v="2848"/>
    <n v="88.74"/>
    <n v="4.4999999999999998E-2"/>
    <n v="92.921465968586389"/>
    <x v="17"/>
    <x v="53"/>
    <x v="310"/>
    <n v="300"/>
    <x v="204"/>
    <n v="4.1814659685863944"/>
    <n v="0.29580000000000001"/>
    <n v="1"/>
    <x v="0"/>
    <x v="878"/>
    <x v="949"/>
    <s v="France vs Morocco"/>
  </r>
  <r>
    <s v="France vs Morocco / Match Odds"/>
    <s v="Fulltbet"/>
    <x v="2849"/>
    <n v="12.63"/>
    <n v="4.4999999999999998E-2"/>
    <n v="13.225130890052357"/>
    <x v="20"/>
    <x v="76"/>
    <x v="81"/>
    <n v="100.03"/>
    <x v="204"/>
    <n v="0.59513089005235642"/>
    <n v="0.12626212136359094"/>
    <n v="1"/>
    <x v="0"/>
    <x v="878"/>
    <x v="949"/>
    <s v="France vs Morocco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</r>
  <r>
    <s v="Nacional Potosi vs Club Aurora / Match Odds"/>
    <s v="Fulltbet"/>
    <x v="2851"/>
    <n v="9.5500000000000007"/>
    <n v="4.4999999999999998E-2"/>
    <n v="10.000000000000002"/>
    <x v="10"/>
    <x v="38"/>
    <x v="16"/>
    <n v="125"/>
    <x v="204"/>
    <n v="0.45000000000000107"/>
    <n v="7.640000000000001E-2"/>
    <n v="1"/>
    <x v="0"/>
    <x v="934"/>
    <x v="874"/>
    <s v="Nacional Potosi vs Club Aurora"/>
  </r>
  <r>
    <s v="VPS vs SJK / Correct Score"/>
    <s v="Betbra"/>
    <x v="2852"/>
    <n v="-38.46"/>
    <n v="4.4999999999999998E-2"/>
    <n v="-38.46"/>
    <x v="17"/>
    <x v="66"/>
    <x v="42"/>
    <n v="38.46"/>
    <x v="205"/>
    <n v="0"/>
    <n v="-1"/>
    <n v="0"/>
    <x v="0"/>
    <x v="925"/>
    <x v="646"/>
    <s v="VPS vs SJK"/>
  </r>
  <r>
    <s v="VPS vs SJK / Match Odds"/>
    <s v="Fulltbet"/>
    <x v="2853"/>
    <n v="20.64"/>
    <n v="4.4999999999999998E-2"/>
    <n v="21.612565445026181"/>
    <x v="20"/>
    <x v="75"/>
    <x v="277"/>
    <n v="99.99"/>
    <x v="205"/>
    <n v="0.9725654450261807"/>
    <n v="0.20642064206420643"/>
    <n v="1"/>
    <x v="0"/>
    <x v="925"/>
    <x v="646"/>
    <s v="VPS vs SJK"/>
  </r>
  <r>
    <s v="VPS vs SJK / Match Odds"/>
    <s v="Betbra"/>
    <x v="2853"/>
    <n v="88.36"/>
    <n v="4.4999999999999998E-2"/>
    <n v="92.52356020942409"/>
    <x v="17"/>
    <x v="53"/>
    <x v="277"/>
    <n v="300"/>
    <x v="205"/>
    <n v="4.1635602094240909"/>
    <n v="0.29453333333333331"/>
    <n v="1"/>
    <x v="0"/>
    <x v="925"/>
    <x v="646"/>
    <s v="VPS vs SJK"/>
  </r>
  <r>
    <s v="Waterford FC vs St. Patrick's Athletic / Total 0.5"/>
    <s v="Fulltbet"/>
    <x v="2854"/>
    <n v="0.48"/>
    <n v="4.4999999999999998E-2"/>
    <n v="0.50261780104712039"/>
    <x v="10"/>
    <x v="49"/>
    <x v="268"/>
    <n v="10"/>
    <x v="205"/>
    <n v="2.2617801047120412E-2"/>
    <n v="4.8000000000000001E-2"/>
    <n v="1"/>
    <x v="0"/>
    <x v="888"/>
    <x v="984"/>
    <s v="Waterford FC vs St. Patrick's Athletic"/>
  </r>
  <r>
    <s v="Dundalk vs Drogheda United / Correct Score"/>
    <s v="Fulltbet"/>
    <x v="2855"/>
    <n v="25.76"/>
    <n v="4.4999999999999998E-2"/>
    <n v="26.973821989528798"/>
    <x v="19"/>
    <x v="5"/>
    <x v="27"/>
    <n v="445.01"/>
    <x v="205"/>
    <n v="1.2138219895287961"/>
    <n v="5.7886339632817245E-2"/>
    <n v="1"/>
    <x v="0"/>
    <x v="915"/>
    <x v="573"/>
    <s v="Dundalk vs Drogheda United"/>
  </r>
  <r>
    <s v="Dundalk vs Drogheda United / Correct Score"/>
    <s v="Betbra"/>
    <x v="2855"/>
    <n v="-39.47"/>
    <n v="4.4999999999999998E-2"/>
    <n v="-39.47"/>
    <x v="17"/>
    <x v="66"/>
    <x v="38"/>
    <n v="39.47"/>
    <x v="205"/>
    <n v="0"/>
    <n v="-1"/>
    <n v="0"/>
    <x v="0"/>
    <x v="915"/>
    <x v="573"/>
    <s v="Dundalk vs Drogheda United"/>
  </r>
  <r>
    <s v="Dundalk vs Drogheda United / Match Odds"/>
    <s v="Fulltbet"/>
    <x v="2856"/>
    <n v="13.1"/>
    <n v="4.4999999999999998E-2"/>
    <n v="13.717277486910994"/>
    <x v="20"/>
    <x v="75"/>
    <x v="43"/>
    <n v="100.01"/>
    <x v="205"/>
    <n v="0.61727748691099471"/>
    <n v="0.13098690130986901"/>
    <n v="1"/>
    <x v="0"/>
    <x v="915"/>
    <x v="573"/>
    <s v="Dundalk vs Drogheda United"/>
  </r>
  <r>
    <s v="Dundalk vs Drogheda United / Match Odds"/>
    <s v="Betbra"/>
    <x v="2856"/>
    <n v="23.94"/>
    <n v="4.4999999999999998E-2"/>
    <n v="25.068062827225134"/>
    <x v="17"/>
    <x v="53"/>
    <x v="223"/>
    <n v="299.99"/>
    <x v="205"/>
    <n v="1.1280628272251327"/>
    <n v="7.9802660088669625E-2"/>
    <n v="1"/>
    <x v="0"/>
    <x v="915"/>
    <x v="573"/>
    <s v="Dundalk vs Drogheda United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</r>
  <r>
    <s v="Waterford FC vs St. Patrick's Athletic / Total 1.5"/>
    <s v="Fulltbet"/>
    <x v="2858"/>
    <n v="-115.75"/>
    <n v="4.4999999999999998E-2"/>
    <n v="-115.75"/>
    <x v="25"/>
    <x v="82"/>
    <x v="217"/>
    <n v="50"/>
    <x v="205"/>
    <n v="0"/>
    <n v="-2.3149999999999999"/>
    <n v="0"/>
    <x v="0"/>
    <x v="888"/>
    <x v="984"/>
    <s v="Waterford FC vs St. Patrick's Athletic"/>
  </r>
  <r>
    <s v="Spain vs Belgium / Correct Score"/>
    <s v="Fulltbet"/>
    <x v="2859"/>
    <n v="20.69"/>
    <n v="4.4999999999999998E-2"/>
    <n v="21.66492146596859"/>
    <x v="15"/>
    <x v="5"/>
    <x v="4"/>
    <n v="455.07"/>
    <x v="205"/>
    <n v="0.97492146596858831"/>
    <n v="4.5465532775177446E-2"/>
    <n v="1"/>
    <x v="0"/>
    <x v="870"/>
    <x v="875"/>
    <s v="Spain vs Belgium"/>
  </r>
  <r>
    <s v="EC Juventude vs Vila Nova FC / Total 1.5"/>
    <s v="Fulltbet"/>
    <x v="2860"/>
    <n v="-100"/>
    <n v="4.4999999999999998E-2"/>
    <n v="-100"/>
    <x v="25"/>
    <x v="82"/>
    <x v="222"/>
    <n v="50"/>
    <x v="205"/>
    <n v="0"/>
    <n v="-2"/>
    <n v="0"/>
    <x v="0"/>
    <x v="865"/>
    <x v="985"/>
    <s v="EC Juventude vs Vila Nova FC"/>
  </r>
  <r>
    <s v="Leones del Norte vs Universidad Católica del Ecuador / Match Odds"/>
    <s v="Fulltbet"/>
    <x v="2861"/>
    <n v="7.91"/>
    <n v="4.4999999999999998E-2"/>
    <n v="8.2827225130890056"/>
    <x v="10"/>
    <x v="38"/>
    <x v="17"/>
    <n v="111.78"/>
    <x v="205"/>
    <n v="0.3727225130890055"/>
    <n v="7.0764000715691541E-2"/>
    <n v="1"/>
    <x v="0"/>
    <x v="935"/>
    <x v="599"/>
    <s v="Leones del Norte vs Universidad Católica del Ecuador"/>
  </r>
  <r>
    <s v="Sport Club do Recife vs Botafogo SP / Total 3.5"/>
    <s v="Fulltbet"/>
    <x v="2862"/>
    <n v="48.61"/>
    <n v="4.4999999999999998E-2"/>
    <n v="50.900523560209429"/>
    <x v="21"/>
    <x v="74"/>
    <x v="158"/>
    <n v="50"/>
    <x v="205"/>
    <n v="2.2905235602094294"/>
    <n v="0.97219999999999995"/>
    <n v="1"/>
    <x v="0"/>
    <x v="809"/>
    <x v="872"/>
    <s v="Sport Club do Recife vs Botafogo SP"/>
  </r>
  <r>
    <s v="Sport Club do Recife vs Botafogo SP / Correct Score"/>
    <s v="Betbra"/>
    <x v="2863"/>
    <n v="-51.72"/>
    <n v="4.4999999999999998E-2"/>
    <n v="-51.72"/>
    <x v="17"/>
    <x v="66"/>
    <x v="121"/>
    <n v="51.72"/>
    <x v="205"/>
    <n v="0"/>
    <n v="-1"/>
    <n v="0"/>
    <x v="0"/>
    <x v="809"/>
    <x v="872"/>
    <s v="Sport Club do Recife vs Botafogo SP"/>
  </r>
  <r>
    <s v="Sport Club do Recife vs Botafogo SP / Match Odds"/>
    <s v="Fulltbet"/>
    <x v="2864"/>
    <n v="71.25"/>
    <n v="4.4999999999999998E-2"/>
    <n v="74.607329842931946"/>
    <x v="20"/>
    <x v="75"/>
    <x v="343"/>
    <n v="200.01"/>
    <x v="205"/>
    <n v="3.3573298429319465"/>
    <n v="0.35623218839058046"/>
    <n v="1"/>
    <x v="0"/>
    <x v="809"/>
    <x v="872"/>
    <s v="Sport Club do Recife vs Botafogo SP"/>
  </r>
  <r>
    <s v="Sport Club do Recife vs Botafogo SP / Match Odds"/>
    <s v="Betbra"/>
    <x v="2864"/>
    <n v="62.95"/>
    <n v="4.4999999999999998E-2"/>
    <n v="65.916230366492158"/>
    <x v="17"/>
    <x v="53"/>
    <x v="146"/>
    <n v="300"/>
    <x v="205"/>
    <n v="2.9662303664921552"/>
    <n v="0.20983333333333334"/>
    <n v="1"/>
    <x v="0"/>
    <x v="809"/>
    <x v="872"/>
    <s v="Sport Club do Recife vs Botafogo SP"/>
  </r>
  <r>
    <s v="Shenzhen Peng City vs Qingdao West Coast / Total 1.5"/>
    <s v="Fulltbet"/>
    <x v="2865"/>
    <n v="14.33"/>
    <n v="4.4999999999999998E-2"/>
    <n v="15.005235602094242"/>
    <x v="10"/>
    <x v="32"/>
    <x v="37"/>
    <n v="15"/>
    <x v="206"/>
    <n v="0.67523560209424183"/>
    <n v="0.95533333333333337"/>
    <n v="1"/>
    <x v="0"/>
    <x v="917"/>
    <x v="608"/>
    <s v="Shenzhen Peng City vs Qingdao West Coast"/>
  </r>
  <r>
    <s v="Shenzhen Peng City vs Qingdao West Coast / Both Teams To Score"/>
    <s v="Fulltbet"/>
    <x v="2866"/>
    <n v="-5"/>
    <n v="4.4999999999999998E-2"/>
    <n v="-5"/>
    <x v="10"/>
    <x v="59"/>
    <x v="183"/>
    <n v="5"/>
    <x v="206"/>
    <n v="0"/>
    <n v="-1"/>
    <n v="0"/>
    <x v="0"/>
    <x v="917"/>
    <x v="608"/>
    <s v="Shenzhen Peng City vs Qingdao West Coast"/>
  </r>
  <r>
    <s v="Mjällby AIF vs AIK / Correct Score"/>
    <s v="Fulltbet"/>
    <x v="2867"/>
    <n v="34.520000000000003"/>
    <n v="4.4999999999999998E-2"/>
    <n v="36.146596858638745"/>
    <x v="19"/>
    <x v="5"/>
    <x v="8"/>
    <n v="469.95"/>
    <x v="206"/>
    <n v="1.6265968586387416"/>
    <n v="7.3454622832216196E-2"/>
    <n v="1"/>
    <x v="0"/>
    <x v="936"/>
    <x v="823"/>
    <s v="Mjällby AIF vs AIK"/>
  </r>
  <r>
    <s v="FC Nõmme United vs FC Kuressaare / Total 2.5"/>
    <s v="Fulltbet"/>
    <x v="2868"/>
    <n v="18.62"/>
    <n v="4.4999999999999998E-2"/>
    <n v="19.497382198952881"/>
    <x v="21"/>
    <x v="0"/>
    <x v="344"/>
    <n v="100"/>
    <x v="206"/>
    <n v="0.87738219895287983"/>
    <n v="0.1862"/>
    <n v="1"/>
    <x v="0"/>
    <x v="937"/>
    <x v="986"/>
    <s v="FC Nõmme United vs FC Kuressaare"/>
  </r>
  <r>
    <s v="IF Gnistan vs IFK Mariehamn / Correct Score"/>
    <s v="Betbra"/>
    <x v="2869"/>
    <n v="-27.27"/>
    <n v="4.4999999999999998E-2"/>
    <n v="-27.27"/>
    <x v="17"/>
    <x v="66"/>
    <x v="2"/>
    <n v="27.27"/>
    <x v="206"/>
    <n v="0"/>
    <n v="-1"/>
    <n v="0"/>
    <x v="0"/>
    <x v="801"/>
    <x v="941"/>
    <s v="IF Gnistan vs IFK Mariehamn"/>
  </r>
  <r>
    <s v="IF Gnistan vs IFK Mariehamn / Match Odds"/>
    <s v="Fulltbet"/>
    <x v="2870"/>
    <n v="7.76"/>
    <n v="4.4999999999999998E-2"/>
    <n v="8.1256544502617807"/>
    <x v="20"/>
    <x v="76"/>
    <x v="14"/>
    <n v="100.04"/>
    <x v="206"/>
    <n v="0.36565445026178089"/>
    <n v="7.756897241103558E-2"/>
    <n v="1"/>
    <x v="0"/>
    <x v="801"/>
    <x v="941"/>
    <s v="IF Gnistan vs IFK Mariehamn"/>
  </r>
  <r>
    <s v="IF Gnistan vs IFK Mariehamn / Match Odds"/>
    <s v="Betbra"/>
    <x v="2870"/>
    <n v="16.559999999999999"/>
    <n v="4.4999999999999998E-2"/>
    <n v="17.340314136125652"/>
    <x v="17"/>
    <x v="53"/>
    <x v="116"/>
    <n v="299.99"/>
    <x v="206"/>
    <n v="0.78031413612565359"/>
    <n v="5.5201840061335369E-2"/>
    <n v="1"/>
    <x v="0"/>
    <x v="801"/>
    <x v="941"/>
    <s v="IF Gnistan vs IFK Mariehamn"/>
  </r>
  <r>
    <s v="FC Nõmme United vs FC Kuressaare / Correct Score"/>
    <s v="Fulltbet"/>
    <x v="2871"/>
    <n v="44.21"/>
    <n v="4.4999999999999998E-2"/>
    <n v="46.293193717277489"/>
    <x v="19"/>
    <x v="5"/>
    <x v="345"/>
    <n v="505.94000000000005"/>
    <x v="206"/>
    <n v="2.0831937172774886"/>
    <n v="8.7381902992449689E-2"/>
    <n v="1"/>
    <x v="0"/>
    <x v="937"/>
    <x v="986"/>
    <s v="FC Nõmme United vs FC Kuressaare"/>
  </r>
  <r>
    <s v="Tromsø vs Vålerenga / Correct Score"/>
    <s v="Betbra"/>
    <x v="2872"/>
    <n v="-40.54"/>
    <n v="4.4999999999999998E-2"/>
    <n v="-40.54"/>
    <x v="17"/>
    <x v="66"/>
    <x v="19"/>
    <n v="40.54"/>
    <x v="206"/>
    <n v="0"/>
    <n v="-1"/>
    <n v="0"/>
    <x v="0"/>
    <x v="565"/>
    <x v="650"/>
    <s v="Tromsø vs Vålerenga"/>
  </r>
  <r>
    <s v="Tromsø vs Vålerenga / Match Odds"/>
    <s v="Fulltbet"/>
    <x v="2873"/>
    <n v="13.98"/>
    <n v="4.4999999999999998E-2"/>
    <n v="14.638743455497384"/>
    <x v="20"/>
    <x v="75"/>
    <x v="126"/>
    <n v="100"/>
    <x v="206"/>
    <n v="0.65874345549738322"/>
    <n v="0.13980000000000001"/>
    <n v="1"/>
    <x v="0"/>
    <x v="565"/>
    <x v="650"/>
    <s v="Tromsø vs Vålerenga"/>
  </r>
  <r>
    <s v="Tromsø vs Vålerenga / Match Odds"/>
    <s v="Betbra"/>
    <x v="2873"/>
    <n v="66.44"/>
    <n v="4.4999999999999998E-2"/>
    <n v="69.570680628272257"/>
    <x v="17"/>
    <x v="53"/>
    <x v="182"/>
    <n v="300"/>
    <x v="206"/>
    <n v="3.130680628272259"/>
    <n v="0.22146666666666667"/>
    <n v="1"/>
    <x v="0"/>
    <x v="565"/>
    <x v="650"/>
    <s v="Tromsø vs Vålerenga"/>
  </r>
  <r>
    <s v="Manta FC vs Orense SC / Total 0.5"/>
    <s v="Fulltbet"/>
    <x v="2874"/>
    <n v="-15"/>
    <n v="4.4999999999999998E-2"/>
    <n v="-15"/>
    <x v="10"/>
    <x v="47"/>
    <x v="222"/>
    <n v="15"/>
    <x v="206"/>
    <n v="0"/>
    <n v="-1"/>
    <n v="0"/>
    <x v="0"/>
    <x v="553"/>
    <x v="5"/>
    <s v="Manta FC vs Orense SC"/>
  </r>
  <r>
    <s v="Mushuc Runa vs Independiente del Valle / Total 1.5"/>
    <s v="Fulltbet"/>
    <x v="2875"/>
    <n v="14.33"/>
    <n v="4.4999999999999998E-2"/>
    <n v="15.005235602094242"/>
    <x v="10"/>
    <x v="32"/>
    <x v="81"/>
    <n v="15"/>
    <x v="206"/>
    <n v="0.67523560209424183"/>
    <n v="0.95533333333333337"/>
    <n v="1"/>
    <x v="0"/>
    <x v="669"/>
    <x v="987"/>
    <s v="Mushuc Runa vs Independiente del Valle"/>
  </r>
  <r>
    <s v="CDT Real Oruro vs CD Gualberto Villarroel / Total 1.5"/>
    <s v="Fulltbet"/>
    <x v="2876"/>
    <n v="-13.85"/>
    <n v="4.4999999999999998E-2"/>
    <n v="-13.85"/>
    <x v="10"/>
    <x v="32"/>
    <x v="13"/>
    <n v="15"/>
    <x v="206"/>
    <n v="0"/>
    <n v="-0.92333333333333334"/>
    <n v="0"/>
    <x v="0"/>
    <x v="931"/>
    <x v="988"/>
    <s v="CDT Real Oruro vs CD Gualberto Villarroel"/>
  </r>
  <r>
    <s v="Norway vs England / Match Odds"/>
    <s v="Bolsa"/>
    <x v="2877"/>
    <n v="-133.34"/>
    <n v="4.4999999999999998E-2"/>
    <n v="-133.34"/>
    <x v="3"/>
    <x v="68"/>
    <x v="127"/>
    <n v="400.01"/>
    <x v="206"/>
    <n v="0"/>
    <n v="-0.33334166645833857"/>
    <n v="0"/>
    <x v="46"/>
    <x v="906"/>
    <x v="968"/>
    <s v="Norway vs England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</r>
  <r>
    <s v="Norway vs England / Correct Score"/>
    <s v="Betbra"/>
    <x v="2878"/>
    <n v="291.60000000000002"/>
    <n v="4.4999999999999998E-2"/>
    <n v="305.3403141361257"/>
    <x v="17"/>
    <x v="66"/>
    <x v="19"/>
    <n v="40.54"/>
    <x v="206"/>
    <n v="13.740314136125676"/>
    <n v="7.1928959052787373"/>
    <n v="1"/>
    <x v="0"/>
    <x v="906"/>
    <x v="968"/>
    <s v="Norway vs England"/>
  </r>
  <r>
    <s v="Norway vs England / Correct Score"/>
    <s v="Fulltbet"/>
    <x v="2879"/>
    <n v="26.74"/>
    <n v="4.4999999999999998E-2"/>
    <n v="28"/>
    <x v="15"/>
    <x v="6"/>
    <x v="30"/>
    <n v="476"/>
    <x v="206"/>
    <n v="1.2600000000000016"/>
    <n v="5.6176470588235293E-2"/>
    <n v="1"/>
    <x v="0"/>
    <x v="906"/>
    <x v="968"/>
    <s v="Norway vs England"/>
  </r>
  <r>
    <s v="Norway vs England / Match Odds"/>
    <s v="Betbra"/>
    <x v="2880"/>
    <n v="-299.99"/>
    <n v="4.4999999999999998E-2"/>
    <n v="-299.99"/>
    <x v="17"/>
    <x v="53"/>
    <x v="223"/>
    <n v="299.99"/>
    <x v="206"/>
    <n v="0"/>
    <n v="-1"/>
    <n v="0"/>
    <x v="0"/>
    <x v="906"/>
    <x v="968"/>
    <s v="Norway vs England"/>
  </r>
  <r>
    <s v="Norway vs England / Match Odds"/>
    <s v="Fulltbet"/>
    <x v="2881"/>
    <n v="42.36"/>
    <n v="4.4999999999999998E-2"/>
    <n v="44.356020942408378"/>
    <x v="20"/>
    <x v="75"/>
    <x v="347"/>
    <n v="199.6"/>
    <x v="206"/>
    <n v="1.9960209424083786"/>
    <n v="0.2122244488977956"/>
    <n v="1"/>
    <x v="0"/>
    <x v="906"/>
    <x v="968"/>
    <s v="Norway vs England"/>
  </r>
  <r>
    <s v="Argentina vs Switzerland / Correct Score"/>
    <s v="Betbra"/>
    <x v="2882"/>
    <n v="292.02"/>
    <n v="4.4999999999999998E-2"/>
    <n v="305.78010471204186"/>
    <x v="17"/>
    <x v="66"/>
    <x v="41"/>
    <n v="46.88"/>
    <x v="207"/>
    <n v="13.76010471204188"/>
    <n v="6.2290955631399312"/>
    <n v="1"/>
    <x v="0"/>
    <x v="836"/>
    <x v="908"/>
    <s v="Argentina vs Switzerland"/>
  </r>
  <r>
    <s v="Argentina vs Switzerland / Correct Score"/>
    <s v="Fulltbet"/>
    <x v="2882"/>
    <n v="30.08"/>
    <n v="4.4999999999999998E-2"/>
    <n v="31.497382198952881"/>
    <x v="15"/>
    <x v="5"/>
    <x v="10"/>
    <n v="504"/>
    <x v="207"/>
    <n v="1.4173821989528825"/>
    <n v="5.9682539682539677E-2"/>
    <n v="1"/>
    <x v="0"/>
    <x v="836"/>
    <x v="908"/>
    <s v="Argentina vs Switzerland"/>
  </r>
  <r>
    <s v="Argentina vs Switzerland / Half Time/Full Time"/>
    <s v="Fulltbet"/>
    <x v="2883"/>
    <n v="28.3"/>
    <n v="4.4999999999999998E-2"/>
    <n v="29.633507853403142"/>
    <x v="3"/>
    <x v="85"/>
    <x v="17"/>
    <n v="400.01"/>
    <x v="207"/>
    <n v="1.333507853403141"/>
    <n v="7.0748231294217645E-2"/>
    <n v="1"/>
    <x v="0"/>
    <x v="836"/>
    <x v="908"/>
    <s v="Argentina vs Switzerland"/>
  </r>
  <r>
    <s v="Argentina vs Switzerland / Match Odds"/>
    <s v="Betbra"/>
    <x v="2884"/>
    <n v="-300.02"/>
    <n v="4.4999999999999998E-2"/>
    <n v="-300.02"/>
    <x v="17"/>
    <x v="53"/>
    <x v="348"/>
    <n v="300.02"/>
    <x v="207"/>
    <n v="0"/>
    <n v="-1"/>
    <n v="0"/>
    <x v="0"/>
    <x v="836"/>
    <x v="908"/>
    <s v="Argentina vs Switzerland"/>
  </r>
  <r>
    <s v="Argentina vs Switzerland / Match Odds"/>
    <s v="Fulltbet"/>
    <x v="2884"/>
    <n v="9.5500000000000007"/>
    <n v="4.4999999999999998E-2"/>
    <n v="10.000000000000002"/>
    <x v="20"/>
    <x v="76"/>
    <x v="85"/>
    <n v="100.02"/>
    <x v="207"/>
    <n v="0.45000000000000107"/>
    <n v="9.5480903819236157E-2"/>
    <n v="1"/>
    <x v="0"/>
    <x v="836"/>
    <x v="908"/>
    <s v="Argentina vs Switzerland"/>
  </r>
  <r>
    <s v="Hammarby IF vs Kalmar FF / Correct Score"/>
    <s v="Betbra"/>
    <x v="2885"/>
    <n v="-28.57"/>
    <n v="4.4999999999999998E-2"/>
    <n v="-28.57"/>
    <x v="17"/>
    <x v="66"/>
    <x v="23"/>
    <n v="28.57"/>
    <x v="207"/>
    <n v="0"/>
    <n v="-1"/>
    <n v="0"/>
    <x v="0"/>
    <x v="436"/>
    <x v="773"/>
    <s v="Hammarby IF vs Kalmar FF"/>
  </r>
  <r>
    <s v="Hammarby IF vs Kalmar FF / Match Odds"/>
    <s v="Betbra"/>
    <x v="2886"/>
    <n v="47.14"/>
    <n v="4.4999999999999998E-2"/>
    <n v="49.361256544502623"/>
    <x v="17"/>
    <x v="53"/>
    <x v="224"/>
    <n v="287.5"/>
    <x v="207"/>
    <n v="2.2212565445026229"/>
    <n v="0.16396521739130435"/>
    <n v="1"/>
    <x v="0"/>
    <x v="436"/>
    <x v="773"/>
    <s v="Hammarby IF vs Kalmar FF"/>
  </r>
  <r>
    <s v="Hammarby IF vs Kalmar FF / Match Odds"/>
    <s v="Fulltbet"/>
    <x v="2886"/>
    <n v="7.23"/>
    <n v="4.4999999999999998E-2"/>
    <n v="7.5706806282722523"/>
    <x v="20"/>
    <x v="76"/>
    <x v="9"/>
    <n v="100.03"/>
    <x v="207"/>
    <n v="0.34068062827225187"/>
    <n v="7.2278316505048484E-2"/>
    <n v="1"/>
    <x v="0"/>
    <x v="436"/>
    <x v="773"/>
    <s v="Hammarby IF vs Kalmar FF"/>
  </r>
  <r>
    <s v="Malmö FF vs IFK Göteborg / Correct Score"/>
    <s v="Betbra"/>
    <x v="2887"/>
    <n v="-36.590000000000003"/>
    <n v="4.4999999999999998E-2"/>
    <n v="-36.590000000000003"/>
    <x v="17"/>
    <x v="66"/>
    <x v="256"/>
    <n v="36.590000000000003"/>
    <x v="207"/>
    <n v="0"/>
    <n v="-1"/>
    <n v="0"/>
    <x v="0"/>
    <x v="517"/>
    <x v="989"/>
    <s v="Malmö FF vs IFK Göteborg"/>
  </r>
  <r>
    <s v="Malmö FF vs IFK Göteborg / Match Odds"/>
    <s v="Betbra"/>
    <x v="2888"/>
    <n v="50.63"/>
    <n v="4.4999999999999998E-2"/>
    <n v="53.015706806282729"/>
    <x v="17"/>
    <x v="53"/>
    <x v="182"/>
    <n v="300"/>
    <x v="207"/>
    <n v="2.3857068062827267"/>
    <n v="0.16876666666666668"/>
    <n v="1"/>
    <x v="0"/>
    <x v="517"/>
    <x v="989"/>
    <s v="Malmö FF vs IFK Göteborg"/>
  </r>
  <r>
    <s v="Malmö FF vs IFK Göteborg / Match Odds"/>
    <s v="Fulltbet"/>
    <x v="2888"/>
    <n v="14.58"/>
    <n v="4.4999999999999998E-2"/>
    <n v="15.267015706806284"/>
    <x v="20"/>
    <x v="75"/>
    <x v="255"/>
    <n v="99.99"/>
    <x v="207"/>
    <n v="0.68701570680628343"/>
    <n v="0.14581458145814583"/>
    <n v="1"/>
    <x v="0"/>
    <x v="517"/>
    <x v="989"/>
    <s v="Malmö FF vs IFK Göteborg"/>
  </r>
  <r>
    <s v="KFUM Oslo vs Bodø/Glimt / Total 1.5"/>
    <s v="Fulltbet"/>
    <x v="2889"/>
    <n v="-14.46"/>
    <n v="4.4999999999999998E-2"/>
    <n v="-14.46"/>
    <x v="10"/>
    <x v="32"/>
    <x v="31"/>
    <n v="15"/>
    <x v="207"/>
    <n v="0"/>
    <n v="-0.96400000000000008"/>
    <n v="0"/>
    <x v="0"/>
    <x v="788"/>
    <x v="122"/>
    <s v="KFUM Oslo vs Bod"/>
  </r>
  <r>
    <s v="Brann vs Start / Total 0.5"/>
    <s v="Fulltbet"/>
    <x v="2890"/>
    <n v="0.64"/>
    <n v="4.4999999999999998E-2"/>
    <n v="0.67015706806282727"/>
    <x v="10"/>
    <x v="49"/>
    <x v="267"/>
    <n v="10"/>
    <x v="207"/>
    <n v="3.0157068062827252E-2"/>
    <n v="6.4000000000000001E-2"/>
    <n v="1"/>
    <x v="0"/>
    <x v="938"/>
    <x v="754"/>
    <s v="Brann vs Start"/>
  </r>
  <r>
    <s v="GAIS vs IF Elfsborg / Match Odds"/>
    <s v="Fulltbet"/>
    <x v="2891"/>
    <n v="4.99"/>
    <n v="4.4999999999999998E-2"/>
    <n v="5.2251308900523563"/>
    <x v="10"/>
    <x v="38"/>
    <x v="349"/>
    <n v="121.22"/>
    <x v="207"/>
    <n v="0.2351308900523561"/>
    <n v="4.1164824286421382E-2"/>
    <n v="1"/>
    <x v="0"/>
    <x v="746"/>
    <x v="752"/>
    <s v="GAIS vs IF Elfsborg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</r>
  <r>
    <s v="Brann vs Start / Correct Score"/>
    <s v="Fulltbet"/>
    <x v="2893"/>
    <n v="47.75"/>
    <n v="4.4999999999999998E-2"/>
    <n v="50"/>
    <x v="19"/>
    <x v="5"/>
    <x v="2"/>
    <n v="550"/>
    <x v="207"/>
    <n v="2.25"/>
    <n v="8.6818181818181822E-2"/>
    <n v="1"/>
    <x v="0"/>
    <x v="938"/>
    <x v="754"/>
    <s v="Brann vs Start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</r>
  <r>
    <s v="Sarpsborg 08 vs Viking FK / Total 1.5"/>
    <s v="Fulltbet"/>
    <x v="2895"/>
    <n v="-18.600000000000001"/>
    <n v="4.4999999999999998E-2"/>
    <n v="-18.600000000000001"/>
    <x v="10"/>
    <x v="32"/>
    <x v="17"/>
    <n v="15"/>
    <x v="207"/>
    <n v="0"/>
    <n v="-1.24"/>
    <n v="0"/>
    <x v="0"/>
    <x v="939"/>
    <x v="827"/>
    <s v="Sarpsborg 08 vs Viking FK"/>
  </r>
  <r>
    <s v="KR Reykjavik vs ÍB Vestmannaeyja / Correct Score"/>
    <s v="Betbra"/>
    <x v="2896"/>
    <n v="-20"/>
    <n v="4.4999999999999998E-2"/>
    <n v="-20"/>
    <x v="17"/>
    <x v="66"/>
    <x v="34"/>
    <n v="20"/>
    <x v="207"/>
    <n v="0"/>
    <n v="-1"/>
    <n v="0"/>
    <x v="0"/>
    <x v="905"/>
    <x v="918"/>
    <s v="KR Reykjavik vs ÍB Vestmannaeyja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</r>
  <r>
    <s v="KR Reykjavik vs ÍB Vestmannaeyja / Match Odds"/>
    <s v="Betbra"/>
    <x v="2897"/>
    <n v="5.7"/>
    <n v="4.4999999999999998E-2"/>
    <n v="5.9685863874345557"/>
    <x v="17"/>
    <x v="53"/>
    <x v="203"/>
    <n v="300"/>
    <x v="207"/>
    <n v="0.26858638743455554"/>
    <n v="1.9E-2"/>
    <n v="1"/>
    <x v="0"/>
    <x v="905"/>
    <x v="918"/>
    <s v="KR Reykjavik vs ÍB Vestmannaeyja"/>
  </r>
  <r>
    <s v="KR Reykjavik vs ÍB Vestmannaeyja / Match Odds"/>
    <s v="Fulltbet"/>
    <x v="2897"/>
    <n v="27.83"/>
    <n v="4.4999999999999998E-2"/>
    <n v="29.141361256544503"/>
    <x v="20"/>
    <x v="78"/>
    <x v="351"/>
    <n v="200.01999999999998"/>
    <x v="207"/>
    <n v="1.3113612565445045"/>
    <n v="0.13913608639136088"/>
    <n v="1"/>
    <x v="0"/>
    <x v="905"/>
    <x v="918"/>
    <s v="KR Reykjavik vs ÍB Vestmannaeyja"/>
  </r>
  <r>
    <s v="Avaí FC vs Clube Náutico Capibaribe / Match Odds"/>
    <s v="Fulltbet"/>
    <x v="2898"/>
    <n v="6.04"/>
    <n v="4.4999999999999998E-2"/>
    <n v="6.3246073298429319"/>
    <x v="10"/>
    <x v="38"/>
    <x v="352"/>
    <n v="114.89"/>
    <x v="207"/>
    <n v="0.28460732984293191"/>
    <n v="5.2572025415614933E-2"/>
    <n v="1"/>
    <x v="0"/>
    <x v="657"/>
    <x v="861"/>
    <s v="Avaí FC vs Clube Náutico Capibaribe"/>
  </r>
  <r>
    <s v="CRB vs Goiás EC / Total 3.5"/>
    <s v="Fulltbet"/>
    <x v="2899"/>
    <n v="77.83"/>
    <n v="4.4999999999999998E-2"/>
    <n v="81.497382198952877"/>
    <x v="21"/>
    <x v="74"/>
    <x v="216"/>
    <n v="50"/>
    <x v="207"/>
    <n v="3.667382198952879"/>
    <n v="1.5566"/>
    <n v="1"/>
    <x v="0"/>
    <x v="839"/>
    <x v="720"/>
    <s v="CRB vs Goiás EC"/>
  </r>
  <r>
    <s v="Djurgårdens IF vs Halmstads BK / Total 1.5"/>
    <s v="Fulltbet"/>
    <x v="2900"/>
    <n v="14.33"/>
    <n v="4.4999999999999998E-2"/>
    <n v="15.005235602094242"/>
    <x v="10"/>
    <x v="32"/>
    <x v="12"/>
    <n v="15"/>
    <x v="208"/>
    <n v="0.67523560209424183"/>
    <n v="0.95533333333333337"/>
    <n v="1"/>
    <x v="0"/>
    <x v="729"/>
    <x v="562"/>
    <s v="Djurgårdens IF vs Halmstads BK"/>
  </r>
  <r>
    <s v="Djurgårdens IF vs Halmstads BK / Correct Score"/>
    <s v="Betbra"/>
    <x v="2901"/>
    <n v="-18.75"/>
    <n v="4.4999999999999998E-2"/>
    <n v="-18.75"/>
    <x v="17"/>
    <x v="66"/>
    <x v="10"/>
    <n v="18.75"/>
    <x v="208"/>
    <n v="0"/>
    <n v="-1"/>
    <n v="0"/>
    <x v="0"/>
    <x v="729"/>
    <x v="562"/>
    <s v="Djurgårdens IF vs Halmstads BK"/>
  </r>
  <r>
    <s v="Djurgårdens IF vs Halmstads BK / Match Odds"/>
    <s v="Fulltbet"/>
    <x v="2902"/>
    <n v="4.78"/>
    <n v="4.4999999999999998E-2"/>
    <n v="5.005235602094241"/>
    <x v="20"/>
    <x v="86"/>
    <x v="16"/>
    <n v="100"/>
    <x v="208"/>
    <n v="0.22523560209424076"/>
    <n v="4.7800000000000002E-2"/>
    <n v="1"/>
    <x v="0"/>
    <x v="729"/>
    <x v="562"/>
    <s v="Djurgårdens IF vs Halmstads BK"/>
  </r>
  <r>
    <s v="Djurgårdens IF vs Halmstads BK / Match Odds"/>
    <s v="Betbra"/>
    <x v="2902"/>
    <n v="32.44"/>
    <n v="4.4999999999999998E-2"/>
    <n v="33.968586387434556"/>
    <x v="17"/>
    <x v="53"/>
    <x v="44"/>
    <n v="300.02"/>
    <x v="208"/>
    <n v="1.528586387434558"/>
    <n v="0.10812612492500499"/>
    <n v="1"/>
    <x v="0"/>
    <x v="729"/>
    <x v="562"/>
    <s v="Djurgårdens IF vs Halmstads BK"/>
  </r>
  <r>
    <s v="Breidablik vs Keflavik IF / Total 2.5"/>
    <s v="Fulltbet"/>
    <x v="2903"/>
    <n v="9.7899999999999991"/>
    <n v="4.4999999999999998E-2"/>
    <n v="10.25130890052356"/>
    <x v="21"/>
    <x v="0"/>
    <x v="61"/>
    <n v="25"/>
    <x v="208"/>
    <n v="0.46130890052356044"/>
    <n v="0.39159999999999995"/>
    <n v="1"/>
    <x v="0"/>
    <x v="940"/>
    <x v="956"/>
    <s v="Breidablik vs Keflavik IF"/>
  </r>
  <r>
    <s v="Breidablik vs Keflavik IF / Correct Score"/>
    <s v="Fulltbet"/>
    <x v="2904"/>
    <n v="13.1"/>
    <n v="4.4999999999999998E-2"/>
    <n v="13.717277486910994"/>
    <x v="15"/>
    <x v="5"/>
    <x v="178"/>
    <n v="535.08000000000004"/>
    <x v="208"/>
    <n v="0.61727748691099471"/>
    <n v="2.4482320400687745E-2"/>
    <n v="1"/>
    <x v="0"/>
    <x v="940"/>
    <x v="956"/>
    <s v="Breidablik vs Keflavik IF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</r>
  <r>
    <s v="Ceará SC vs Athletic Club MG / Total 0.5"/>
    <s v="Fulltbet"/>
    <x v="2905"/>
    <n v="-15"/>
    <n v="4.4999999999999998E-2"/>
    <n v="-15"/>
    <x v="10"/>
    <x v="47"/>
    <x v="236"/>
    <n v="15"/>
    <x v="208"/>
    <n v="0"/>
    <n v="-1"/>
    <n v="0"/>
    <x v="0"/>
    <x v="630"/>
    <x v="718"/>
    <s v="Ceará SC vs Athletic Club MG"/>
  </r>
  <r>
    <s v="Zhejiang Professional vs Qingdao Hainiu / Total 1.5"/>
    <s v="Fulltbet"/>
    <x v="2906"/>
    <n v="14.33"/>
    <n v="4.4999999999999998E-2"/>
    <n v="15.005235602094242"/>
    <x v="10"/>
    <x v="32"/>
    <x v="3"/>
    <n v="15"/>
    <x v="209"/>
    <n v="0.67523560209424183"/>
    <n v="0.95533333333333337"/>
    <n v="1"/>
    <x v="0"/>
    <x v="941"/>
    <x v="788"/>
    <s v="Zhejiang Professional vs Qingdao Hainiu"/>
  </r>
  <r>
    <s v="Levski Sofia vs FK Borac Banja Luka / Correct Score"/>
    <s v="Betbra"/>
    <x v="2907"/>
    <n v="-28.57"/>
    <n v="4.4999999999999998E-2"/>
    <n v="-28.57"/>
    <x v="17"/>
    <x v="66"/>
    <x v="23"/>
    <n v="28.57"/>
    <x v="209"/>
    <n v="0"/>
    <n v="-1"/>
    <n v="0"/>
    <x v="0"/>
    <x v="942"/>
    <x v="990"/>
    <s v="Levski Sofia vs FK Borac Banja Luka"/>
  </r>
  <r>
    <s v="Levski Sofia vs FK Borac Banja Luka / Match Odds"/>
    <s v="Fulltbet"/>
    <x v="2908"/>
    <n v="5.8"/>
    <n v="4.4999999999999998E-2"/>
    <n v="6.0732984293193715"/>
    <x v="20"/>
    <x v="76"/>
    <x v="5"/>
    <n v="96.51"/>
    <x v="209"/>
    <n v="0.27329842931937165"/>
    <n v="6.0097399233240076E-2"/>
    <n v="1"/>
    <x v="0"/>
    <x v="942"/>
    <x v="990"/>
    <s v="Levski Sofia vs FK Borac Banja Luka"/>
  </r>
  <r>
    <s v="Levski Sofia vs FK Borac Banja Luka / Match Odds"/>
    <s v="Betbra"/>
    <x v="2908"/>
    <n v="60.35"/>
    <n v="4.4999999999999998E-2"/>
    <n v="63.193717277486918"/>
    <x v="17"/>
    <x v="53"/>
    <x v="127"/>
    <n v="300.02"/>
    <x v="209"/>
    <n v="2.8437172774869168"/>
    <n v="0.20115325644957005"/>
    <n v="1"/>
    <x v="0"/>
    <x v="942"/>
    <x v="990"/>
    <s v="Levski Sofia vs FK Borac Banja Luka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</r>
  <r>
    <s v="Shamrock Rovers vs Floriana FC / Correct Score"/>
    <s v="Betbra"/>
    <x v="2910"/>
    <n v="-25"/>
    <n v="4.4999999999999998E-2"/>
    <n v="-25"/>
    <x v="17"/>
    <x v="66"/>
    <x v="5"/>
    <n v="25"/>
    <x v="209"/>
    <n v="0"/>
    <n v="-1"/>
    <n v="0"/>
    <x v="0"/>
    <x v="759"/>
    <x v="991"/>
    <s v="Shamrock Rovers vs Floriana FC"/>
  </r>
  <r>
    <s v="Shamrock Rovers vs Floriana FC / Match Odds"/>
    <s v="Fulltbet"/>
    <x v="2911"/>
    <n v="5.79"/>
    <n v="4.4999999999999998E-2"/>
    <n v="6.0628272251308903"/>
    <x v="20"/>
    <x v="76"/>
    <x v="2"/>
    <n v="99.99"/>
    <x v="209"/>
    <n v="0.27282722513089031"/>
    <n v="5.7905790579057911E-2"/>
    <n v="1"/>
    <x v="0"/>
    <x v="759"/>
    <x v="991"/>
    <s v="Shamrock Rovers vs Floriana FC"/>
  </r>
  <r>
    <s v="Shamrock Rovers vs Floriana FC / Match Odds"/>
    <s v="Betbra"/>
    <x v="2911"/>
    <n v="25.2"/>
    <n v="4.4999999999999998E-2"/>
    <n v="26.387434554973822"/>
    <x v="17"/>
    <x v="53"/>
    <x v="25"/>
    <n v="300.02"/>
    <x v="209"/>
    <n v="1.187434554973823"/>
    <n v="8.399440037330845E-2"/>
    <n v="1"/>
    <x v="0"/>
    <x v="759"/>
    <x v="991"/>
    <s v="Shamrock Rovers vs Floriana FC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</r>
  <r>
    <s v="Libertad FC vs Club Deportivo Técnico Universitario / Total 0.5"/>
    <s v="Fulltbet"/>
    <x v="2913"/>
    <n v="7.23"/>
    <n v="4.4999999999999998E-2"/>
    <n v="7.5706806282722523"/>
    <x v="10"/>
    <x v="47"/>
    <x v="48"/>
    <n v="15"/>
    <x v="210"/>
    <n v="0.34068062827225187"/>
    <n v="0.48200000000000004"/>
    <n v="1"/>
    <x v="0"/>
    <x v="944"/>
    <x v="992"/>
    <s v="Libertad FC vs Club Deportivo Técnico Universitario"/>
  </r>
  <r>
    <s v="CS Universitatea Craiova vs ML Vitebsk / Correct Score"/>
    <s v="Betbra"/>
    <x v="2914"/>
    <n v="2.02"/>
    <n v="4.4999999999999998E-2"/>
    <n v="2.1151832460732987"/>
    <x v="17"/>
    <x v="66"/>
    <x v="2"/>
    <n v="27.03"/>
    <x v="210"/>
    <n v="9.5183246073298644E-2"/>
    <n v="7.4731779504254525E-2"/>
    <n v="1"/>
    <x v="0"/>
    <x v="364"/>
    <x v="993"/>
    <s v="CS Universitatea Craiova vs ML Vitebsk"/>
  </r>
  <r>
    <s v="CS Universitatea Craiova vs ML Vitebsk / Match Odds"/>
    <s v="Betbra"/>
    <x v="2915"/>
    <n v="-103.18"/>
    <n v="4.4999999999999998E-2"/>
    <n v="-103.18"/>
    <x v="17"/>
    <x v="53"/>
    <x v="25"/>
    <n v="300.02"/>
    <x v="210"/>
    <n v="0"/>
    <n v="-0.34391040597293521"/>
    <n v="0"/>
    <x v="0"/>
    <x v="364"/>
    <x v="993"/>
    <s v="CS Universitatea Craiova vs ML Vitebsk"/>
  </r>
  <r>
    <s v="CS Universitatea Craiova vs ML Vitebsk / Match Odds"/>
    <s v="Fulltbet"/>
    <x v="2915"/>
    <n v="-7.84"/>
    <n v="4.4999999999999998E-2"/>
    <n v="-7.84"/>
    <x v="20"/>
    <x v="76"/>
    <x v="12"/>
    <n v="100.05"/>
    <x v="210"/>
    <n v="0"/>
    <n v="-7.8360819590204897E-2"/>
    <n v="0"/>
    <x v="0"/>
    <x v="364"/>
    <x v="993"/>
    <s v="CS Universitatea Craiova vs ML Vitebsk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</r>
  <r>
    <s v="FIFA World Cup 2026 / Winner"/>
    <s v="Fulltbet"/>
    <x v="2917"/>
    <n v="-51.85"/>
    <n v="4.4999999999999998E-2"/>
    <n v="-51.85"/>
    <x v="24"/>
    <x v="84"/>
    <x v="0"/>
    <n v="400.01"/>
    <x v="210"/>
    <n v="0"/>
    <n v="-0.12962175945601362"/>
    <n v="0"/>
    <x v="0"/>
    <x v="207"/>
    <x v="218"/>
    <s v="FIFA World Cup 2026"/>
  </r>
  <r>
    <s v="Universidad Católica del Ecuador vs LDU Quito / Match Odds"/>
    <s v="Fulltbet"/>
    <x v="2918"/>
    <n v="7.64"/>
    <n v="4.4999999999999998E-2"/>
    <n v="8"/>
    <x v="10"/>
    <x v="38"/>
    <x v="34"/>
    <n v="120"/>
    <x v="210"/>
    <n v="0.36000000000000032"/>
    <n v="6.3666666666666663E-2"/>
    <n v="1"/>
    <x v="0"/>
    <x v="5"/>
    <x v="713"/>
    <s v="Universidad Católica del Ecuador vs LDU Quito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</r>
  <r>
    <s v="Barcelona SC vs Guayaquil City FC / Correct Score"/>
    <s v="Betbra"/>
    <x v="2921"/>
    <n v="291.62"/>
    <n v="4.4999999999999998E-2"/>
    <n v="305.36125654450262"/>
    <x v="17"/>
    <x v="66"/>
    <x v="37"/>
    <n v="41.67"/>
    <x v="210"/>
    <n v="13.741256544502619"/>
    <n v="6.9983201343892487"/>
    <n v="1"/>
    <x v="0"/>
    <x v="152"/>
    <x v="995"/>
    <s v="Barcelona SC vs Guayaquil City FC"/>
  </r>
  <r>
    <s v="Barcelona SC vs Guayaquil City FC / Match Odds"/>
    <s v="Betbra"/>
    <x v="2922"/>
    <n v="-300"/>
    <n v="4.4999999999999998E-2"/>
    <n v="-300"/>
    <x v="17"/>
    <x v="53"/>
    <x v="182"/>
    <n v="300"/>
    <x v="210"/>
    <n v="0"/>
    <n v="-1"/>
    <n v="0"/>
    <x v="0"/>
    <x v="152"/>
    <x v="995"/>
    <s v="Barcelona SC vs Guayaquil City FC"/>
  </r>
  <r>
    <s v="Barcelona SC vs Guayaquil City FC / Match Odds"/>
    <s v="Fulltbet"/>
    <x v="2922"/>
    <n v="119"/>
    <n v="4.4999999999999998E-2"/>
    <n v="124.60732984293195"/>
    <x v="20"/>
    <x v="76"/>
    <x v="354"/>
    <n v="200.01"/>
    <x v="210"/>
    <n v="5.6073298429319465"/>
    <n v="0.59497025148742566"/>
    <n v="1"/>
    <x v="0"/>
    <x v="152"/>
    <x v="995"/>
    <s v="Barcelona SC vs Guayaquil City FC"/>
  </r>
  <r>
    <s v="FC Inter Turku vs FK Sarajevo / Match Odds"/>
    <s v="Fulltbet"/>
    <x v="2923"/>
    <n v="19.89"/>
    <n v="4.4999999999999998E-2"/>
    <n v="20.827225130890053"/>
    <x v="10"/>
    <x v="41"/>
    <x v="355"/>
    <n v="29.58"/>
    <x v="211"/>
    <n v="0.93722513089005233"/>
    <n v="0.67241379310344829"/>
    <n v="1"/>
    <x v="0"/>
    <x v="856"/>
    <x v="996"/>
    <s v="FC Inter Turku vs FK Sarajevo"/>
  </r>
  <r>
    <s v="Ilves vs Differdange 03 / Match Odds"/>
    <s v="Fulltbet"/>
    <x v="2924"/>
    <n v="22.74"/>
    <n v="4.4999999999999998E-2"/>
    <n v="23.811518324607331"/>
    <x v="10"/>
    <x v="41"/>
    <x v="221"/>
    <n v="30"/>
    <x v="211"/>
    <n v="1.0715183246073323"/>
    <n v="0.7579999999999999"/>
    <n v="1"/>
    <x v="0"/>
    <x v="600"/>
    <x v="997"/>
    <s v="Ilves vs Differdange 03"/>
  </r>
  <r>
    <s v="Žalgiris Vilnius vs OFK Petrovac / Correct Score"/>
    <s v="Betbra"/>
    <x v="2925"/>
    <n v="-33.33"/>
    <n v="4.4999999999999998E-2"/>
    <n v="-33.33"/>
    <x v="17"/>
    <x v="66"/>
    <x v="13"/>
    <n v="33.33"/>
    <x v="211"/>
    <n v="0"/>
    <n v="-1"/>
    <n v="0"/>
    <x v="0"/>
    <x v="946"/>
    <x v="998"/>
    <s v="Žalgiris Vilnius vs OFK Petrovac"/>
  </r>
  <r>
    <s v="Žalgiris Vilnius vs OFK Petrovac / Match Odds"/>
    <s v="Fulltbet"/>
    <x v="2926"/>
    <n v="11.34"/>
    <n v="4.4999999999999998E-2"/>
    <n v="11.874345549738221"/>
    <x v="20"/>
    <x v="76"/>
    <x v="169"/>
    <n v="99.19"/>
    <x v="211"/>
    <n v="0.53434554973822124"/>
    <n v="0.11432604093154553"/>
    <n v="1"/>
    <x v="0"/>
    <x v="946"/>
    <x v="998"/>
    <s v="Žalgiris Vilnius vs OFK Petrovac"/>
  </r>
  <r>
    <s v="Žalgiris Vilnius vs OFK Petrovac / Match Odds"/>
    <s v="Betbra"/>
    <x v="2926"/>
    <n v="66.83"/>
    <n v="4.4999999999999998E-2"/>
    <n v="69.979057591623032"/>
    <x v="17"/>
    <x v="53"/>
    <x v="135"/>
    <n v="300"/>
    <x v="211"/>
    <n v="3.1490575916230341"/>
    <n v="0.22276666666666667"/>
    <n v="1"/>
    <x v="0"/>
    <x v="946"/>
    <x v="998"/>
    <s v="Žalgiris Vilnius vs OFK Petrovac"/>
  </r>
  <r>
    <s v="Hamrun Spartans vs NSI Runavik / Total 2.5"/>
    <s v="Fulltbet"/>
    <x v="2927"/>
    <n v="46.36"/>
    <n v="4.4999999999999998E-2"/>
    <n v="48.544502617801051"/>
    <x v="21"/>
    <x v="0"/>
    <x v="115"/>
    <n v="75"/>
    <x v="211"/>
    <n v="2.1845026178010514"/>
    <n v="0.61813333333333331"/>
    <n v="1"/>
    <x v="0"/>
    <x v="145"/>
    <x v="999"/>
    <s v="Hamrun Spartans vs NSI Runavik"/>
  </r>
  <r>
    <s v="Hamrun Spartans vs NSI Runavik / Match Odds"/>
    <s v="Fulltbet"/>
    <x v="2928"/>
    <n v="-30"/>
    <n v="4.4999999999999998E-2"/>
    <n v="-30"/>
    <x v="10"/>
    <x v="41"/>
    <x v="139"/>
    <n v="25"/>
    <x v="211"/>
    <n v="0"/>
    <n v="-1.2"/>
    <n v="0"/>
    <x v="0"/>
    <x v="145"/>
    <x v="999"/>
    <s v="Hamrun Spartans vs NSI Runavik"/>
  </r>
  <r>
    <s v="Ferencvárosi TC vs Vojvodina / Correct Score"/>
    <s v="Betbra"/>
    <x v="2929"/>
    <n v="-26.09"/>
    <n v="4.4999999999999998E-2"/>
    <n v="-26.09"/>
    <x v="17"/>
    <x v="66"/>
    <x v="12"/>
    <n v="26.09"/>
    <x v="211"/>
    <n v="0"/>
    <n v="-1"/>
    <n v="0"/>
    <x v="0"/>
    <x v="117"/>
    <x v="1000"/>
    <s v="Ferencvárosi TC vs Vojvodina"/>
  </r>
  <r>
    <s v="Ferencvárosi TC vs Vojvodina / Match Odds"/>
    <s v="Fulltbet"/>
    <x v="2930"/>
    <n v="10.98"/>
    <n v="4.4999999999999998E-2"/>
    <n v="11.497382198952881"/>
    <x v="20"/>
    <x v="76"/>
    <x v="22"/>
    <n v="100"/>
    <x v="211"/>
    <n v="0.5173821989528804"/>
    <n v="0.10980000000000001"/>
    <n v="1"/>
    <x v="0"/>
    <x v="117"/>
    <x v="1000"/>
    <s v="Ferencvárosi TC vs Vojvodina"/>
  </r>
  <r>
    <s v="Ferencvárosi TC vs Vojvodina / Match Odds"/>
    <s v="Betbra"/>
    <x v="2930"/>
    <n v="55.63"/>
    <n v="4.4999999999999998E-2"/>
    <n v="58.251308900523568"/>
    <x v="17"/>
    <x v="53"/>
    <x v="1"/>
    <n v="300"/>
    <x v="211"/>
    <n v="2.6213089005235659"/>
    <n v="0.18543333333333334"/>
    <n v="1"/>
    <x v="0"/>
    <x v="117"/>
    <x v="1000"/>
    <s v="Ferencvárosi TC vs Vojvodina"/>
  </r>
  <r>
    <s v="Academia de Balompie Boliviano vs Club Independiente Petrolero / Both Teams To Score"/>
    <s v="Fulltbet"/>
    <x v="2931"/>
    <n v="2.54"/>
    <n v="4.4999999999999998E-2"/>
    <n v="2.6596858638743459"/>
    <x v="10"/>
    <x v="59"/>
    <x v="86"/>
    <n v="5"/>
    <x v="211"/>
    <n v="0.11968586387434588"/>
    <n v="0.50800000000000001"/>
    <n v="1"/>
    <x v="0"/>
    <x v="536"/>
    <x v="1001"/>
    <s v="Academia de Balompie Boliviano vs Club Independiente Petrolero"/>
  </r>
  <r>
    <s v="Botafogo FR vs Santos FC / Total 0.5"/>
    <s v="Fulltbet"/>
    <x v="2932"/>
    <n v="1.36"/>
    <n v="4.4999999999999998E-2"/>
    <n v="1.424083769633508"/>
    <x v="10"/>
    <x v="49"/>
    <x v="356"/>
    <n v="10"/>
    <x v="211"/>
    <n v="6.4083769633507925E-2"/>
    <n v="0.13600000000000001"/>
    <n v="1"/>
    <x v="0"/>
    <x v="90"/>
    <x v="517"/>
    <s v="Botafogo FR vs Santos FC"/>
  </r>
  <r>
    <s v="Botafogo FR vs Santos FC / Both Teams To Score"/>
    <s v="Fulltbet"/>
    <x v="2933"/>
    <n v="3.73"/>
    <n v="4.4999999999999998E-2"/>
    <n v="3.9057591623036649"/>
    <x v="10"/>
    <x v="59"/>
    <x v="69"/>
    <n v="5"/>
    <x v="211"/>
    <n v="0.17575916230366495"/>
    <n v="0.746"/>
    <n v="1"/>
    <x v="0"/>
    <x v="90"/>
    <x v="517"/>
    <s v="Botafogo FR vs Santos FC"/>
  </r>
  <r>
    <s v="CRB vs Clube Náutico Capibaribe / Match Odds"/>
    <s v="Fulltbet"/>
    <x v="2934"/>
    <n v="4.24"/>
    <n v="4.4999999999999998E-2"/>
    <n v="4.4397905759162306"/>
    <x v="10"/>
    <x v="38"/>
    <x v="117"/>
    <n v="111"/>
    <x v="211"/>
    <n v="0.1997905759162304"/>
    <n v="3.8198198198198204E-2"/>
    <n v="1"/>
    <x v="0"/>
    <x v="839"/>
    <x v="861"/>
    <s v="CRB vs Clube Náutico Capibaribe"/>
  </r>
  <r>
    <s v="Saint Louis City SC vs Sporting Kansas City / Total 0.5"/>
    <s v="Fulltbet"/>
    <x v="2935"/>
    <n v="0.56999999999999995"/>
    <n v="4.4999999999999998E-2"/>
    <n v="0.59685863874345546"/>
    <x v="10"/>
    <x v="49"/>
    <x v="246"/>
    <n v="10"/>
    <x v="211"/>
    <n v="2.685863874345551E-2"/>
    <n v="5.6999999999999995E-2"/>
    <n v="1"/>
    <x v="0"/>
    <x v="689"/>
    <x v="685"/>
    <s v="Saint Louis City SC vs Sporting Kansas City"/>
  </r>
  <r>
    <s v="Saint Louis City SC vs Sporting Kansas City / Total 1.5"/>
    <s v="Fulltbet"/>
    <x v="2936"/>
    <n v="14.33"/>
    <n v="4.4999999999999998E-2"/>
    <n v="15.005235602094242"/>
    <x v="10"/>
    <x v="32"/>
    <x v="2"/>
    <n v="15"/>
    <x v="211"/>
    <n v="0.67523560209424183"/>
    <n v="0.95533333333333337"/>
    <n v="1"/>
    <x v="0"/>
    <x v="689"/>
    <x v="685"/>
    <s v="Saint Louis City SC vs Sporting Kansas City"/>
  </r>
  <r>
    <s v="CF Montreal vs Toronto FC / Total 0.5"/>
    <s v="Fulltbet"/>
    <x v="2937"/>
    <n v="-50"/>
    <n v="4.4999999999999998E-2"/>
    <n v="-50"/>
    <x v="25"/>
    <x v="4"/>
    <x v="220"/>
    <n v="50"/>
    <x v="211"/>
    <n v="0"/>
    <n v="-1"/>
    <n v="0"/>
    <x v="0"/>
    <x v="629"/>
    <x v="821"/>
    <s v="CF Montreal vs Toronto FC"/>
  </r>
  <r>
    <s v="Club Tijuana vs Tigres de la UANL / Total 1.5"/>
    <s v="Fulltbet"/>
    <x v="2938"/>
    <n v="-6.69"/>
    <n v="4.4999999999999998E-2"/>
    <n v="-6.69"/>
    <x v="10"/>
    <x v="32"/>
    <x v="357"/>
    <n v="15"/>
    <x v="212"/>
    <n v="0"/>
    <n v="-0.44600000000000001"/>
    <n v="0"/>
    <x v="0"/>
    <x v="947"/>
    <x v="864"/>
    <s v="Club Tijuana vs Tigres de la UANL"/>
  </r>
  <r>
    <s v="Seattle Sounders vs Portland Timbers / Correct Score"/>
    <s v="Fulltbet"/>
    <x v="2939"/>
    <n v="22.47"/>
    <n v="4.4999999999999998E-2"/>
    <n v="23.528795811518325"/>
    <x v="19"/>
    <x v="5"/>
    <x v="30"/>
    <n v="400.01"/>
    <x v="212"/>
    <n v="1.0587958115183262"/>
    <n v="5.6173595660108495E-2"/>
    <n v="1"/>
    <x v="0"/>
    <x v="636"/>
    <x v="556"/>
    <s v="Seattle Sounders vs Portland Timbers"/>
  </r>
  <r>
    <s v="Qingdao West Coast vs Chengdu Rongcheng / Both Teams To Score"/>
    <s v="Fulltbet"/>
    <x v="2940"/>
    <n v="2.77"/>
    <n v="4.4999999999999998E-2"/>
    <n v="2.9005235602094244"/>
    <x v="10"/>
    <x v="59"/>
    <x v="192"/>
    <n v="5"/>
    <x v="212"/>
    <n v="0.13052356020942435"/>
    <n v="0.55400000000000005"/>
    <n v="1"/>
    <x v="0"/>
    <x v="645"/>
    <x v="810"/>
    <s v="Qingdao West Coast vs Chengdu Rongcheng"/>
  </r>
  <r>
    <s v="Qingdao West Coast vs Chengdu Rongcheng / Total 1.5"/>
    <s v="Fulltbet"/>
    <x v="2940"/>
    <n v="-9.64"/>
    <n v="4.4999999999999998E-2"/>
    <n v="-9.64"/>
    <x v="10"/>
    <x v="32"/>
    <x v="23"/>
    <n v="15"/>
    <x v="212"/>
    <n v="0"/>
    <n v="-0.64266666666666672"/>
    <n v="0"/>
    <x v="0"/>
    <x v="645"/>
    <x v="810"/>
    <s v="Qingdao West Coast vs Chengdu Rongcheng"/>
  </r>
  <r>
    <s v="Yunnan Yukun vs Shanghai Port / Total 3.5"/>
    <s v="Fulltbet"/>
    <x v="2941"/>
    <n v="10.27"/>
    <n v="4.4999999999999998E-2"/>
    <n v="10.753926701570681"/>
    <x v="21"/>
    <x v="74"/>
    <x v="199"/>
    <n v="25"/>
    <x v="212"/>
    <n v="0.48392670157068096"/>
    <n v="0.4108"/>
    <n v="1"/>
    <x v="0"/>
    <x v="495"/>
    <x v="693"/>
    <s v="Yunnan Yukun vs Shanghai Port"/>
  </r>
  <r>
    <s v="Beijing Guoan vs Liaoning Tieren F.C. / Correct Score"/>
    <s v="Betbra"/>
    <x v="2942"/>
    <n v="291.64"/>
    <n v="4.4999999999999998E-2"/>
    <n v="305.38219895287961"/>
    <x v="17"/>
    <x v="66"/>
    <x v="8"/>
    <n v="23.08"/>
    <x v="212"/>
    <n v="13.742198952879619"/>
    <n v="12.636048526863085"/>
    <n v="1"/>
    <x v="0"/>
    <x v="527"/>
    <x v="1002"/>
    <s v="Beijing Guoan vs Liaoning Tieren F.C."/>
  </r>
  <r>
    <s v="Beijing Guoan vs Liaoning Tieren F.C. / Match Odds"/>
    <s v="Fulltbet"/>
    <x v="2943"/>
    <n v="9.99"/>
    <n v="4.4999999999999998E-2"/>
    <n v="10.460732984293195"/>
    <x v="20"/>
    <x v="76"/>
    <x v="44"/>
    <n v="100.03"/>
    <x v="212"/>
    <n v="0.47073298429319443"/>
    <n v="9.9870038988303517E-2"/>
    <n v="1"/>
    <x v="0"/>
    <x v="527"/>
    <x v="1002"/>
    <s v="Beijing Guoan vs Liaoning Tieren F.C."/>
  </r>
  <r>
    <s v="Beijing Guoan vs Liaoning Tieren F.C. / Match Odds"/>
    <s v="Betbra"/>
    <x v="2943"/>
    <n v="-300"/>
    <n v="4.4999999999999998E-2"/>
    <n v="-300"/>
    <x v="17"/>
    <x v="53"/>
    <x v="1"/>
    <n v="300"/>
    <x v="212"/>
    <n v="0"/>
    <n v="-1"/>
    <n v="0"/>
    <x v="0"/>
    <x v="527"/>
    <x v="1002"/>
    <s v="Beijing Guoan vs Liaoning Tieren F.C."/>
  </r>
  <r>
    <s v="Mjällby AIF vs Västerås SK FK / Total 0.5"/>
    <s v="Fulltbet"/>
    <x v="2944"/>
    <n v="-50"/>
    <n v="4.4999999999999998E-2"/>
    <n v="-50"/>
    <x v="25"/>
    <x v="4"/>
    <x v="209"/>
    <n v="50"/>
    <x v="212"/>
    <n v="0"/>
    <n v="-1"/>
    <n v="0"/>
    <x v="0"/>
    <x v="936"/>
    <x v="551"/>
    <s v="Mjällby AIF vs Västerås SK FK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</r>
  <r>
    <s v="FC FCSB vs FC Arges Pitesti / Total 1.5"/>
    <s v="Fulltbet"/>
    <x v="2946"/>
    <n v="14.33"/>
    <n v="4.4999999999999998E-2"/>
    <n v="15.005235602094242"/>
    <x v="10"/>
    <x v="32"/>
    <x v="224"/>
    <n v="15"/>
    <x v="212"/>
    <n v="0.67523560209424183"/>
    <n v="0.95533333333333337"/>
    <n v="1"/>
    <x v="0"/>
    <x v="365"/>
    <x v="805"/>
    <s v="FC FCSB vs FC Arges Pitesti"/>
  </r>
  <r>
    <s v="NK Celje vs NŠ Mura / Total 2.5"/>
    <s v="Fulltbet"/>
    <x v="2947"/>
    <n v="3.37"/>
    <n v="4.4999999999999998E-2"/>
    <n v="3.5287958115183247"/>
    <x v="21"/>
    <x v="0"/>
    <x v="113"/>
    <n v="6.02"/>
    <x v="212"/>
    <n v="0.15879581151832456"/>
    <n v="0.5598006644518273"/>
    <n v="1"/>
    <x v="0"/>
    <x v="21"/>
    <x v="1003"/>
    <s v="NK Celje vs NŠ Mura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</r>
  <r>
    <s v="São Bernardo FC vs Avaí FC / Correct Score"/>
    <s v="Fulltbet"/>
    <x v="2949"/>
    <n v="34.72"/>
    <n v="4.4999999999999998E-2"/>
    <n v="36.356020942408378"/>
    <x v="19"/>
    <x v="5"/>
    <x v="2"/>
    <n v="399.96"/>
    <x v="212"/>
    <n v="1.6360209424083791"/>
    <n v="8.680868086808681E-2"/>
    <n v="1"/>
    <x v="0"/>
    <x v="949"/>
    <x v="778"/>
    <s v="São Bernardo FC vs Avaí FC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</r>
  <r>
    <s v="EC Juventude vs Cuiabá EC / Correct Score"/>
    <s v="Betbra"/>
    <x v="2950"/>
    <n v="-50"/>
    <n v="4.4999999999999998E-2"/>
    <n v="-50"/>
    <x v="17"/>
    <x v="66"/>
    <x v="36"/>
    <n v="50"/>
    <x v="212"/>
    <n v="0"/>
    <n v="-1"/>
    <n v="0"/>
    <x v="0"/>
    <x v="865"/>
    <x v="1004"/>
    <s v="EC Juventude vs Cuiabá EC"/>
  </r>
  <r>
    <s v="EC Juventude vs Cuiabá EC / Match Odds"/>
    <s v="Fulltbet"/>
    <x v="2951"/>
    <n v="16.87"/>
    <n v="4.4999999999999998E-2"/>
    <n v="17.66492146596859"/>
    <x v="20"/>
    <x v="75"/>
    <x v="174"/>
    <n v="100"/>
    <x v="212"/>
    <n v="0.79492146596858859"/>
    <n v="0.16870000000000002"/>
    <n v="1"/>
    <x v="0"/>
    <x v="865"/>
    <x v="1004"/>
    <s v="EC Juventude vs Cuiabá EC"/>
  </r>
  <r>
    <s v="EC Juventude vs Cuiabá EC / Match Odds"/>
    <s v="Betbra"/>
    <x v="2951"/>
    <n v="127.88"/>
    <n v="4.4999999999999998E-2"/>
    <n v="133.90575916230367"/>
    <x v="17"/>
    <x v="53"/>
    <x v="266"/>
    <n v="300"/>
    <x v="212"/>
    <n v="6.0257591623036717"/>
    <n v="0.42626666666666663"/>
    <n v="1"/>
    <x v="0"/>
    <x v="865"/>
    <x v="1004"/>
    <s v="EC Juventude vs Cuiabá EC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</r>
  <r>
    <s v="Fluminense FC vs Red Bull Bragantino / Correct Score"/>
    <s v="Fulltbet"/>
    <x v="2954"/>
    <n v="36.223149999999997"/>
    <n v="4.4999999999999998E-2"/>
    <n v="37.93"/>
    <x v="15"/>
    <x v="5"/>
    <x v="29"/>
    <n v="549.99"/>
    <x v="212"/>
    <n v="1.7068500000000029"/>
    <n v="6.5861470208549239E-2"/>
    <n v="1"/>
    <x v="0"/>
    <x v="87"/>
    <x v="94"/>
    <s v="Fluminense FC vs Red Bull Bragantino"/>
  </r>
  <r>
    <s v="Fluminense FC vs Red Bull Bragantino / Correct Score"/>
    <s v="Fulltbet"/>
    <x v="2954"/>
    <n v="61.091349999999998"/>
    <n v="4.4999999999999998E-2"/>
    <n v="63.97"/>
    <x v="19"/>
    <x v="5"/>
    <x v="44"/>
    <n v="435"/>
    <x v="212"/>
    <n v="2.8786500000000004"/>
    <n v="0.14043988505747126"/>
    <n v="1"/>
    <x v="0"/>
    <x v="87"/>
    <x v="94"/>
    <s v="Fluminense FC vs Red Bull Bragantino"/>
  </r>
  <r>
    <s v="Fluminense FC vs Red Bull Bragantino / Total 2.5"/>
    <s v="Fulltbet"/>
    <x v="2955"/>
    <n v="-100"/>
    <n v="4.4999999999999998E-2"/>
    <n v="-100"/>
    <x v="21"/>
    <x v="0"/>
    <x v="122"/>
    <n v="100"/>
    <x v="212"/>
    <n v="0"/>
    <n v="-1"/>
    <n v="0"/>
    <x v="0"/>
    <x v="87"/>
    <x v="94"/>
    <s v="Fluminense FC vs Red Bull Bragantino"/>
  </r>
  <r>
    <s v="Fluminense FC vs Red Bull Bragantino / Total 2.5"/>
    <s v="Betbra"/>
    <x v="2955"/>
    <n v="-50"/>
    <n v="4.4999999999999998E-2"/>
    <n v="-50"/>
    <x v="21"/>
    <x v="0"/>
    <x v="221"/>
    <n v="50"/>
    <x v="212"/>
    <n v="0"/>
    <n v="-1"/>
    <n v="0"/>
    <x v="0"/>
    <x v="87"/>
    <x v="94"/>
    <s v="Fluminense FC vs Red Bull Bragantino"/>
  </r>
  <r>
    <s v="Fluminense FC vs Red Bull Bragantino / Total 2.5"/>
    <s v="Fulltbet"/>
    <x v="2955"/>
    <n v="-2"/>
    <n v="4.4999999999999998E-2"/>
    <n v="-2"/>
    <x v="10"/>
    <x v="70"/>
    <x v="79"/>
    <n v="2"/>
    <x v="212"/>
    <n v="0"/>
    <n v="-1"/>
    <n v="0"/>
    <x v="0"/>
    <x v="87"/>
    <x v="94"/>
    <s v="Fluminense FC vs Red Bull Bragantino"/>
  </r>
  <r>
    <s v="Fluminense FC vs Red Bull Bragantino / Match Odds"/>
    <s v="Fulltbet"/>
    <x v="2956"/>
    <n v="105.83"/>
    <n v="4.4999999999999998E-2"/>
    <n v="110.81675392670158"/>
    <x v="20"/>
    <x v="75"/>
    <x v="359"/>
    <n v="198.22"/>
    <x v="212"/>
    <n v="4.9867539267015815"/>
    <n v="0.53390172535566538"/>
    <n v="1"/>
    <x v="0"/>
    <x v="87"/>
    <x v="94"/>
    <s v="Fluminense FC vs Red Bull Bragantino"/>
  </r>
  <r>
    <s v="Fluminense FC vs Red Bull Bragantino / Match Odds"/>
    <s v="Bolsa"/>
    <x v="2957"/>
    <n v="-300.01"/>
    <n v="4.4999999999999998E-2"/>
    <n v="-300.01"/>
    <x v="17"/>
    <x v="53"/>
    <x v="160"/>
    <n v="300.01"/>
    <x v="212"/>
    <n v="0"/>
    <n v="-1"/>
    <n v="0"/>
    <x v="0"/>
    <x v="87"/>
    <x v="94"/>
    <s v="Fluminense FC vs Red Bull Bragantino"/>
  </r>
  <r>
    <s v="Fluminense FC vs Red Bull Bragantino / Correct Score"/>
    <s v="Bolsa"/>
    <x v="2958"/>
    <n v="286.52999999999997"/>
    <n v="4.4999999999999998E-2"/>
    <n v="300.03141361256542"/>
    <x v="17"/>
    <x v="66"/>
    <x v="81"/>
    <n v="45.88"/>
    <x v="212"/>
    <n v="13.501413612565443"/>
    <n v="6.2452048823016559"/>
    <n v="1"/>
    <x v="0"/>
    <x v="87"/>
    <x v="94"/>
    <s v="Fluminense FC vs Red Bull Bragantino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</r>
  <r>
    <s v="FC Juárez vs Puebla / Total 1.5"/>
    <s v="Fulltbet"/>
    <x v="2960"/>
    <n v="-21.33"/>
    <n v="4.4999999999999998E-2"/>
    <n v="-21.33"/>
    <x v="10"/>
    <x v="32"/>
    <x v="161"/>
    <n v="15"/>
    <x v="213"/>
    <n v="0"/>
    <n v="-1.4219999999999999"/>
    <n v="0"/>
    <x v="0"/>
    <x v="950"/>
    <x v="1005"/>
    <s v="FC Juárez vs Puebla"/>
  </r>
  <r>
    <s v="IK Oddevold vs Varbergs BoIS / Both Teams To Score"/>
    <s v="Fulltbet"/>
    <x v="2961"/>
    <n v="3.15"/>
    <n v="4.4999999999999998E-2"/>
    <n v="3.2984293193717278"/>
    <x v="10"/>
    <x v="59"/>
    <x v="74"/>
    <n v="5"/>
    <x v="213"/>
    <n v="0.14842931937172787"/>
    <n v="0.63"/>
    <n v="1"/>
    <x v="0"/>
    <x v="731"/>
    <x v="785"/>
    <s v="IK Oddevold vs Varbergs BoIS"/>
  </r>
  <r>
    <s v="Shanghai Shenhua vs Tianjin Jinmenhu / Total 0.5"/>
    <s v="Fulltbet"/>
    <x v="2962"/>
    <n v="14.27"/>
    <n v="4.4999999999999998E-2"/>
    <n v="14.942408376963352"/>
    <x v="25"/>
    <x v="4"/>
    <x v="211"/>
    <n v="49.79"/>
    <x v="213"/>
    <n v="0.67240837696335198"/>
    <n v="0.28660373568989755"/>
    <n v="1"/>
    <x v="0"/>
    <x v="739"/>
    <x v="550"/>
    <s v="Shanghai Shenhua vs Tianjin Jinmenhu"/>
  </r>
  <r>
    <s v="Shanghai Shenhua vs Tianjin Jinmenhu / Correct Score"/>
    <s v="Betbra"/>
    <x v="2963"/>
    <n v="-2.5"/>
    <n v="4.4999999999999998E-2"/>
    <n v="-2.5"/>
    <x v="17"/>
    <x v="66"/>
    <x v="31"/>
    <n v="30"/>
    <x v="213"/>
    <n v="0"/>
    <n v="-8.3333333333333329E-2"/>
    <n v="0"/>
    <x v="0"/>
    <x v="739"/>
    <x v="550"/>
    <s v="Shanghai Shenhua vs Tianjin Jinmenhu"/>
  </r>
  <r>
    <s v="Shanghai Shenhua vs Tianjin Jinmenhu / Match Odds"/>
    <s v="Fulltbet"/>
    <x v="2964"/>
    <n v="1.9"/>
    <n v="4.4999999999999998E-2"/>
    <n v="1.9895287958115184"/>
    <x v="20"/>
    <x v="76"/>
    <x v="85"/>
    <n v="100.02"/>
    <x v="213"/>
    <n v="8.9528795811518513E-2"/>
    <n v="1.899620075984803E-2"/>
    <n v="1"/>
    <x v="0"/>
    <x v="739"/>
    <x v="550"/>
    <s v="Shanghai Shenhua vs Tianjin Jinmenhu"/>
  </r>
  <r>
    <s v="Shanghai Shenhua vs Tianjin Jinmenhu / Match Odds"/>
    <s v="Betbra"/>
    <x v="2964"/>
    <n v="-79.09"/>
    <n v="4.4999999999999998E-2"/>
    <n v="-79.09"/>
    <x v="17"/>
    <x v="53"/>
    <x v="228"/>
    <n v="299.99"/>
    <x v="213"/>
    <n v="0"/>
    <n v="-0.2636421214040468"/>
    <n v="0"/>
    <x v="0"/>
    <x v="739"/>
    <x v="550"/>
    <s v="Shanghai Shenhua vs Tianjin Jinmenhu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</r>
  <r>
    <s v="Lillestrøm SK vs KFUM Oslo / Correct Score"/>
    <s v="Betbra"/>
    <x v="2966"/>
    <n v="-38.46"/>
    <n v="4.4999999999999998E-2"/>
    <n v="-38.46"/>
    <x v="17"/>
    <x v="66"/>
    <x v="42"/>
    <n v="38.46"/>
    <x v="213"/>
    <n v="0"/>
    <n v="-1"/>
    <n v="0"/>
    <x v="0"/>
    <x v="545"/>
    <x v="1006"/>
    <s v="Lillestrøm SK vs KFUM Oslo"/>
  </r>
  <r>
    <s v="Lillestrøm SK vs KFUM Oslo / Match Odds"/>
    <s v="Fulltbet"/>
    <x v="2967"/>
    <n v="86.16"/>
    <n v="4.4999999999999998E-2"/>
    <n v="90.21989528795811"/>
    <x v="3"/>
    <x v="7"/>
    <x v="224"/>
    <n v="415.01"/>
    <x v="213"/>
    <n v="4.0598952879581134"/>
    <n v="0.20760945519385074"/>
    <n v="1"/>
    <x v="0"/>
    <x v="545"/>
    <x v="1006"/>
    <s v="Lillestrøm SK vs KFUM Oslo"/>
  </r>
  <r>
    <s v="Lillestrøm SK vs KFUM Oslo / Match Odds"/>
    <s v="Betbra"/>
    <x v="2967"/>
    <n v="42.88"/>
    <n v="4.4999999999999998E-2"/>
    <n v="44.900523560209429"/>
    <x v="17"/>
    <x v="53"/>
    <x v="261"/>
    <n v="300.02"/>
    <x v="213"/>
    <n v="2.0205235602094263"/>
    <n v="0.14292380507966138"/>
    <n v="1"/>
    <x v="0"/>
    <x v="545"/>
    <x v="1006"/>
    <s v="Lillestrøm SK vs KFUM Oslo"/>
  </r>
  <r>
    <s v="Lillestrøm SK vs KFUM Oslo / Match Odds"/>
    <s v="Bolsa"/>
    <x v="2967"/>
    <n v="3.67"/>
    <n v="4.4999999999999998E-2"/>
    <n v="3.842931937172775"/>
    <x v="20"/>
    <x v="75"/>
    <x v="224"/>
    <n v="100"/>
    <x v="213"/>
    <n v="0.17293193717277511"/>
    <n v="3.6699999999999997E-2"/>
    <n v="1"/>
    <x v="0"/>
    <x v="545"/>
    <x v="1006"/>
    <s v="Lillestrøm SK vs KFUM Oslo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</r>
  <r>
    <s v="Viking FK vs Sandefjord Fotball / Total 1.5"/>
    <s v="Fulltbet"/>
    <x v="2969"/>
    <n v="-20.53"/>
    <n v="4.4999999999999998E-2"/>
    <n v="-20.53"/>
    <x v="10"/>
    <x v="32"/>
    <x v="16"/>
    <n v="15"/>
    <x v="213"/>
    <n v="0"/>
    <n v="-1.3686666666666667"/>
    <n v="0"/>
    <x v="0"/>
    <x v="571"/>
    <x v="751"/>
    <s v="Viking FK vs Sandefjord Fotball"/>
  </r>
  <r>
    <s v="Viking FK vs Sandefjord Fotball / Match Odds"/>
    <s v="Bolsa"/>
    <x v="2970"/>
    <n v="5.68"/>
    <n v="4.4999999999999998E-2"/>
    <n v="5.9476439790575917"/>
    <x v="20"/>
    <x v="86"/>
    <x v="23"/>
    <n v="99.96"/>
    <x v="213"/>
    <n v="0.26764397905759196"/>
    <n v="5.6822729091636652E-2"/>
    <n v="1"/>
    <x v="0"/>
    <x v="571"/>
    <x v="751"/>
    <s v="Viking FK vs Sandefjord Fotball"/>
  </r>
  <r>
    <s v="Viking FK vs Sandefjord Fotball / Correct Score"/>
    <s v="Fulltbet"/>
    <x v="2971"/>
    <n v="-23.08"/>
    <n v="4.4999999999999998E-2"/>
    <n v="-23.08"/>
    <x v="17"/>
    <x v="66"/>
    <x v="8"/>
    <n v="23.08"/>
    <x v="213"/>
    <n v="0"/>
    <n v="-1"/>
    <n v="0"/>
    <x v="0"/>
    <x v="571"/>
    <x v="751"/>
    <s v="Viking FK vs Sandefjord Fotball"/>
  </r>
  <r>
    <s v="Viking FK vs Sandefjord Fotball / Match Odds"/>
    <s v="Fulltbet"/>
    <x v="2972"/>
    <n v="15.66"/>
    <n v="4.4999999999999998E-2"/>
    <n v="16.397905759162306"/>
    <x v="17"/>
    <x v="53"/>
    <x v="121"/>
    <n v="299.98"/>
    <x v="213"/>
    <n v="0.73790575916230594"/>
    <n v="5.2203480232015466E-2"/>
    <n v="1"/>
    <x v="0"/>
    <x v="571"/>
    <x v="751"/>
    <s v="Viking FK vs Sandefjord Fotball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</r>
  <r>
    <s v="Molde vs Brann / Correct Score"/>
    <s v="Fulltbet"/>
    <x v="2974"/>
    <n v="-34.880000000000003"/>
    <n v="4.4999999999999998E-2"/>
    <n v="-34.880000000000003"/>
    <x v="17"/>
    <x v="66"/>
    <x v="3"/>
    <n v="34.880000000000003"/>
    <x v="213"/>
    <n v="0"/>
    <n v="-1"/>
    <n v="0"/>
    <x v="0"/>
    <x v="708"/>
    <x v="500"/>
    <s v="Molde vs Brann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</r>
  <r>
    <s v="Molde vs Brann / Match Odds"/>
    <s v="Fulltbet"/>
    <x v="2975"/>
    <n v="30.25"/>
    <n v="4.4999999999999998E-2"/>
    <n v="31.67539267015707"/>
    <x v="17"/>
    <x v="53"/>
    <x v="277"/>
    <n v="300"/>
    <x v="213"/>
    <n v="1.4253926701570698"/>
    <n v="0.10083333333333333"/>
    <n v="1"/>
    <x v="0"/>
    <x v="708"/>
    <x v="500"/>
    <s v="Molde vs Brann"/>
  </r>
  <r>
    <s v="Molde vs Brann / Match Odds"/>
    <s v="Betbra"/>
    <x v="2975"/>
    <n v="-199.99"/>
    <n v="4.4999999999999998E-2"/>
    <n v="-199.99"/>
    <x v="20"/>
    <x v="75"/>
    <x v="361"/>
    <n v="199.99"/>
    <x v="213"/>
    <n v="0"/>
    <n v="-1"/>
    <n v="0"/>
    <x v="0"/>
    <x v="708"/>
    <x v="500"/>
    <s v="Molde vs Brann"/>
  </r>
  <r>
    <s v="Molde vs Brann / Total 3.5"/>
    <s v="Fulltbet"/>
    <x v="2976"/>
    <n v="-43.01"/>
    <n v="4.4999999999999998E-2"/>
    <n v="-43.01"/>
    <x v="21"/>
    <x v="74"/>
    <x v="362"/>
    <n v="100"/>
    <x v="213"/>
    <n v="0"/>
    <n v="-0.43009999999999998"/>
    <n v="0"/>
    <x v="0"/>
    <x v="708"/>
    <x v="500"/>
    <s v="Molde vs Brann"/>
  </r>
  <r>
    <s v="Criciúma EC vs Vila Nova FC / Correct Score"/>
    <s v="Fulltbet"/>
    <x v="2977"/>
    <n v="-48.39"/>
    <n v="4.4999999999999998E-2"/>
    <n v="-48.39"/>
    <x v="17"/>
    <x v="66"/>
    <x v="28"/>
    <n v="48.39"/>
    <x v="213"/>
    <n v="0"/>
    <n v="-1"/>
    <n v="0"/>
    <x v="0"/>
    <x v="724"/>
    <x v="985"/>
    <s v="Criciúma EC vs Vila Nova FC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</r>
  <r>
    <s v="Criciúma EC vs Vila Nova FC / Match Odds"/>
    <s v="Betbra"/>
    <x v="2978"/>
    <n v="13.24"/>
    <n v="4.4999999999999998E-2"/>
    <n v="13.863874345549739"/>
    <x v="20"/>
    <x v="75"/>
    <x v="224"/>
    <n v="100"/>
    <x v="213"/>
    <n v="0.62387434554973886"/>
    <n v="0.13239999999999999"/>
    <n v="1"/>
    <x v="0"/>
    <x v="724"/>
    <x v="985"/>
    <s v="Criciúma EC vs Vila Nova FC"/>
  </r>
  <r>
    <s v="Criciúma EC vs Vila Nova FC / Match Odds"/>
    <s v="Fulltbet"/>
    <x v="2979"/>
    <n v="114.6"/>
    <n v="4.4999999999999998E-2"/>
    <n v="120"/>
    <x v="17"/>
    <x v="53"/>
    <x v="235"/>
    <n v="300"/>
    <x v="213"/>
    <n v="5.4000000000000057"/>
    <n v="0.38200000000000001"/>
    <n v="1"/>
    <x v="0"/>
    <x v="724"/>
    <x v="985"/>
    <s v="Criciúma EC vs Vila Nova FC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</r>
  <r>
    <s v="Atlético Goianiense vs Athletic Club MG / Correct Score"/>
    <s v="Fulltbet"/>
    <x v="2981"/>
    <n v="-29.74"/>
    <n v="4.4999999999999998E-2"/>
    <n v="-29.74"/>
    <x v="17"/>
    <x v="66"/>
    <x v="121"/>
    <n v="51.72"/>
    <x v="213"/>
    <n v="0"/>
    <n v="-0.57501933488012369"/>
    <n v="0"/>
    <x v="0"/>
    <x v="783"/>
    <x v="718"/>
    <s v="Atlético Goianiense vs Athletic Club MG"/>
  </r>
  <r>
    <s v="Atlético Goianiense vs Athletic Club MG / Match Odds"/>
    <s v="Betbra"/>
    <x v="2982"/>
    <n v="10.24"/>
    <n v="4.4999999999999998E-2"/>
    <n v="10.722513089005236"/>
    <x v="20"/>
    <x v="75"/>
    <x v="230"/>
    <n v="100.02"/>
    <x v="213"/>
    <n v="0.48251308900523604"/>
    <n v="0.10237952409518097"/>
    <n v="1"/>
    <x v="0"/>
    <x v="783"/>
    <x v="718"/>
    <s v="Atlético Goianiense vs Athletic Club MG"/>
  </r>
  <r>
    <s v="Atlético Goianiense vs Athletic Club MG / Match Odds"/>
    <s v="Fulltbet"/>
    <x v="2983"/>
    <n v="-100.36"/>
    <n v="4.4999999999999998E-2"/>
    <n v="-100.36"/>
    <x v="17"/>
    <x v="53"/>
    <x v="187"/>
    <n v="299.99"/>
    <x v="213"/>
    <n v="0"/>
    <n v="-0.3345444848161605"/>
    <n v="0"/>
    <x v="0"/>
    <x v="783"/>
    <x v="718"/>
    <s v="Atlético Goianiense vs Athletic Club MG"/>
  </r>
  <r>
    <s v="France vs England / Correct Score"/>
    <s v="Fulltbet"/>
    <x v="2984"/>
    <n v="14.69"/>
    <n v="4.4999999999999998E-2"/>
    <n v="15.38219895287958"/>
    <x v="15"/>
    <x v="5"/>
    <x v="40"/>
    <n v="399.88"/>
    <x v="213"/>
    <n v="0.69219895287958089"/>
    <n v="3.6736020806241873E-2"/>
    <n v="1"/>
    <x v="0"/>
    <x v="878"/>
    <x v="968"/>
    <s v="France vs England"/>
  </r>
  <r>
    <s v="Barcelona SC vs Libertad FC / Total 1.5"/>
    <s v="Fulltbet"/>
    <x v="2985"/>
    <n v="-22.48"/>
    <n v="4.4999999999999998E-2"/>
    <n v="-22.48"/>
    <x v="10"/>
    <x v="32"/>
    <x v="175"/>
    <n v="15"/>
    <x v="213"/>
    <n v="0"/>
    <n v="-1.4986666666666666"/>
    <n v="0"/>
    <x v="0"/>
    <x v="152"/>
    <x v="552"/>
    <s v="Barcelona SC vs Libertad FC"/>
  </r>
  <r>
    <s v="FC Anyang vs Gwangju FC / Correct Score"/>
    <s v="Fulltbet"/>
    <x v="2986"/>
    <n v="286.52"/>
    <n v="4.4999999999999998E-2"/>
    <n v="300.02094240837698"/>
    <x v="17"/>
    <x v="66"/>
    <x v="44"/>
    <n v="44.12"/>
    <x v="214"/>
    <n v="13.500942408377"/>
    <n v="6.494106980961015"/>
    <n v="1"/>
    <x v="0"/>
    <x v="951"/>
    <x v="1007"/>
    <s v="FC Anyang vs Gwangju FC"/>
  </r>
  <r>
    <s v="FC Anyang vs Gwangju FC / Match Odds"/>
    <s v="Betbra"/>
    <x v="2987"/>
    <n v="12.53"/>
    <n v="4.4999999999999998E-2"/>
    <n v="13.120418848167539"/>
    <x v="20"/>
    <x v="76"/>
    <x v="121"/>
    <n v="99.99"/>
    <x v="214"/>
    <n v="0.59041884816753942"/>
    <n v="0.1253125312531253"/>
    <n v="1"/>
    <x v="0"/>
    <x v="951"/>
    <x v="1007"/>
    <s v="FC Anyang vs Gwangju FC"/>
  </r>
  <r>
    <s v="FC Anyang vs Gwangju FC / Match Odds"/>
    <s v="Fulltbet"/>
    <x v="2987"/>
    <n v="-300.05"/>
    <n v="4.4999999999999998E-2"/>
    <n v="-300.05"/>
    <x v="17"/>
    <x v="53"/>
    <x v="255"/>
    <n v="300.05"/>
    <x v="214"/>
    <n v="0"/>
    <n v="-1"/>
    <n v="0"/>
    <x v="0"/>
    <x v="951"/>
    <x v="1007"/>
    <s v="FC Anyang vs Gwangju FC"/>
  </r>
  <r>
    <s v="IFK Norrköping vs Sandvikens IF / Correct Score"/>
    <s v="Fulltbet"/>
    <x v="2988"/>
    <n v="-31.58"/>
    <n v="4.4999999999999998E-2"/>
    <n v="-31.58"/>
    <x v="17"/>
    <x v="66"/>
    <x v="14"/>
    <n v="31.58"/>
    <x v="214"/>
    <n v="0"/>
    <n v="-1"/>
    <n v="0"/>
    <x v="0"/>
    <x v="556"/>
    <x v="854"/>
    <s v="IFK Norrköping vs Sandvikens IF"/>
  </r>
  <r>
    <s v="IFK Norrköping vs Sandvikens IF / Match Odds"/>
    <s v="Betbra"/>
    <x v="2989"/>
    <n v="9.43"/>
    <n v="4.4999999999999998E-2"/>
    <n v="9.8743455497382193"/>
    <x v="20"/>
    <x v="76"/>
    <x v="116"/>
    <n v="100"/>
    <x v="214"/>
    <n v="0.4443455497382196"/>
    <n v="9.4299999999999995E-2"/>
    <n v="1"/>
    <x v="0"/>
    <x v="556"/>
    <x v="854"/>
    <s v="IFK Norrköping vs Sandvikens IF"/>
  </r>
  <r>
    <s v="IFK Norrköping vs Sandvikens IF / Match Odds"/>
    <s v="Fulltbet"/>
    <x v="2989"/>
    <n v="46.93"/>
    <n v="4.4999999999999998E-2"/>
    <n v="49.141361256544506"/>
    <x v="17"/>
    <x v="53"/>
    <x v="135"/>
    <n v="300"/>
    <x v="214"/>
    <n v="2.2113612565445067"/>
    <n v="0.15643333333333334"/>
    <n v="1"/>
    <x v="0"/>
    <x v="556"/>
    <x v="854"/>
    <s v="IFK Norrköping vs Sandvikens IF"/>
  </r>
  <r>
    <s v="United IK Nordic vs Örebro SK / Correct Score"/>
    <s v="Fulltbet"/>
    <x v="2990"/>
    <n v="-50"/>
    <n v="4.4999999999999998E-2"/>
    <n v="-50"/>
    <x v="17"/>
    <x v="66"/>
    <x v="36"/>
    <n v="50"/>
    <x v="214"/>
    <n v="0"/>
    <n v="-1"/>
    <n v="0"/>
    <x v="0"/>
    <x v="952"/>
    <x v="782"/>
    <s v="United IK Nordic vs Örebro SK"/>
  </r>
  <r>
    <s v="United IK Nordic vs Örebro SK / Match Odds"/>
    <s v="Fulltbet"/>
    <x v="2991"/>
    <n v="75.69"/>
    <n v="4.4999999999999998E-2"/>
    <n v="79.2565445026178"/>
    <x v="17"/>
    <x v="53"/>
    <x v="301"/>
    <n v="299.99"/>
    <x v="214"/>
    <n v="3.566544502617802"/>
    <n v="0.25230841028034268"/>
    <n v="1"/>
    <x v="0"/>
    <x v="952"/>
    <x v="782"/>
    <s v="United IK Nordic vs Örebro SK"/>
  </r>
  <r>
    <s v="FC Kuressaare vs Nõmme Kalju FC / Correct Score"/>
    <s v="Fulltbet"/>
    <x v="2992"/>
    <n v="4.3499999999999996"/>
    <n v="4.4999999999999998E-2"/>
    <n v="4.5549738219895284"/>
    <x v="10"/>
    <x v="60"/>
    <x v="2"/>
    <n v="50.05"/>
    <x v="214"/>
    <n v="0.20497382198952874"/>
    <n v="8.6913086913086912E-2"/>
    <n v="1"/>
    <x v="0"/>
    <x v="742"/>
    <x v="951"/>
    <s v="FC Kuressaare vs Nõmme Kalju FC"/>
  </r>
  <r>
    <s v="Hammarby IF vs Degerfors IF / Total 1.5"/>
    <s v="Fulltbet"/>
    <x v="2993"/>
    <n v="-4.84"/>
    <n v="4.4999999999999998E-2"/>
    <n v="-4.84"/>
    <x v="10"/>
    <x v="32"/>
    <x v="37"/>
    <n v="15"/>
    <x v="214"/>
    <n v="0"/>
    <n v="-0.32266666666666666"/>
    <n v="0"/>
    <x v="0"/>
    <x v="436"/>
    <x v="812"/>
    <s v="Hammarby IF vs Degerfors IF"/>
  </r>
  <r>
    <s v="IF Elfsborg vs IK Sirius / Total 0.5"/>
    <s v="Fulltbet"/>
    <x v="2994"/>
    <n v="16.71"/>
    <n v="4.4999999999999998E-2"/>
    <n v="17.497382198952881"/>
    <x v="25"/>
    <x v="4"/>
    <x v="45"/>
    <n v="50"/>
    <x v="214"/>
    <n v="0.78738219895287997"/>
    <n v="0.3342"/>
    <n v="1"/>
    <x v="0"/>
    <x v="606"/>
    <x v="568"/>
    <s v="IF Elfsborg vs IK Sirius"/>
  </r>
  <r>
    <s v="Hammarby IF vs Degerfors IF / Match Odds"/>
    <s v="Bolsa"/>
    <x v="2995"/>
    <n v="3.95"/>
    <n v="4.4999999999999998E-2"/>
    <n v="4.1361256544502618"/>
    <x v="20"/>
    <x v="86"/>
    <x v="6"/>
    <n v="99.98"/>
    <x v="214"/>
    <n v="0.18612565445026164"/>
    <n v="3.9507901580316064E-2"/>
    <n v="1"/>
    <x v="0"/>
    <x v="436"/>
    <x v="812"/>
    <s v="Hammarby IF vs Degerfors IF"/>
  </r>
  <r>
    <s v="Hammarby IF vs Degerfors IF / Correct Score"/>
    <s v="Betbra"/>
    <x v="2996"/>
    <n v="-20"/>
    <n v="4.4999999999999998E-2"/>
    <n v="-20"/>
    <x v="17"/>
    <x v="66"/>
    <x v="34"/>
    <n v="20"/>
    <x v="214"/>
    <n v="0"/>
    <n v="-1"/>
    <n v="0"/>
    <x v="0"/>
    <x v="436"/>
    <x v="812"/>
    <s v="Hammarby IF vs Degerfors IF"/>
  </r>
  <r>
    <s v="Hammarby IF vs Degerfors IF / Match Odds"/>
    <s v="Betbra"/>
    <x v="2997"/>
    <n v="38.42"/>
    <n v="4.4999999999999998E-2"/>
    <n v="40.230366492146601"/>
    <x v="17"/>
    <x v="53"/>
    <x v="44"/>
    <n v="300.02"/>
    <x v="214"/>
    <n v="1.8103664921465992"/>
    <n v="0.12805812945803616"/>
    <n v="1"/>
    <x v="0"/>
    <x v="436"/>
    <x v="812"/>
    <s v="Hammarby IF vs Degerfors IF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</r>
  <r>
    <s v="IF Elfsborg vs IK Sirius / Correct Score"/>
    <s v="Fulltbet"/>
    <x v="2998"/>
    <n v="30.81"/>
    <n v="4.4999999999999998E-2"/>
    <n v="32.261780104712045"/>
    <x v="19"/>
    <x v="6"/>
    <x v="6"/>
    <n v="500.03"/>
    <x v="214"/>
    <n v="1.4517801047120464"/>
    <n v="6.161630302181869E-2"/>
    <n v="1"/>
    <x v="0"/>
    <x v="606"/>
    <x v="568"/>
    <s v="IF Elfsborg vs IK Sirius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</r>
  <r>
    <s v="CD Gualberto Villarroel vs The Strongest / Correct Score"/>
    <s v="Fulltbet"/>
    <x v="2999"/>
    <n v="4.3452500000000001"/>
    <n v="4.4999999999999998E-2"/>
    <n v="4.55"/>
    <x v="10"/>
    <x v="60"/>
    <x v="2"/>
    <n v="50.05"/>
    <x v="214"/>
    <n v="0.20474999999999977"/>
    <n v="8.6818181818181822E-2"/>
    <n v="1"/>
    <x v="0"/>
    <x v="133"/>
    <x v="1008"/>
    <s v="CD Gualberto Villarroel vs The Strongest"/>
  </r>
  <r>
    <s v="KR Reykjavik vs Stjarnan / Correct Score"/>
    <s v="Fulltbet"/>
    <x v="3000"/>
    <n v="4.45"/>
    <n v="4.4999999999999998E-2"/>
    <n v="4.6596858638743459"/>
    <x v="15"/>
    <x v="5"/>
    <x v="363"/>
    <n v="414.74"/>
    <x v="214"/>
    <n v="0.20968586387434573"/>
    <n v="1.0729613733905579E-2"/>
    <n v="1"/>
    <x v="0"/>
    <x v="905"/>
    <x v="957"/>
    <s v="KR Reykjavik vs Stjarnan"/>
  </r>
  <r>
    <s v="Club Deportivo Técnico Universitario vs Aucas / Total 0.5"/>
    <s v="Fulltbet"/>
    <x v="3001"/>
    <n v="7.46"/>
    <n v="4.4999999999999998E-2"/>
    <n v="7.8115183246073299"/>
    <x v="10"/>
    <x v="47"/>
    <x v="236"/>
    <n v="15"/>
    <x v="214"/>
    <n v="0.3515183246073299"/>
    <n v="0.49733333333333335"/>
    <n v="1"/>
    <x v="0"/>
    <x v="953"/>
    <x v="1009"/>
    <s v="Club Deportivo Técnico Universitario vs Aucas"/>
  </r>
  <r>
    <s v="Alianza Lima vs Sport Huancayo / Match Odds"/>
    <s v="Bolsa"/>
    <x v="3002"/>
    <n v="22.48"/>
    <n v="4.4999999999999998E-2"/>
    <n v="23.539267015706809"/>
    <x v="20"/>
    <x v="75"/>
    <x v="364"/>
    <n v="199.99"/>
    <x v="214"/>
    <n v="1.0592670157068085"/>
    <n v="0.11240562028101404"/>
    <n v="1"/>
    <x v="0"/>
    <x v="635"/>
    <x v="764"/>
    <s v="Alianza Lima vs Sport Huancayo"/>
  </r>
  <r>
    <s v="Alianza Lima vs Sport Huancayo / Match Odds"/>
    <s v="Betbra"/>
    <x v="3003"/>
    <n v="35.049999999999997"/>
    <n v="4.4999999999999998E-2"/>
    <n v="36.701570680628272"/>
    <x v="17"/>
    <x v="53"/>
    <x v="126"/>
    <n v="300.01"/>
    <x v="214"/>
    <n v="1.6515706806282751"/>
    <n v="0.11682943901869937"/>
    <n v="1"/>
    <x v="0"/>
    <x v="635"/>
    <x v="764"/>
    <s v="Alianza Lima vs Sport Huancayo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</r>
  <r>
    <s v="Alianza Lima vs Sport Huancayo / Correct Score"/>
    <s v="Betbra"/>
    <x v="3004"/>
    <n v="-31.58"/>
    <n v="4.4999999999999998E-2"/>
    <n v="-31.58"/>
    <x v="17"/>
    <x v="66"/>
    <x v="14"/>
    <n v="31.58"/>
    <x v="214"/>
    <n v="0"/>
    <n v="-1"/>
    <n v="0"/>
    <x v="0"/>
    <x v="635"/>
    <x v="764"/>
    <s v="Alianza Lima vs Sport Huancayo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</r>
  <r>
    <s v="Blooming Santa Cruz vs Real Tomayapo / Correct Score"/>
    <s v="Betbra"/>
    <x v="3005"/>
    <n v="-30"/>
    <n v="4.4999999999999998E-2"/>
    <n v="-30"/>
    <x v="17"/>
    <x v="66"/>
    <x v="31"/>
    <n v="30"/>
    <x v="214"/>
    <n v="0"/>
    <n v="-1"/>
    <n v="0"/>
    <x v="0"/>
    <x v="943"/>
    <x v="106"/>
    <s v="Blooming Santa Cruz vs Real Tomayapo"/>
  </r>
  <r>
    <s v="Blooming Santa Cruz vs Real Tomayapo / Match Odds"/>
    <s v="Betbra"/>
    <x v="3006"/>
    <n v="62.04"/>
    <n v="4.4999999999999998E-2"/>
    <n v="64.96335078534031"/>
    <x v="17"/>
    <x v="53"/>
    <x v="76"/>
    <n v="300"/>
    <x v="214"/>
    <n v="2.9233507853403111"/>
    <n v="0.20679999999999998"/>
    <n v="1"/>
    <x v="0"/>
    <x v="943"/>
    <x v="106"/>
    <s v="Blooming Santa Cruz vs Real Tomayapo"/>
  </r>
  <r>
    <s v="Blooming Santa Cruz vs Real Tomayapo / Match Odds"/>
    <s v="Fulltbet"/>
    <x v="3006"/>
    <n v="6.82"/>
    <n v="4.4999999999999998E-2"/>
    <n v="7.1413612565445028"/>
    <x v="20"/>
    <x v="86"/>
    <x v="0"/>
    <n v="99.96"/>
    <x v="214"/>
    <n v="0.32136125654450254"/>
    <n v="6.8227290916366548E-2"/>
    <n v="1"/>
    <x v="0"/>
    <x v="943"/>
    <x v="106"/>
    <s v="Blooming Santa Cruz vs Real Tomayapo"/>
  </r>
  <r>
    <s v="Blooming Santa Cruz vs Real Tomayapo / Total 1.5"/>
    <s v="Fulltbet"/>
    <x v="3007"/>
    <n v="-11.96"/>
    <n v="4.4999999999999998E-2"/>
    <n v="-11.96"/>
    <x v="10"/>
    <x v="32"/>
    <x v="13"/>
    <n v="15"/>
    <x v="214"/>
    <n v="0"/>
    <n v="-0.79733333333333334"/>
    <n v="0"/>
    <x v="0"/>
    <x v="943"/>
    <x v="106"/>
    <s v="Blooming Santa Cruz vs Real Tomayapo"/>
  </r>
  <r>
    <s v="CS Hunedoara vs FC Csikszereda Miercurea Ciuc / Total 0.5"/>
    <s v="Fulltbet"/>
    <x v="3008"/>
    <n v="7.38"/>
    <n v="4.4999999999999998E-2"/>
    <n v="7.7277486910994764"/>
    <x v="10"/>
    <x v="47"/>
    <x v="236"/>
    <n v="15"/>
    <x v="215"/>
    <n v="0.34774869109947648"/>
    <n v="0.49199999999999999"/>
    <n v="1"/>
    <x v="0"/>
    <x v="954"/>
    <x v="338"/>
    <s v="CS Hunedoara vs FC Csikszereda Miercurea Ciuc"/>
  </r>
  <r>
    <s v="Örgryte IS vs Djurgårdens IF / Correct Score"/>
    <s v="Fulltbet"/>
    <x v="3009"/>
    <n v="9.3303499999999993"/>
    <n v="4.4999999999999998E-2"/>
    <n v="9.77"/>
    <x v="15"/>
    <x v="6"/>
    <x v="311"/>
    <n v="420.11"/>
    <x v="215"/>
    <n v="0.43965000000000032"/>
    <n v="2.2209302325581392E-2"/>
    <n v="1"/>
    <x v="0"/>
    <x v="955"/>
    <x v="1010"/>
    <s v="Örgryte IS vs Djurgårdens IF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</r>
  <r>
    <s v="Örgryte IS vs Djurgårdens IF / Total 0.5"/>
    <s v="Fulltbet"/>
    <x v="3010"/>
    <n v="-30"/>
    <n v="4.4999999999999998E-2"/>
    <n v="-30"/>
    <x v="25"/>
    <x v="4"/>
    <x v="79"/>
    <n v="30"/>
    <x v="215"/>
    <n v="0"/>
    <n v="-1"/>
    <n v="0"/>
    <x v="0"/>
    <x v="955"/>
    <x v="1010"/>
    <s v="Örgryte IS vs Djurgårdens IF"/>
  </r>
  <r>
    <s v="Mushuc Runa vs Orense SC / Total 1.5"/>
    <s v="Fulltbet"/>
    <x v="3011"/>
    <n v="14.33"/>
    <n v="4.4999999999999998E-2"/>
    <n v="15.005235602094242"/>
    <x v="10"/>
    <x v="32"/>
    <x v="121"/>
    <n v="15"/>
    <x v="215"/>
    <n v="0.67523560209424183"/>
    <n v="0.95533333333333337"/>
    <n v="1"/>
    <x v="0"/>
    <x v="669"/>
    <x v="5"/>
    <s v="Mushuc Runa vs Orense SC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</r>
  <r>
    <s v="Nacional Potosi vs CDT Real Oruro / Total 1.5"/>
    <s v="Fulltbet"/>
    <x v="3013"/>
    <n v="14.33"/>
    <n v="4.4999999999999998E-2"/>
    <n v="15.005235602094242"/>
    <x v="10"/>
    <x v="32"/>
    <x v="17"/>
    <n v="15"/>
    <x v="215"/>
    <n v="0.67523560209424183"/>
    <n v="0.95533333333333337"/>
    <n v="1"/>
    <x v="0"/>
    <x v="934"/>
    <x v="719"/>
    <s v="Nacional Potosi vs CDT Real Oruro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</r>
  <r>
    <s v="IFK Göteborg vs Tallinna FC Levadia / Total 3.5"/>
    <s v="Fulltbet"/>
    <x v="3015"/>
    <n v="-100"/>
    <n v="4.4999999999999998E-2"/>
    <n v="-100"/>
    <x v="21"/>
    <x v="74"/>
    <x v="367"/>
    <n v="100"/>
    <x v="216"/>
    <n v="0"/>
    <n v="-1"/>
    <n v="0"/>
    <x v="0"/>
    <x v="929"/>
    <x v="978"/>
    <s v="IFK Göteborg vs Tallinna FC Levadia"/>
  </r>
  <r>
    <s v="IFK Göteborg vs Tallinna FC Levadia / Match Odds"/>
    <s v="Fulltbet"/>
    <x v="3016"/>
    <n v="-30"/>
    <n v="4.4999999999999998E-2"/>
    <n v="-30"/>
    <x v="10"/>
    <x v="41"/>
    <x v="262"/>
    <n v="30"/>
    <x v="216"/>
    <n v="0"/>
    <n v="-1"/>
    <n v="0"/>
    <x v="0"/>
    <x v="929"/>
    <x v="978"/>
    <s v="IFK Göteborg vs Tallinna FC Levadia"/>
  </r>
  <r>
    <s v="SK Puntigamer Sturm Graz vs Hearts / Total 1.5"/>
    <s v="Fulltbet"/>
    <x v="3017"/>
    <n v="14.33"/>
    <n v="4.4999999999999998E-2"/>
    <n v="15.005235602094242"/>
    <x v="10"/>
    <x v="32"/>
    <x v="33"/>
    <n v="15"/>
    <x v="216"/>
    <n v="0.67523560209424183"/>
    <n v="0.95533333333333337"/>
    <n v="1"/>
    <x v="0"/>
    <x v="45"/>
    <x v="86"/>
    <s v="SK Puntigamer Sturm Graz vs Hearts"/>
  </r>
  <r>
    <s v="FC Thun vs Dinamo Zagreb / Total 1.5"/>
    <s v="Fulltbet"/>
    <x v="3018"/>
    <n v="-11.95"/>
    <n v="4.4999999999999998E-2"/>
    <n v="-11.95"/>
    <x v="10"/>
    <x v="32"/>
    <x v="23"/>
    <n v="15"/>
    <x v="216"/>
    <n v="0"/>
    <n v="-0.79666666666666663"/>
    <n v="0"/>
    <x v="0"/>
    <x v="186"/>
    <x v="352"/>
    <s v="FC Thun vs Dinamo Zagreb"/>
  </r>
  <r>
    <s v="Fenerbahçe SK vs Górnik Zabrze / Total 1.5"/>
    <s v="Fulltbet"/>
    <x v="3019"/>
    <n v="-5.25"/>
    <n v="4.4999999999999998E-2"/>
    <n v="-5.25"/>
    <x v="10"/>
    <x v="32"/>
    <x v="175"/>
    <n v="15"/>
    <x v="216"/>
    <n v="0"/>
    <n v="-0.35"/>
    <n v="0"/>
    <x v="0"/>
    <x v="399"/>
    <x v="1013"/>
    <s v="Fenerbahçe SK vs Górnik Zabrze"/>
  </r>
  <r>
    <s v="Atlético Mineiro vs Esporte Clube Bahia / Both Teams To Score"/>
    <s v="Fulltbet"/>
    <x v="3020"/>
    <n v="3.87"/>
    <n v="4.4999999999999998E-2"/>
    <n v="4.0523560209424083"/>
    <x v="10"/>
    <x v="59"/>
    <x v="96"/>
    <n v="5"/>
    <x v="216"/>
    <n v="0.18235602094240821"/>
    <n v="0.77400000000000002"/>
    <n v="1"/>
    <x v="0"/>
    <x v="86"/>
    <x v="92"/>
    <s v="Atlético Mineiro vs Esporte Clube Bahia"/>
  </r>
  <r>
    <s v="Gremio Novorizontino vs Criciúma EC / Total 0.5"/>
    <s v="Fulltbet"/>
    <x v="3021"/>
    <n v="7.3057499999999997"/>
    <n v="4.4999999999999998E-2"/>
    <n v="7.65"/>
    <x v="10"/>
    <x v="47"/>
    <x v="48"/>
    <n v="15"/>
    <x v="216"/>
    <n v="0.34425000000000061"/>
    <n v="0.48704999999999998"/>
    <n v="1"/>
    <x v="0"/>
    <x v="751"/>
    <x v="1014"/>
    <s v="Gremio Novorizontino vs Criciúma EC"/>
  </r>
  <r>
    <s v="Gremio Novorizontino vs Criciúma EC / Total 0.5"/>
    <s v="Fulltbet"/>
    <x v="3021"/>
    <n v="22.919999999999998"/>
    <n v="4.4999999999999998E-2"/>
    <n v="24"/>
    <x v="25"/>
    <x v="4"/>
    <x v="180"/>
    <n v="50"/>
    <x v="216"/>
    <n v="1.0800000000000018"/>
    <n v="0.45839999999999997"/>
    <n v="1"/>
    <x v="0"/>
    <x v="751"/>
    <x v="1014"/>
    <s v="Gremio Novorizontino vs Criciúma EC"/>
  </r>
  <r>
    <s v="Avaí FC vs América-MG / Total 2.5"/>
    <s v="Fulltbet"/>
    <x v="3022"/>
    <n v="-19.77"/>
    <n v="4.4999999999999998E-2"/>
    <n v="-19.77"/>
    <x v="21"/>
    <x v="0"/>
    <x v="368"/>
    <n v="100"/>
    <x v="216"/>
    <n v="0"/>
    <n v="-0.19769999999999999"/>
    <n v="0"/>
    <x v="0"/>
    <x v="657"/>
    <x v="489"/>
    <s v="Avaí FC vs América-MG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</r>
  <r>
    <s v="Cruz Azul vs Puebla / Correct Score"/>
    <s v="Betbra"/>
    <x v="3024"/>
    <n v="-26.09"/>
    <n v="4.4999999999999998E-2"/>
    <n v="-26.09"/>
    <x v="17"/>
    <x v="66"/>
    <x v="12"/>
    <n v="26.09"/>
    <x v="216"/>
    <n v="0"/>
    <n v="-1"/>
    <n v="0"/>
    <x v="0"/>
    <x v="642"/>
    <x v="1005"/>
    <s v="Cruz Azul vs Puebla"/>
  </r>
  <r>
    <s v="Cruz Azul vs Puebla / Match Odds"/>
    <s v="Fulltbet"/>
    <x v="3025"/>
    <n v="23.67"/>
    <n v="4.4999999999999998E-2"/>
    <n v="24.785340314136128"/>
    <x v="20"/>
    <x v="76"/>
    <x v="369"/>
    <n v="197.87"/>
    <x v="216"/>
    <n v="1.1153403141361267"/>
    <n v="0.11962399555263557"/>
    <n v="1"/>
    <x v="0"/>
    <x v="642"/>
    <x v="1005"/>
    <s v="Cruz Azul vs Puebla"/>
  </r>
  <r>
    <s v="Cruz Azul vs Puebla / Match Odds"/>
    <s v="Betbra"/>
    <x v="3025"/>
    <n v="35.89"/>
    <n v="4.4999999999999998E-2"/>
    <n v="37.581151832460733"/>
    <x v="17"/>
    <x v="53"/>
    <x v="116"/>
    <n v="299.99"/>
    <x v="216"/>
    <n v="1.6911518324607329"/>
    <n v="0.11963732124404147"/>
    <n v="1"/>
    <x v="0"/>
    <x v="642"/>
    <x v="1005"/>
    <s v="Cruz Azul vs Puebla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</r>
  <r>
    <s v="Operário Ferroviário vs Atlética Ponte Preta / Correct Score"/>
    <s v="Betbra"/>
    <x v="3028"/>
    <n v="-28.57"/>
    <n v="4.4999999999999998E-2"/>
    <n v="-28.57"/>
    <x v="17"/>
    <x v="66"/>
    <x v="23"/>
    <n v="28.57"/>
    <x v="217"/>
    <n v="0"/>
    <n v="-1"/>
    <n v="0"/>
    <x v="0"/>
    <x v="919"/>
    <x v="422"/>
    <s v="Operário Ferroviário vs Atlética Ponte Preta"/>
  </r>
  <r>
    <s v="Operário Ferroviário vs Atlética Ponte Preta / Match Odds"/>
    <s v="Betbra"/>
    <x v="3029"/>
    <n v="-44.45"/>
    <n v="4.4999999999999998E-2"/>
    <n v="-44.45"/>
    <x v="17"/>
    <x v="53"/>
    <x v="127"/>
    <n v="300.02"/>
    <x v="217"/>
    <n v="0"/>
    <n v="-0.14815678954736353"/>
    <n v="0"/>
    <x v="0"/>
    <x v="919"/>
    <x v="422"/>
    <s v="Operário Ferroviário vs Atlética Ponte Preta"/>
  </r>
  <r>
    <s v="Operário Ferroviário vs Atlética Ponte Preta / Match Odds"/>
    <s v="Fulltbet"/>
    <x v="3030"/>
    <n v="13.48"/>
    <n v="4.4999999999999998E-2"/>
    <n v="14.115183246073299"/>
    <x v="20"/>
    <x v="76"/>
    <x v="370"/>
    <n v="199.95"/>
    <x v="217"/>
    <n v="0.63518324607329824"/>
    <n v="6.7416854213553395E-2"/>
    <n v="1"/>
    <x v="0"/>
    <x v="919"/>
    <x v="422"/>
    <s v="Operário Ferroviário vs Atlética Ponte Preta"/>
  </r>
  <r>
    <s v="New England Revolution vs Toronto FC / Correct Score"/>
    <s v="Fulltbet"/>
    <x v="3031"/>
    <n v="22.04"/>
    <n v="4.4999999999999998E-2"/>
    <n v="23.078534031413614"/>
    <x v="19"/>
    <x v="5"/>
    <x v="8"/>
    <n v="300.04000000000002"/>
    <x v="217"/>
    <n v="1.0385340314136151"/>
    <n v="7.3456872417011057E-2"/>
    <n v="1"/>
    <x v="0"/>
    <x v="587"/>
    <x v="821"/>
    <s v="New England Revolution vs Toronto FC"/>
  </r>
  <r>
    <s v="New England Revolution vs Toronto FC / Correct Score"/>
    <s v="Betbra"/>
    <x v="3031"/>
    <n v="-9.58"/>
    <n v="4.4999999999999998E-2"/>
    <n v="-9.58"/>
    <x v="17"/>
    <x v="66"/>
    <x v="19"/>
    <n v="40.54"/>
    <x v="217"/>
    <n v="0"/>
    <n v="-0.23630981746423285"/>
    <n v="0"/>
    <x v="0"/>
    <x v="587"/>
    <x v="821"/>
    <s v="New England Revolution vs Toronto FC"/>
  </r>
  <r>
    <s v="New England Revolution vs Toronto FC / Match Odds"/>
    <s v="Fulltbet"/>
    <x v="3032"/>
    <n v="5.55"/>
    <n v="4.4999999999999998E-2"/>
    <n v="5.8115183246073299"/>
    <x v="20"/>
    <x v="75"/>
    <x v="223"/>
    <n v="100.01"/>
    <x v="217"/>
    <n v="0.26151832460733004"/>
    <n v="5.5494450554944501E-2"/>
    <n v="1"/>
    <x v="0"/>
    <x v="587"/>
    <x v="821"/>
    <s v="New England Revolution vs Toronto FC"/>
  </r>
  <r>
    <s v="New England Revolution vs Toronto FC / Match Odds"/>
    <s v="Betbra"/>
    <x v="3032"/>
    <n v="-87.48"/>
    <n v="4.4999999999999998E-2"/>
    <n v="-87.48"/>
    <x v="17"/>
    <x v="53"/>
    <x v="240"/>
    <n v="299.99"/>
    <x v="217"/>
    <n v="0"/>
    <n v="-0.29160972032401078"/>
    <n v="0"/>
    <x v="0"/>
    <x v="587"/>
    <x v="821"/>
    <s v="New England Revolution vs Toronto FC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</r>
  <r>
    <s v="Sporting Kansas City vs Minnesota United / Both Teams To Score"/>
    <s v="Fulltbet"/>
    <x v="3034"/>
    <n v="2.62"/>
    <n v="4.4999999999999998E-2"/>
    <n v="2.743455497382199"/>
    <x v="10"/>
    <x v="59"/>
    <x v="199"/>
    <n v="5"/>
    <x v="217"/>
    <n v="0.12345549738219885"/>
    <n v="0.52400000000000002"/>
    <n v="1"/>
    <x v="0"/>
    <x v="958"/>
    <x v="563"/>
    <s v="Sporting Kansas City vs Minnesota United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</r>
  <r>
    <s v="Charlotte FC vs Atlanta United FC / Correct Score"/>
    <s v="Betbra"/>
    <x v="3041"/>
    <n v="-42.86"/>
    <n v="4.4999999999999998E-2"/>
    <n v="-42.86"/>
    <x v="17"/>
    <x v="66"/>
    <x v="9"/>
    <n v="42.86"/>
    <x v="217"/>
    <n v="0"/>
    <n v="-1"/>
    <n v="0"/>
    <x v="0"/>
    <x v="631"/>
    <x v="769"/>
    <s v="Charlotte FC vs Atlanta United FC"/>
  </r>
  <r>
    <s v="Charlotte FC vs Atlanta United FC / Match Odds"/>
    <s v="Betbra"/>
    <x v="3042"/>
    <n v="68.16"/>
    <n v="4.4999999999999998E-2"/>
    <n v="71.3717277486911"/>
    <x v="17"/>
    <x v="53"/>
    <x v="163"/>
    <n v="300"/>
    <x v="217"/>
    <n v="3.2117277486911036"/>
    <n v="0.22719999999999999"/>
    <n v="1"/>
    <x v="0"/>
    <x v="631"/>
    <x v="769"/>
    <s v="Charlotte FC vs Atlanta United FC"/>
  </r>
  <r>
    <s v="Charlotte FC vs Atlanta United FC / Match Odds"/>
    <s v="Fulltbet"/>
    <x v="3043"/>
    <n v="19.329999999999998"/>
    <n v="4.4999999999999998E-2"/>
    <n v="20.240837696335078"/>
    <x v="20"/>
    <x v="75"/>
    <x v="301"/>
    <n v="100"/>
    <x v="217"/>
    <n v="0.91083769633507927"/>
    <n v="0.19329999999999997"/>
    <n v="1"/>
    <x v="0"/>
    <x v="631"/>
    <x v="769"/>
    <s v="Charlotte FC vs Atlanta United FC"/>
  </r>
  <r>
    <s v="Nashville Soccer Club vs CF Montreal / Correct Score"/>
    <s v="Fulltbet"/>
    <x v="3044"/>
    <n v="22.92"/>
    <n v="4.4999999999999998E-2"/>
    <n v="24.000000000000004"/>
    <x v="19"/>
    <x v="5"/>
    <x v="16"/>
    <n v="300"/>
    <x v="217"/>
    <n v="1.0800000000000018"/>
    <n v="7.640000000000001E-2"/>
    <n v="1"/>
    <x v="0"/>
    <x v="638"/>
    <x v="820"/>
    <s v="Nashville Soccer Club vs CF Montreal"/>
  </r>
  <r>
    <s v="Houston Dynamo vs DC United / Match Odds"/>
    <s v="Fulltbet"/>
    <x v="3045"/>
    <n v="3.7"/>
    <n v="4.4999999999999998E-2"/>
    <n v="3.8743455497382202"/>
    <x v="10"/>
    <x v="38"/>
    <x v="66"/>
    <n v="119.97"/>
    <x v="217"/>
    <n v="0.17434554973822003"/>
    <n v="3.0841043594231891E-2"/>
    <n v="1"/>
    <x v="0"/>
    <x v="513"/>
    <x v="628"/>
    <s v="Houston Dynamo vs DC United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</r>
  <r>
    <s v="Los Angeles FC vs Real Salt Lake / Correct Score"/>
    <s v="Fulltbet"/>
    <x v="3047"/>
    <n v="13.7"/>
    <n v="4.4999999999999998E-2"/>
    <n v="14.345549738219896"/>
    <x v="19"/>
    <x v="5"/>
    <x v="109"/>
    <n v="330.05"/>
    <x v="218"/>
    <n v="0.6455497382198967"/>
    <n v="4.1508862293591874E-2"/>
    <n v="1"/>
    <x v="0"/>
    <x v="500"/>
    <x v="595"/>
    <s v="Los Angeles FC vs Real Salt Lake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</r>
  <r>
    <s v="San Jose Earthquakes vs Orlando City / Correct Score"/>
    <s v="Betbra"/>
    <x v="3048"/>
    <n v="-25"/>
    <n v="4.4999999999999998E-2"/>
    <n v="-25"/>
    <x v="17"/>
    <x v="66"/>
    <x v="5"/>
    <n v="25"/>
    <x v="218"/>
    <n v="0"/>
    <n v="-1"/>
    <n v="0"/>
    <x v="0"/>
    <x v="515"/>
    <x v="674"/>
    <s v="San Jose Earthquakes vs Orlando City"/>
  </r>
  <r>
    <s v="San Jose Earthquakes vs Orlando City / Match Odds"/>
    <s v="Fulltbet"/>
    <x v="3049"/>
    <n v="-200"/>
    <n v="4.4999999999999998E-2"/>
    <n v="-200"/>
    <x v="20"/>
    <x v="76"/>
    <x v="163"/>
    <n v="200"/>
    <x v="218"/>
    <n v="0"/>
    <n v="-1"/>
    <n v="0"/>
    <x v="0"/>
    <x v="515"/>
    <x v="674"/>
    <s v="San Jose Earthquakes vs Orlando City"/>
  </r>
  <r>
    <s v="San Jose Earthquakes vs Orlando City / Match Odds"/>
    <s v="Betbra"/>
    <x v="3049"/>
    <n v="9.34"/>
    <n v="4.4999999999999998E-2"/>
    <n v="9.7801047120418847"/>
    <x v="17"/>
    <x v="53"/>
    <x v="151"/>
    <n v="299.99"/>
    <x v="218"/>
    <n v="0.44010471204188484"/>
    <n v="3.1134371145704855E-2"/>
    <n v="1"/>
    <x v="0"/>
    <x v="515"/>
    <x v="674"/>
    <s v="San Jose Earthquakes vs Orlando City"/>
  </r>
  <r>
    <s v="Paide Linnameeskond vs Zira IK / Correct Score"/>
    <s v="Fulltbet"/>
    <x v="3050"/>
    <n v="-51.76"/>
    <n v="4.4999999999999998E-2"/>
    <n v="-51.76"/>
    <x v="10"/>
    <x v="60"/>
    <x v="29"/>
    <n v="51.77"/>
    <x v="218"/>
    <n v="0"/>
    <n v="-0.99980683793702907"/>
    <n v="0"/>
    <x v="0"/>
    <x v="882"/>
    <x v="1016"/>
    <s v="Paide Linnameeskond vs Zira IK"/>
  </r>
  <r>
    <s v="Debreceni VSC vs Pyunik FC / Match Odds"/>
    <s v="Fulltbet"/>
    <x v="3051"/>
    <n v="4.41"/>
    <n v="4.4999999999999998E-2"/>
    <n v="4.6178010471204196"/>
    <x v="10"/>
    <x v="38"/>
    <x v="40"/>
    <n v="120.12"/>
    <x v="218"/>
    <n v="0.20780104712041947"/>
    <n v="3.6713286713286712E-2"/>
    <n v="1"/>
    <x v="0"/>
    <x v="959"/>
    <x v="1017"/>
    <s v="Debreceni VSC vs Pyunik FC"/>
  </r>
  <r>
    <s v="Corinthians vs Clube do Remo / Correct Score"/>
    <s v="Betbra"/>
    <x v="3052"/>
    <n v="-36.590000000000003"/>
    <n v="4.4999999999999998E-2"/>
    <n v="-36.590000000000003"/>
    <x v="17"/>
    <x v="66"/>
    <x v="33"/>
    <n v="36.590000000000003"/>
    <x v="218"/>
    <n v="0"/>
    <n v="-1"/>
    <n v="0"/>
    <x v="0"/>
    <x v="88"/>
    <x v="348"/>
    <s v="Corinthians vs Clube do Remo"/>
  </r>
  <r>
    <s v="Botafogo FR vs EC Vitória / Correct Score"/>
    <s v="Bolsa"/>
    <x v="3053"/>
    <n v="0.39"/>
    <n v="4.4999999999999998E-2"/>
    <n v="0.40837696335078538"/>
    <x v="16"/>
    <x v="64"/>
    <x v="72"/>
    <n v="100"/>
    <x v="218"/>
    <n v="1.8376963350785369E-2"/>
    <n v="3.9000000000000003E-3"/>
    <n v="1"/>
    <x v="0"/>
    <x v="90"/>
    <x v="518"/>
    <s v="Botafogo FR vs EC Vitória"/>
  </r>
  <r>
    <s v="Corinthians vs Clube do Remo / Match Odds"/>
    <s v="Fulltbet"/>
    <x v="3054"/>
    <n v="9.1"/>
    <n v="4.4999999999999998E-2"/>
    <n v="9.5287958115183251"/>
    <x v="20"/>
    <x v="76"/>
    <x v="9"/>
    <n v="100.03"/>
    <x v="218"/>
    <n v="0.42879581151832546"/>
    <n v="9.097270818754373E-2"/>
    <n v="1"/>
    <x v="0"/>
    <x v="88"/>
    <x v="348"/>
    <s v="Corinthians vs Clube do Remo"/>
  </r>
  <r>
    <s v="Corinthians vs Clube do Remo / Match Odds"/>
    <s v="Betbra"/>
    <x v="3054"/>
    <n v="70.67"/>
    <n v="4.4999999999999998E-2"/>
    <n v="74"/>
    <x v="17"/>
    <x v="53"/>
    <x v="261"/>
    <n v="300.02"/>
    <x v="218"/>
    <n v="3.3299999999999983"/>
    <n v="0.2355509632691154"/>
    <n v="1"/>
    <x v="0"/>
    <x v="88"/>
    <x v="348"/>
    <s v="Corinthians vs Clube do Remo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</r>
  <r>
    <s v="Botafogo FR vs EC Vitória / Correct Score"/>
    <s v="Betbra"/>
    <x v="3056"/>
    <n v="-13.2"/>
    <n v="4.4999999999999998E-2"/>
    <n v="-13.2"/>
    <x v="17"/>
    <x v="66"/>
    <x v="37"/>
    <n v="41.67"/>
    <x v="218"/>
    <n v="0"/>
    <n v="-0.31677465802735777"/>
    <n v="0"/>
    <x v="0"/>
    <x v="90"/>
    <x v="518"/>
    <s v="Botafogo FR vs EC Vitória"/>
  </r>
  <r>
    <s v="Botafogo FR vs EC Vitória / Correct Score"/>
    <s v="Fulltbet"/>
    <x v="3057"/>
    <n v="21.49"/>
    <n v="4.4999999999999998E-2"/>
    <n v="22.502617801047119"/>
    <x v="19"/>
    <x v="5"/>
    <x v="10"/>
    <n v="360"/>
    <x v="218"/>
    <n v="1.0126178010471207"/>
    <n v="5.9694444444444439E-2"/>
    <n v="1"/>
    <x v="0"/>
    <x v="90"/>
    <x v="518"/>
    <s v="Botafogo FR vs EC Vitória"/>
  </r>
  <r>
    <s v="Botafogo FR vs EC Vitória / Both Teams To Score"/>
    <s v="Fulltbet"/>
    <x v="3058"/>
    <n v="-5"/>
    <n v="4.4999999999999998E-2"/>
    <n v="-5"/>
    <x v="10"/>
    <x v="59"/>
    <x v="55"/>
    <n v="5"/>
    <x v="218"/>
    <n v="0"/>
    <n v="-1"/>
    <n v="0"/>
    <x v="0"/>
    <x v="90"/>
    <x v="518"/>
    <s v="Botafogo FR vs EC Vitória"/>
  </r>
  <r>
    <s v="Botafogo FR vs EC Vitória / Match Odds"/>
    <s v="Fulltbet"/>
    <x v="3059"/>
    <n v="8.06"/>
    <n v="4.4999999999999998E-2"/>
    <n v="8.4397905759162306"/>
    <x v="20"/>
    <x v="75"/>
    <x v="174"/>
    <n v="100"/>
    <x v="218"/>
    <n v="0.37979057591623011"/>
    <n v="8.0600000000000005E-2"/>
    <n v="1"/>
    <x v="0"/>
    <x v="90"/>
    <x v="518"/>
    <s v="Botafogo FR vs EC Vitória"/>
  </r>
  <r>
    <s v="Botafogo FR vs EC Vitória / Match Odds"/>
    <s v="Betbra"/>
    <x v="3059"/>
    <n v="-92.18"/>
    <n v="4.4999999999999998E-2"/>
    <n v="-92.18"/>
    <x v="17"/>
    <x v="53"/>
    <x v="255"/>
    <n v="300.01"/>
    <x v="218"/>
    <n v="0"/>
    <n v="-0.30725642478584053"/>
    <n v="0"/>
    <x v="0"/>
    <x v="90"/>
    <x v="518"/>
    <s v="Botafogo FR vs EC Vitória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</r>
  <r>
    <s v="Cuiabá EC vs Atlético Goianiense / Total 0.5"/>
    <s v="Fulltbet"/>
    <x v="3062"/>
    <n v="7.38"/>
    <n v="4.4999999999999998E-2"/>
    <n v="7.7277486910994764"/>
    <x v="10"/>
    <x v="47"/>
    <x v="236"/>
    <n v="15"/>
    <x v="218"/>
    <n v="0.34774869109947648"/>
    <n v="0.49199999999999999"/>
    <n v="1"/>
    <x v="0"/>
    <x v="913"/>
    <x v="675"/>
    <s v="Cuiabá EC vs Atlético Goianiense"/>
  </r>
  <r>
    <s v="Emelec vs Mushuc Runa / Correct Score"/>
    <s v="Fulltbet"/>
    <x v="3063"/>
    <n v="286.52"/>
    <n v="4.4999999999999998E-2"/>
    <n v="300.02094240837698"/>
    <x v="17"/>
    <x v="66"/>
    <x v="28"/>
    <n v="48.39"/>
    <x v="218"/>
    <n v="13.500942408377"/>
    <n v="5.921058069849142"/>
    <n v="1"/>
    <x v="0"/>
    <x v="822"/>
    <x v="1020"/>
    <s v="Emelec vs Mushuc Runa"/>
  </r>
  <r>
    <s v="Emelec vs Mushuc Runa / Match Odds"/>
    <s v="Fulltbet"/>
    <x v="3064"/>
    <n v="-300"/>
    <n v="4.4999999999999998E-2"/>
    <n v="-300"/>
    <x v="17"/>
    <x v="53"/>
    <x v="215"/>
    <n v="300"/>
    <x v="218"/>
    <n v="0"/>
    <n v="-1"/>
    <n v="0"/>
    <x v="0"/>
    <x v="822"/>
    <x v="1020"/>
    <s v="Emelec vs Mushuc Runa"/>
  </r>
  <r>
    <s v="Santa Fe vs Caracas FC / Match Odds"/>
    <s v="Fulltbet"/>
    <x v="3065"/>
    <n v="6.79"/>
    <n v="4.4999999999999998E-2"/>
    <n v="7.1099476439790577"/>
    <x v="20"/>
    <x v="76"/>
    <x v="2"/>
    <n v="99.99"/>
    <x v="218"/>
    <n v="0.31994764397905762"/>
    <n v="6.7906790679067908E-2"/>
    <n v="1"/>
    <x v="0"/>
    <x v="737"/>
    <x v="540"/>
    <s v="Santa Fe vs Caracas FC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</r>
  <r>
    <s v="Västerås SK FK vs Örgryte IS / Match Odds"/>
    <s v="Fulltbet"/>
    <x v="3068"/>
    <n v="10.67"/>
    <n v="4.4999999999999998E-2"/>
    <n v="11.172774869109949"/>
    <x v="20"/>
    <x v="76"/>
    <x v="76"/>
    <n v="100.02"/>
    <x v="219"/>
    <n v="0.50277486910994895"/>
    <n v="0.10667866426714658"/>
    <n v="1"/>
    <x v="0"/>
    <x v="618"/>
    <x v="708"/>
    <s v="Västerås SK FK vs Örgryte IS"/>
  </r>
  <r>
    <s v="St. Patrick's Athletic vs Dundalk / Total 0.5"/>
    <s v="Fulltbet"/>
    <x v="3069"/>
    <n v="0.71"/>
    <n v="4.4999999999999998E-2"/>
    <n v="0.74345549738219896"/>
    <x v="10"/>
    <x v="49"/>
    <x v="267"/>
    <n v="10"/>
    <x v="219"/>
    <n v="3.3455497382198995E-2"/>
    <n v="7.0999999999999994E-2"/>
    <n v="1"/>
    <x v="0"/>
    <x v="613"/>
    <x v="455"/>
    <s v="St. Patrick's Athletic vs Dundalk"/>
  </r>
  <r>
    <s v="St. Patrick's Athletic vs Dundalk / Correct Score"/>
    <s v="Fulltbet"/>
    <x v="3070"/>
    <n v="14.668799999999999"/>
    <n v="4.4999999999999998E-2"/>
    <n v="15.36"/>
    <x v="15"/>
    <x v="5"/>
    <x v="80"/>
    <n v="430.08"/>
    <x v="219"/>
    <n v="0.69120000000000026"/>
    <n v="3.4107142857142857E-2"/>
    <n v="1"/>
    <x v="0"/>
    <x v="613"/>
    <x v="455"/>
    <s v="St. Patrick's Athletic vs Dundalk"/>
  </r>
  <r>
    <s v="St. Patrick's Athletic vs Dundalk / Correct Score"/>
    <s v="Fulltbet"/>
    <x v="3070"/>
    <n v="49.039250000000003"/>
    <n v="4.4999999999999998E-2"/>
    <n v="51.35"/>
    <x v="19"/>
    <x v="5"/>
    <x v="19"/>
    <n v="379.99"/>
    <x v="219"/>
    <n v="2.3107499999999987"/>
    <n v="0.12905405405405407"/>
    <n v="1"/>
    <x v="0"/>
    <x v="613"/>
    <x v="455"/>
    <s v="St. Patrick's Athletic vs Dundalk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</r>
  <r>
    <s v="Víkingur vs Keflavik IF / Match Odds"/>
    <s v="Fulltbet"/>
    <x v="3072"/>
    <n v="7.69"/>
    <n v="4.4999999999999998E-2"/>
    <n v="8.0523560209424083"/>
    <x v="20"/>
    <x v="76"/>
    <x v="3"/>
    <n v="100.02"/>
    <x v="219"/>
    <n v="0.36235602094240793"/>
    <n v="7.6884623075384934E-2"/>
    <n v="1"/>
    <x v="0"/>
    <x v="761"/>
    <x v="956"/>
    <s v="Víkingur vs Keflavik IF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</r>
  <r>
    <s v="Club Aurora vs Academia de Balompie Boliviano / Both Teams To Score"/>
    <s v="Fulltbet"/>
    <x v="3075"/>
    <n v="2.88"/>
    <n v="4.4999999999999998E-2"/>
    <n v="3.0157068062827226"/>
    <x v="10"/>
    <x v="59"/>
    <x v="97"/>
    <n v="5"/>
    <x v="219"/>
    <n v="0.13570680628272269"/>
    <n v="0.57599999999999996"/>
    <n v="1"/>
    <x v="0"/>
    <x v="675"/>
    <x v="1023"/>
    <s v="Club Aurora vs Academia de Balompie Boliviano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</r>
  <r>
    <s v="Vélez Sársfield vs Instituto de Córdoba / Correct Score"/>
    <s v="Fulltbet"/>
    <x v="3077"/>
    <n v="-51.72"/>
    <n v="4.4999999999999998E-2"/>
    <n v="-51.72"/>
    <x v="17"/>
    <x v="66"/>
    <x v="121"/>
    <n v="51.72"/>
    <x v="219"/>
    <n v="0"/>
    <n v="-1"/>
    <n v="0"/>
    <x v="0"/>
    <x v="594"/>
    <x v="1024"/>
    <s v="Vélez Sársfield vs Instituto de Córdoba"/>
  </r>
  <r>
    <s v="Vélez Sársfield vs Instituto de Córdoba / Match Odds"/>
    <s v="Fulltbet"/>
    <x v="3078"/>
    <n v="136.43"/>
    <n v="4.4999999999999998E-2"/>
    <n v="142.85863874345551"/>
    <x v="17"/>
    <x v="53"/>
    <x v="148"/>
    <n v="300.01"/>
    <x v="219"/>
    <n v="6.4286387434555081"/>
    <n v="0.45475150828305727"/>
    <n v="1"/>
    <x v="0"/>
    <x v="594"/>
    <x v="1024"/>
    <s v="Vélez Sársfield vs Instituto de Córdoba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</r>
  <r>
    <s v="Deportes Iquique vs Deportes Temuco / Both Teams To Score"/>
    <s v="Fulltbet"/>
    <x v="3082"/>
    <n v="-5"/>
    <n v="4.4999999999999998E-2"/>
    <n v="-5"/>
    <x v="10"/>
    <x v="59"/>
    <x v="77"/>
    <n v="5"/>
    <x v="219"/>
    <n v="0"/>
    <n v="-1"/>
    <n v="0"/>
    <x v="0"/>
    <x v="968"/>
    <x v="1025"/>
    <s v="Deportes Iquique vs Deportes Temuco"/>
  </r>
  <r>
    <s v="Colo-Colo vs Deportes Limache / Correct Score"/>
    <s v="Fulltbet"/>
    <x v="3083"/>
    <n v="15.17"/>
    <n v="4.4999999999999998E-2"/>
    <n v="15.884816753926701"/>
    <x v="15"/>
    <x v="5"/>
    <x v="80"/>
    <n v="444.92"/>
    <x v="219"/>
    <n v="0.71481675392670141"/>
    <n v="3.4096017261530158E-2"/>
    <n v="1"/>
    <x v="0"/>
    <x v="860"/>
    <x v="1026"/>
    <s v="Colo-Colo vs Deportes Limache"/>
  </r>
  <r>
    <s v="Colo-Colo vs Deportes Limache / Correct Score"/>
    <s v="Betbra"/>
    <x v="3083"/>
    <n v="-33.33"/>
    <n v="4.4999999999999998E-2"/>
    <n v="-33.33"/>
    <x v="17"/>
    <x v="66"/>
    <x v="13"/>
    <n v="33.33"/>
    <x v="219"/>
    <n v="0"/>
    <n v="-1"/>
    <n v="0"/>
    <x v="0"/>
    <x v="860"/>
    <x v="1026"/>
    <s v="Colo-Colo vs Deportes Limache"/>
  </r>
  <r>
    <s v="Colo-Colo vs Deportes Limache / Match Odds"/>
    <s v="Betbra"/>
    <x v="3084"/>
    <n v="59.19"/>
    <n v="4.4999999999999998E-2"/>
    <n v="61.97905759162304"/>
    <x v="17"/>
    <x v="53"/>
    <x v="230"/>
    <n v="300.01"/>
    <x v="219"/>
    <n v="2.7890575916230418"/>
    <n v="0.19729342355254825"/>
    <n v="1"/>
    <x v="0"/>
    <x v="860"/>
    <x v="1026"/>
    <s v="Colo-Colo vs Deportes Limache"/>
  </r>
  <r>
    <s v="Deportivo Cali vs Jaguares de Córdoba / Correct Score"/>
    <s v="Fulltbet"/>
    <x v="3085"/>
    <n v="-22.69"/>
    <n v="4.4999999999999998E-2"/>
    <n v="-22.69"/>
    <x v="17"/>
    <x v="66"/>
    <x v="37"/>
    <n v="41.67"/>
    <x v="220"/>
    <n v="0"/>
    <n v="-0.54451643868490518"/>
    <n v="0"/>
    <x v="0"/>
    <x v="969"/>
    <x v="1027"/>
    <s v="Deportivo Cali vs Jaguares de Córdoba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</r>
  <r>
    <s v="Deportivo Cali vs Jaguares de Córdoba / Match Odds"/>
    <s v="Fulltbet"/>
    <x v="3086"/>
    <n v="-89.57"/>
    <n v="4.4999999999999998E-2"/>
    <n v="-89.57"/>
    <x v="17"/>
    <x v="53"/>
    <x v="122"/>
    <n v="299.99"/>
    <x v="220"/>
    <n v="0"/>
    <n v="-0.29857661922064066"/>
    <n v="0"/>
    <x v="0"/>
    <x v="969"/>
    <x v="1027"/>
    <s v="Deportivo Cali vs Jaguares de Córdoba"/>
  </r>
  <r>
    <s v="Universitario de Deportes vs Cusco FC / Match Odds"/>
    <s v="Bolsa"/>
    <x v="3087"/>
    <n v="5.4"/>
    <n v="4.4999999999999998E-2"/>
    <n v="5.6544502617801049"/>
    <x v="20"/>
    <x v="76"/>
    <x v="0"/>
    <n v="99.96"/>
    <x v="220"/>
    <n v="0.25445026178010455"/>
    <n v="5.402160864345739E-2"/>
    <n v="1"/>
    <x v="0"/>
    <x v="699"/>
    <x v="850"/>
    <s v="Universitario de Deportes vs Cusco FC"/>
  </r>
  <r>
    <s v="Universitario de Deportes vs Cusco FC / Match Odds"/>
    <s v="Fulltbet"/>
    <x v="3088"/>
    <n v="71.63"/>
    <n v="4.4999999999999998E-2"/>
    <n v="75.005235602094245"/>
    <x v="17"/>
    <x v="53"/>
    <x v="135"/>
    <n v="300"/>
    <x v="220"/>
    <n v="3.37523560209425"/>
    <n v="0.23876666666666665"/>
    <n v="1"/>
    <x v="0"/>
    <x v="699"/>
    <x v="850"/>
    <s v="Universitario de Deportes vs Cusco FC"/>
  </r>
  <r>
    <s v="Universitario de Deportes vs Cusco FC / Correct Score"/>
    <s v="Fulltbet"/>
    <x v="3089"/>
    <n v="-33.33"/>
    <n v="4.4999999999999998E-2"/>
    <n v="-33.33"/>
    <x v="17"/>
    <x v="66"/>
    <x v="13"/>
    <n v="33.33"/>
    <x v="220"/>
    <n v="0"/>
    <n v="-1"/>
    <n v="0"/>
    <x v="0"/>
    <x v="699"/>
    <x v="850"/>
    <s v="Universitario de Deportes vs Cusco FC"/>
  </r>
  <r>
    <s v="Vancouver FC vs Cavalry / Match Odds"/>
    <s v="Fulltbet"/>
    <x v="3090"/>
    <n v="3.09"/>
    <n v="4.4999999999999998E-2"/>
    <n v="3.2356020942408379"/>
    <x v="10"/>
    <x v="38"/>
    <x v="254"/>
    <n v="119.88"/>
    <x v="220"/>
    <n v="0.14560209424083803"/>
    <n v="2.5775775775775774E-2"/>
    <n v="1"/>
    <x v="0"/>
    <x v="772"/>
    <x v="1028"/>
    <s v="Vancouver FC vs Cavalry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</r>
  <r>
    <s v="Liaoning Tieren F.C. vs Qingdao West Coast / Both Teams To Score"/>
    <s v="Fulltbet"/>
    <x v="3093"/>
    <n v="-5"/>
    <n v="4.4999999999999998E-2"/>
    <n v="-5"/>
    <x v="10"/>
    <x v="59"/>
    <x v="48"/>
    <n v="5"/>
    <x v="220"/>
    <n v="0"/>
    <n v="-1"/>
    <n v="0"/>
    <x v="0"/>
    <x v="508"/>
    <x v="608"/>
    <s v="Liaoning Tieren F.C. vs Qingdao West Coast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</r>
  <r>
    <s v="Wuhan Three Towns vs Chongqing Tonglianglong / Match Odds"/>
    <s v="Fulltbet"/>
    <x v="3095"/>
    <n v="8.81"/>
    <n v="4.4999999999999998E-2"/>
    <n v="9.2251308900523572"/>
    <x v="10"/>
    <x v="38"/>
    <x v="8"/>
    <n v="119.99"/>
    <x v="220"/>
    <n v="0.4151308900523567"/>
    <n v="7.3422785232102689E-2"/>
    <n v="1"/>
    <x v="0"/>
    <x v="815"/>
    <x v="746"/>
    <s v="Wuhan Three Towns vs Chongqing Tonglianglong"/>
  </r>
  <r>
    <s v="Jagiellonia Bialystok vs Korona Kielce / Correct Score"/>
    <s v="Fulltbet"/>
    <x v="3096"/>
    <n v="-21.78"/>
    <n v="4.4999999999999998E-2"/>
    <n v="-21.78"/>
    <x v="17"/>
    <x v="66"/>
    <x v="28"/>
    <n v="48.39"/>
    <x v="220"/>
    <n v="0"/>
    <n v="-0.45009299442033479"/>
    <n v="0"/>
    <x v="0"/>
    <x v="767"/>
    <x v="393"/>
    <s v="Jagiellonia Bialystok vs Korona Kielce"/>
  </r>
  <r>
    <s v="Jagiellonia Bialystok vs Korona Kielce / Match Odds"/>
    <s v="Fulltbet"/>
    <x v="3097"/>
    <n v="-103.33"/>
    <n v="4.4999999999999998E-2"/>
    <n v="-103.33"/>
    <x v="17"/>
    <x v="53"/>
    <x v="299"/>
    <n v="300.01"/>
    <x v="220"/>
    <n v="0"/>
    <n v="-0.34442185260491315"/>
    <n v="0"/>
    <x v="0"/>
    <x v="767"/>
    <x v="393"/>
    <s v="Jagiellonia Bialystok vs Korona Kielce"/>
  </r>
  <r>
    <s v="Jagiellonia Bialystok vs Korona Kielce / Match Odds"/>
    <s v="Betbra"/>
    <x v="3097"/>
    <n v="3.6"/>
    <n v="4.4999999999999998E-2"/>
    <n v="3.7696335078534036"/>
    <x v="20"/>
    <x v="75"/>
    <x v="310"/>
    <n v="99.99"/>
    <x v="220"/>
    <n v="0.16963350785340348"/>
    <n v="3.6003600360036005E-2"/>
    <n v="1"/>
    <x v="0"/>
    <x v="767"/>
    <x v="393"/>
    <s v="Jagiellonia Bialystok vs Korona Kielce"/>
  </r>
  <r>
    <s v="Degerfors IF vs Djurgårdens IF / Correct Score"/>
    <s v="Fulltbet"/>
    <x v="3098"/>
    <n v="23.12"/>
    <n v="4.4999999999999998E-2"/>
    <n v="24.209424083769637"/>
    <x v="15"/>
    <x v="6"/>
    <x v="18"/>
    <n v="459.09"/>
    <x v="220"/>
    <n v="1.0894240837696358"/>
    <n v="5.0360495763357951E-2"/>
    <n v="1"/>
    <x v="0"/>
    <x v="970"/>
    <x v="1010"/>
    <s v="Degerfors IF vs Djurgårdens IF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</r>
  <r>
    <s v="FC Fredericia vs HB Køge / Correct Score"/>
    <s v="Fulltbet"/>
    <x v="3100"/>
    <n v="-39.47"/>
    <n v="4.4999999999999998E-2"/>
    <n v="-39.47"/>
    <x v="17"/>
    <x v="66"/>
    <x v="38"/>
    <n v="39.47"/>
    <x v="220"/>
    <n v="0"/>
    <n v="-1"/>
    <n v="0"/>
    <x v="0"/>
    <x v="541"/>
    <x v="1029"/>
    <s v="FC Fredericia vs HB Køge"/>
  </r>
  <r>
    <s v="FC Fredericia vs HB Køge / Match Odds"/>
    <s v="Fulltbet"/>
    <x v="3101"/>
    <n v="67.12"/>
    <n v="4.4999999999999998E-2"/>
    <n v="70.282722513089013"/>
    <x v="17"/>
    <x v="53"/>
    <x v="153"/>
    <n v="299.98"/>
    <x v="220"/>
    <n v="3.1627225130890082"/>
    <n v="0.22374824988332556"/>
    <n v="1"/>
    <x v="0"/>
    <x v="541"/>
    <x v="1029"/>
    <s v="FC Fredericia vs HB Køge"/>
  </r>
  <r>
    <s v="FC Fredericia vs HB Køge / Match Odds"/>
    <s v="Betbra"/>
    <x v="3101"/>
    <n v="19.84"/>
    <n v="4.4999999999999998E-2"/>
    <n v="20.774869109947645"/>
    <x v="20"/>
    <x v="76"/>
    <x v="135"/>
    <n v="100"/>
    <x v="220"/>
    <n v="0.93486910994764472"/>
    <n v="0.19839999999999999"/>
    <n v="1"/>
    <x v="0"/>
    <x v="541"/>
    <x v="1029"/>
    <s v="FC Fredericia vs HB Køge"/>
  </r>
  <r>
    <s v="FC Viktoria Plzen vs FC Slovan Liberec / Correct Score"/>
    <s v="Fulltbet"/>
    <x v="3102"/>
    <n v="-37.5"/>
    <n v="4.4999999999999998E-2"/>
    <n v="-37.5"/>
    <x v="17"/>
    <x v="66"/>
    <x v="22"/>
    <n v="37.5"/>
    <x v="220"/>
    <n v="0"/>
    <n v="-1"/>
    <n v="0"/>
    <x v="0"/>
    <x v="972"/>
    <x v="1030"/>
    <s v="FC Viktoria Plzen vs FC Slovan Liberec"/>
  </r>
  <r>
    <s v="FC Viktoria Plzen vs FC Slovan Liberec / Match Odds"/>
    <s v="Fulltbet"/>
    <x v="3103"/>
    <n v="-5.81"/>
    <n v="4.4999999999999998E-2"/>
    <n v="-5.81"/>
    <x v="17"/>
    <x v="53"/>
    <x v="245"/>
    <n v="299.99"/>
    <x v="220"/>
    <n v="0"/>
    <n v="-1.9367312243741455E-2"/>
    <n v="0"/>
    <x v="0"/>
    <x v="972"/>
    <x v="1030"/>
    <s v="FC Viktoria Plzen vs FC Slovan Liberec"/>
  </r>
  <r>
    <s v="FC Viktoria Plzen vs FC Slovan Liberec / Match Odds"/>
    <s v="Betbra"/>
    <x v="3103"/>
    <n v="20.59"/>
    <n v="4.4999999999999998E-2"/>
    <n v="21.560209424083769"/>
    <x v="20"/>
    <x v="76"/>
    <x v="371"/>
    <n v="200.01"/>
    <x v="220"/>
    <n v="0.97020942408376953"/>
    <n v="0.10294485275736213"/>
    <n v="1"/>
    <x v="0"/>
    <x v="972"/>
    <x v="1030"/>
    <s v="FC Viktoria Plzen vs FC Slovan Liberec"/>
  </r>
  <r>
    <s v="Galway United vs Waterford FC / Both Teams To Score"/>
    <s v="Fulltbet"/>
    <x v="3104"/>
    <n v="-5"/>
    <n v="4.4999999999999998E-2"/>
    <n v="-5"/>
    <x v="10"/>
    <x v="59"/>
    <x v="232"/>
    <n v="5"/>
    <x v="220"/>
    <n v="0"/>
    <n v="-1"/>
    <n v="0"/>
    <x v="0"/>
    <x v="854"/>
    <x v="653"/>
    <s v="Galway United vs Waterford FC"/>
  </r>
  <r>
    <s v="Strømsgodset vs FK Lyn / Correct Score"/>
    <s v="Fulltbet"/>
    <x v="3105"/>
    <n v="4.8499999999999996"/>
    <n v="4.4999999999999998E-2"/>
    <n v="5.0785340314136125"/>
    <x v="15"/>
    <x v="5"/>
    <x v="346"/>
    <n v="299.72000000000003"/>
    <x v="220"/>
    <n v="0.22853403141361284"/>
    <n v="1.6181769651674893E-2"/>
    <n v="1"/>
    <x v="0"/>
    <x v="789"/>
    <x v="945"/>
    <s v="Strømsgodset vs FK Lyn"/>
  </r>
  <r>
    <s v="Haugesund vs Bryne / Correct Score"/>
    <s v="Betbra"/>
    <x v="3106"/>
    <n v="-30"/>
    <n v="4.4999999999999998E-2"/>
    <n v="-30"/>
    <x v="17"/>
    <x v="66"/>
    <x v="31"/>
    <n v="30"/>
    <x v="220"/>
    <n v="0"/>
    <n v="-1"/>
    <n v="0"/>
    <x v="0"/>
    <x v="570"/>
    <x v="840"/>
    <s v="Haugesund vs Bryne"/>
  </r>
  <r>
    <s v="Haugesund vs Bryne / Match Odds"/>
    <s v="Bolsa"/>
    <x v="3107"/>
    <n v="0.68"/>
    <n v="4.4999999999999998E-2"/>
    <n v="0.71204188481675401"/>
    <x v="20"/>
    <x v="75"/>
    <x v="174"/>
    <n v="99.32"/>
    <x v="220"/>
    <n v="3.2041884816753963E-2"/>
    <n v="6.8465565847764809E-3"/>
    <n v="1"/>
    <x v="0"/>
    <x v="570"/>
    <x v="840"/>
    <s v="Haugesund vs Bryne"/>
  </r>
  <r>
    <s v="Haugesund vs Bryne / Match Odds"/>
    <s v="Fulltbet"/>
    <x v="3108"/>
    <n v="-300.01"/>
    <n v="4.4999999999999998E-2"/>
    <n v="-300.01"/>
    <x v="3"/>
    <x v="7"/>
    <x v="126"/>
    <n v="300.01"/>
    <x v="220"/>
    <n v="0"/>
    <n v="-1"/>
    <n v="0"/>
    <x v="0"/>
    <x v="570"/>
    <x v="840"/>
    <s v="Haugesund vs Bryne"/>
  </r>
  <r>
    <s v="Haugesund vs Bryne / Match Odds"/>
    <s v="Betbra"/>
    <x v="3108"/>
    <n v="78.81"/>
    <n v="4.4999999999999998E-2"/>
    <n v="82.52356020942409"/>
    <x v="17"/>
    <x v="53"/>
    <x v="26"/>
    <n v="300"/>
    <x v="220"/>
    <n v="3.713560209424088"/>
    <n v="0.26269999999999999"/>
    <n v="1"/>
    <x v="0"/>
    <x v="570"/>
    <x v="840"/>
    <s v="Haugesund vs Bryne"/>
  </r>
  <r>
    <s v="Lech Poznan vs Cracovia Kraków / Correct Score"/>
    <s v="Fulltbet"/>
    <x v="3109"/>
    <n v="-5.36"/>
    <n v="4.4999999999999998E-2"/>
    <n v="-5.36"/>
    <x v="17"/>
    <x v="66"/>
    <x v="22"/>
    <n v="37.5"/>
    <x v="220"/>
    <n v="0"/>
    <n v="-0.14293333333333333"/>
    <n v="0"/>
    <x v="0"/>
    <x v="424"/>
    <x v="406"/>
    <s v="Lech Poznan vs Cracovia Kraków"/>
  </r>
  <r>
    <s v="Lech Poznan vs Cracovia Kraków / Match Odds"/>
    <s v="Fulltbet"/>
    <x v="3110"/>
    <n v="-61.03"/>
    <n v="4.4999999999999998E-2"/>
    <n v="-61.03"/>
    <x v="17"/>
    <x v="53"/>
    <x v="153"/>
    <n v="299.98"/>
    <x v="220"/>
    <n v="0"/>
    <n v="-0.20344689645976397"/>
    <n v="0"/>
    <x v="0"/>
    <x v="424"/>
    <x v="406"/>
    <s v="Lech Poznan vs Cracovia Kraków"/>
  </r>
  <r>
    <s v="Lech Poznan vs Cracovia Kraków / Match Odds"/>
    <s v="Betbra"/>
    <x v="3110"/>
    <n v="2.14"/>
    <n v="4.4999999999999998E-2"/>
    <n v="2.2408376963350789"/>
    <x v="20"/>
    <x v="76"/>
    <x v="116"/>
    <n v="100"/>
    <x v="220"/>
    <n v="0.10083769633507877"/>
    <n v="2.1400000000000002E-2"/>
    <n v="1"/>
    <x v="0"/>
    <x v="424"/>
    <x v="406"/>
    <s v="Lech Poznan vs Cracovia Kraków"/>
  </r>
  <r>
    <s v="Huachipato vs Cobresal / Both Teams To Score"/>
    <s v="Fulltbet"/>
    <x v="3111"/>
    <n v="4.1500000000000004"/>
    <n v="4.4999999999999998E-2"/>
    <n v="4.345549738219896"/>
    <x v="10"/>
    <x v="59"/>
    <x v="112"/>
    <n v="5"/>
    <x v="220"/>
    <n v="0.19554973821989563"/>
    <n v="0.83000000000000007"/>
    <n v="1"/>
    <x v="0"/>
    <x v="454"/>
    <x v="909"/>
    <s v="Huachipato vs Cobresal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</r>
  <r>
    <s v="Athlético Paranaense vs SC Internacional / Match Odds"/>
    <s v="Bolsa"/>
    <x v="3113"/>
    <n v="17.84"/>
    <n v="4.4999999999999998E-2"/>
    <n v="18.680628272251308"/>
    <x v="20"/>
    <x v="75"/>
    <x v="153"/>
    <n v="100"/>
    <x v="220"/>
    <n v="0.84062827225130832"/>
    <n v="0.1784"/>
    <n v="1"/>
    <x v="0"/>
    <x v="494"/>
    <x v="519"/>
    <s v="Athlético Paranaense vs SC Internacional"/>
  </r>
  <r>
    <s v="Athlético Paranaense vs SC Internacional / Correct Score"/>
    <s v="Bolsa"/>
    <x v="3113"/>
    <n v="31.82"/>
    <n v="4.4999999999999998E-2"/>
    <n v="33.319371727748695"/>
    <x v="16"/>
    <x v="64"/>
    <x v="72"/>
    <n v="100"/>
    <x v="220"/>
    <n v="1.4993717277486951"/>
    <n v="0.31819999999999998"/>
    <n v="1"/>
    <x v="0"/>
    <x v="494"/>
    <x v="519"/>
    <s v="Athlético Paranaense vs SC Internacional"/>
  </r>
  <r>
    <s v="Athlético Paranaense vs SC Internacional / Correct Score"/>
    <s v="Fulltbet"/>
    <x v="3114"/>
    <n v="-50"/>
    <n v="4.4999999999999998E-2"/>
    <n v="-50"/>
    <x v="17"/>
    <x v="66"/>
    <x v="36"/>
    <n v="50"/>
    <x v="220"/>
    <n v="0"/>
    <n v="-1"/>
    <n v="0"/>
    <x v="0"/>
    <x v="494"/>
    <x v="519"/>
    <s v="Athlético Paranaense vs SC Internacional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</r>
  <r>
    <s v="Athlético Paranaense vs SC Internacional / Match Odds"/>
    <s v="Fulltbet"/>
    <x v="3115"/>
    <n v="96.77"/>
    <n v="4.4999999999999998E-2"/>
    <n v="101.32984293193718"/>
    <x v="17"/>
    <x v="53"/>
    <x v="259"/>
    <n v="300"/>
    <x v="220"/>
    <n v="4.5598429319371832"/>
    <n v="0.32256666666666667"/>
    <n v="1"/>
    <x v="0"/>
    <x v="494"/>
    <x v="519"/>
    <s v="Athlético Paranaense vs SC Internacional"/>
  </r>
  <r>
    <s v="Santos FC vs Chapecoense / Match Odds"/>
    <s v="Fulltbet"/>
    <x v="3116"/>
    <n v="6.82"/>
    <n v="4.4999999999999998E-2"/>
    <n v="7.1413612565445028"/>
    <x v="20"/>
    <x v="76"/>
    <x v="31"/>
    <n v="100"/>
    <x v="220"/>
    <n v="0.32136125654450254"/>
    <n v="6.8199999999999997E-2"/>
    <n v="1"/>
    <x v="0"/>
    <x v="474"/>
    <x v="520"/>
    <s v="Santos FC vs Chapecoense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</r>
  <r>
    <s v="Huachipato vs Cobresal / Correct Score"/>
    <s v="Betbra"/>
    <x v="3117"/>
    <n v="-40.54"/>
    <n v="4.4999999999999998E-2"/>
    <n v="-40.54"/>
    <x v="17"/>
    <x v="66"/>
    <x v="19"/>
    <n v="40.54"/>
    <x v="220"/>
    <n v="0"/>
    <n v="-1"/>
    <n v="0"/>
    <x v="0"/>
    <x v="454"/>
    <x v="909"/>
    <s v="Huachipato vs Cobresal"/>
  </r>
  <r>
    <s v="Huachipato vs Cobresal / Match Odds"/>
    <s v="Betbra"/>
    <x v="3118"/>
    <n v="-40.520000000000003"/>
    <n v="4.4999999999999998E-2"/>
    <n v="-40.520000000000003"/>
    <x v="17"/>
    <x v="53"/>
    <x v="245"/>
    <n v="299.99"/>
    <x v="220"/>
    <n v="0"/>
    <n v="-0.13507116903896796"/>
    <n v="0"/>
    <x v="0"/>
    <x v="454"/>
    <x v="909"/>
    <s v="Huachipato vs Cobresal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</r>
  <r>
    <s v="CF Montreal vs Inter Miami CF / Total 0.5"/>
    <s v="Fulltbet"/>
    <x v="3122"/>
    <n v="0.5"/>
    <n v="4.4999999999999998E-2"/>
    <n v="0.52356020942408377"/>
    <x v="10"/>
    <x v="49"/>
    <x v="268"/>
    <n v="10"/>
    <x v="220"/>
    <n v="2.3560209424083767E-2"/>
    <n v="0.05"/>
    <n v="1"/>
    <x v="0"/>
    <x v="629"/>
    <x v="533"/>
    <s v="CF Montreal vs Inter Miami CF"/>
  </r>
  <r>
    <s v="Philadelphia Union vs Seattle Sounders / Match Odds"/>
    <s v="Fulltbet"/>
    <x v="3123"/>
    <n v="3.28"/>
    <n v="4.4999999999999998E-2"/>
    <n v="3.4345549738219896"/>
    <x v="10"/>
    <x v="38"/>
    <x v="200"/>
    <n v="120.05"/>
    <x v="220"/>
    <n v="0.15455497382198979"/>
    <n v="2.7321949187838399E-2"/>
    <n v="1"/>
    <x v="0"/>
    <x v="973"/>
    <x v="1033"/>
    <s v="Philadelphia Union vs Seattle Sounders"/>
  </r>
  <r>
    <s v="New England Revolution vs Atlanta United FC / Correct Score"/>
    <s v="Fulltbet"/>
    <x v="3124"/>
    <n v="-42.86"/>
    <n v="4.4999999999999998E-2"/>
    <n v="-42.86"/>
    <x v="17"/>
    <x v="66"/>
    <x v="9"/>
    <n v="42.86"/>
    <x v="220"/>
    <n v="0"/>
    <n v="-1"/>
    <n v="0"/>
    <x v="0"/>
    <x v="587"/>
    <x v="769"/>
    <s v="New England Revolution vs Atlanta United FC"/>
  </r>
  <r>
    <s v="New England Revolution vs Atlanta United FC / Match Odds"/>
    <s v="Fulltbet"/>
    <x v="3125"/>
    <n v="58.46"/>
    <n v="4.4999999999999998E-2"/>
    <n v="61.214659685863879"/>
    <x v="17"/>
    <x v="53"/>
    <x v="122"/>
    <n v="299.99"/>
    <x v="220"/>
    <n v="2.7546596858638779"/>
    <n v="0.19487316243874794"/>
    <n v="1"/>
    <x v="0"/>
    <x v="587"/>
    <x v="769"/>
    <s v="New England Revolution vs Atlanta United FC"/>
  </r>
  <r>
    <s v="DC United vs Toronto FC / Match Odds"/>
    <s v="Fulltbet"/>
    <x v="3126"/>
    <n v="9.17"/>
    <n v="4.4999999999999998E-2"/>
    <n v="9.6020942408376975"/>
    <x v="10"/>
    <x v="38"/>
    <x v="373"/>
    <n v="117.98"/>
    <x v="220"/>
    <n v="0.43209424083769754"/>
    <n v="7.7725038142057973E-2"/>
    <n v="1"/>
    <x v="0"/>
    <x v="686"/>
    <x v="821"/>
    <s v="DC United vs Toronto FC"/>
  </r>
  <r>
    <s v="CF Montreal vs Inter Miami CF / Correct Score"/>
    <s v="Fulltbet"/>
    <x v="3127"/>
    <n v="5.83"/>
    <n v="4.4999999999999998E-2"/>
    <n v="6.1047120418848166"/>
    <x v="10"/>
    <x v="60"/>
    <x v="33"/>
    <n v="50.02"/>
    <x v="220"/>
    <n v="0.27471204188481657"/>
    <n v="0.11655337864854058"/>
    <n v="1"/>
    <x v="0"/>
    <x v="629"/>
    <x v="533"/>
    <s v="CF Montreal vs Inter Miami CF"/>
  </r>
  <r>
    <s v="Universidad Católica vs La Serena / Correct Score"/>
    <s v="Fulltbet"/>
    <x v="3128"/>
    <n v="-31.58"/>
    <n v="4.4999999999999998E-2"/>
    <n v="-31.58"/>
    <x v="17"/>
    <x v="66"/>
    <x v="14"/>
    <n v="31.58"/>
    <x v="220"/>
    <n v="0"/>
    <n v="-1"/>
    <n v="0"/>
    <x v="0"/>
    <x v="483"/>
    <x v="1034"/>
    <s v="Universidad Católica vs La Serena"/>
  </r>
  <r>
    <s v="Universidad Católica vs La Serena / Match Odds"/>
    <s v="Fulltbet"/>
    <x v="3129"/>
    <n v="40.22"/>
    <n v="4.4999999999999998E-2"/>
    <n v="42.1151832460733"/>
    <x v="17"/>
    <x v="53"/>
    <x v="126"/>
    <n v="300.01"/>
    <x v="220"/>
    <n v="1.8951832460733016"/>
    <n v="0.13406219792673577"/>
    <n v="1"/>
    <x v="0"/>
    <x v="483"/>
    <x v="1034"/>
    <s v="Universidad Católica vs La Serena"/>
  </r>
  <r>
    <s v="Universidad Católica vs La Serena / Match Odds"/>
    <s v="Betbra"/>
    <x v="3129"/>
    <n v="8.3800000000000008"/>
    <n v="4.4999999999999998E-2"/>
    <n v="8.7748691099476446"/>
    <x v="20"/>
    <x v="76"/>
    <x v="37"/>
    <n v="100.01"/>
    <x v="220"/>
    <n v="0.39486910994764379"/>
    <n v="8.3791620837916206E-2"/>
    <n v="1"/>
    <x v="0"/>
    <x v="483"/>
    <x v="1034"/>
    <s v="Universidad Católica vs La Serena"/>
  </r>
  <r>
    <s v="Minnesota United vs Vancouver Whitecaps / Correct Score"/>
    <s v="Fulltbet"/>
    <x v="3130"/>
    <n v="5.97"/>
    <n v="4.4999999999999998E-2"/>
    <n v="6.2513089005235605"/>
    <x v="10"/>
    <x v="60"/>
    <x v="38"/>
    <n v="47.5"/>
    <x v="220"/>
    <n v="0.28130890052356072"/>
    <n v="0.12568421052631579"/>
    <n v="1"/>
    <x v="0"/>
    <x v="499"/>
    <x v="624"/>
    <s v="Minnesota United vs Vancouver Whitecaps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</r>
  <r>
    <s v="Saint Louis City SC vs Colorado Rapids / Correct Score"/>
    <s v="Betbra"/>
    <x v="3131"/>
    <n v="17.670000000000002"/>
    <n v="4.4999999999999998E-2"/>
    <n v="18.502617801047123"/>
    <x v="15"/>
    <x v="5"/>
    <x v="27"/>
    <n v="299.87"/>
    <x v="220"/>
    <n v="0.83261780104712102"/>
    <n v="5.8925534398239242E-2"/>
    <n v="1"/>
    <x v="0"/>
    <x v="689"/>
    <x v="622"/>
    <s v="Saint Louis City SC vs Colorado Rapids"/>
  </r>
  <r>
    <s v="San Diego FC vs FC Dallas / Match Odds"/>
    <s v="Fulltbet"/>
    <x v="3132"/>
    <n v="2.7504"/>
    <n v="4.4999999999999998E-2"/>
    <n v="2.88"/>
    <x v="10"/>
    <x v="37"/>
    <x v="122"/>
    <n v="30.01"/>
    <x v="221"/>
    <n v="0.12959999999999994"/>
    <n v="9.1649450183272238E-2"/>
    <n v="1"/>
    <x v="0"/>
    <x v="588"/>
    <x v="621"/>
    <s v="San Diego FC vs FC Dallas"/>
  </r>
  <r>
    <s v="San Diego FC vs FC Dallas / Match Odds"/>
    <s v="Fulltbet"/>
    <x v="3132"/>
    <n v="4.5839999999999996"/>
    <n v="4.4999999999999998E-2"/>
    <n v="4.8"/>
    <x v="10"/>
    <x v="38"/>
    <x v="35"/>
    <n v="129.6"/>
    <x v="221"/>
    <n v="0.21600000000000019"/>
    <n v="3.5370370370370371E-2"/>
    <n v="1"/>
    <x v="0"/>
    <x v="588"/>
    <x v="621"/>
    <s v="San Diego FC vs FC Dallas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</r>
  <r>
    <s v="San Jose Earthquakes vs Los Angeles Galaxy / Correct Score"/>
    <s v="Fulltbet"/>
    <x v="3134"/>
    <n v="14.46"/>
    <n v="4.4999999999999998E-2"/>
    <n v="15.141361256544505"/>
    <x v="15"/>
    <x v="5"/>
    <x v="4"/>
    <n v="317.94"/>
    <x v="221"/>
    <n v="0.68136125654450375"/>
    <n v="4.5480279297980757E-2"/>
    <n v="1"/>
    <x v="0"/>
    <x v="515"/>
    <x v="771"/>
    <s v="San Jose Earthquakes vs Los Angeles Galaxy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</r>
  <r>
    <s v="GIF Sundsvall vs Falkenbergs FF / Both Teams To Score"/>
    <s v="Fulltbet"/>
    <x v="3135"/>
    <n v="3.36"/>
    <n v="4.4999999999999998E-2"/>
    <n v="3.5183246073298431"/>
    <x v="10"/>
    <x v="59"/>
    <x v="58"/>
    <n v="5"/>
    <x v="221"/>
    <n v="0.15832460732984321"/>
    <n v="0.67199999999999993"/>
    <n v="1"/>
    <x v="0"/>
    <x v="800"/>
    <x v="655"/>
    <s v="GIF Sundsvall vs Falkenbergs FF"/>
  </r>
  <r>
    <s v="Shandong Taishan vs Henan Songshan Longmen / Total 2.5"/>
    <s v="Fulltbet"/>
    <x v="3136"/>
    <n v="0.75"/>
    <n v="4.4999999999999998E-2"/>
    <n v="0.78534031413612571"/>
    <x v="10"/>
    <x v="70"/>
    <x v="225"/>
    <n v="2"/>
    <x v="221"/>
    <n v="3.5340314136125706E-2"/>
    <n v="0.375"/>
    <n v="1"/>
    <x v="0"/>
    <x v="566"/>
    <x v="658"/>
    <s v="Shandong Taishan vs Henan Songshan Longmen"/>
  </r>
  <r>
    <s v="IK Sirius vs IFK Göteborg / Match Odds"/>
    <s v="Bolsa"/>
    <x v="3137"/>
    <n v="10.61"/>
    <n v="4.4999999999999998E-2"/>
    <n v="11.109947643979057"/>
    <x v="20"/>
    <x v="76"/>
    <x v="25"/>
    <n v="100.01"/>
    <x v="221"/>
    <n v="0.49994764397905733"/>
    <n v="0.10608939106089391"/>
    <n v="1"/>
    <x v="0"/>
    <x v="496"/>
    <x v="989"/>
    <s v="IK Sirius vs IFK Göteborg"/>
  </r>
  <r>
    <s v="IF Brommapojkarna vs Hammarby IF / Correct Score"/>
    <s v="Fulltbet"/>
    <x v="3138"/>
    <n v="23.88"/>
    <n v="4.4999999999999998E-2"/>
    <n v="25.005235602094242"/>
    <x v="19"/>
    <x v="6"/>
    <x v="10"/>
    <n v="400"/>
    <x v="221"/>
    <n v="1.1252356020942429"/>
    <n v="5.9699999999999996E-2"/>
    <n v="1"/>
    <x v="0"/>
    <x v="717"/>
    <x v="795"/>
    <s v="IF Brommapojkarna vs Hammarby IF"/>
  </r>
  <r>
    <s v="IK Sirius vs IFK Göteborg / Correct Score"/>
    <s v="Fulltbet"/>
    <x v="3138"/>
    <n v="8.17"/>
    <n v="4.4999999999999998E-2"/>
    <n v="8.5549738219895293"/>
    <x v="15"/>
    <x v="5"/>
    <x v="178"/>
    <n v="333.45"/>
    <x v="221"/>
    <n v="0.38497382198952934"/>
    <n v="2.4501424501424503E-2"/>
    <n v="1"/>
    <x v="0"/>
    <x v="496"/>
    <x v="989"/>
    <s v="IK Sirius vs IFK Göteborg"/>
  </r>
  <r>
    <s v="IK Sirius vs IFK Göteborg / Correct Score"/>
    <s v="Betbra"/>
    <x v="3138"/>
    <n v="-27.27"/>
    <n v="4.4999999999999998E-2"/>
    <n v="-27.27"/>
    <x v="17"/>
    <x v="66"/>
    <x v="2"/>
    <n v="27.27"/>
    <x v="221"/>
    <n v="0"/>
    <n v="-1"/>
    <n v="0"/>
    <x v="0"/>
    <x v="496"/>
    <x v="989"/>
    <s v="IK Sirius vs IFK Göteborg"/>
  </r>
  <r>
    <s v="IK Sirius vs IFK Göteborg / Match Odds"/>
    <s v="Fulltbet"/>
    <x v="3139"/>
    <n v="57.73"/>
    <n v="4.4999999999999998E-2"/>
    <n v="60.450261780104711"/>
    <x v="3"/>
    <x v="7"/>
    <x v="374"/>
    <n v="330.01"/>
    <x v="221"/>
    <n v="2.720261780104714"/>
    <n v="0.17493409290627557"/>
    <n v="1"/>
    <x v="0"/>
    <x v="496"/>
    <x v="989"/>
    <s v="IK Sirius vs IFK Göteborg"/>
  </r>
  <r>
    <s v="IK Sirius vs IFK Göteborg / Match Odds"/>
    <s v="Betbra"/>
    <x v="3139"/>
    <n v="47.28"/>
    <n v="4.4999999999999998E-2"/>
    <n v="49.507853403141361"/>
    <x v="17"/>
    <x v="53"/>
    <x v="128"/>
    <n v="300.01"/>
    <x v="221"/>
    <n v="2.2278534031413599"/>
    <n v="0.15759474684177194"/>
    <n v="1"/>
    <x v="0"/>
    <x v="496"/>
    <x v="989"/>
    <s v="IK Sirius vs IFK Göteborg"/>
  </r>
  <r>
    <s v="FC Inter Turku vs IF Gnistan / Correct Score"/>
    <s v="Fulltbet"/>
    <x v="3140"/>
    <n v="21.99"/>
    <n v="4.4999999999999998E-2"/>
    <n v="23.026178010471202"/>
    <x v="19"/>
    <x v="5"/>
    <x v="10"/>
    <n v="368.48"/>
    <x v="221"/>
    <n v="1.0361780104712039"/>
    <n v="5.9677594442032127E-2"/>
    <n v="1"/>
    <x v="0"/>
    <x v="856"/>
    <x v="1035"/>
    <s v="FC Inter Turku vs IF Gnistan"/>
  </r>
  <r>
    <s v="Brann vs Vålerenga / Correct Score"/>
    <s v="Fulltbet"/>
    <x v="3141"/>
    <n v="-30"/>
    <n v="4.4999999999999998E-2"/>
    <n v="-30"/>
    <x v="17"/>
    <x v="66"/>
    <x v="31"/>
    <n v="30"/>
    <x v="221"/>
    <n v="0"/>
    <n v="-1"/>
    <n v="0"/>
    <x v="0"/>
    <x v="938"/>
    <x v="650"/>
    <s v="Brann vs Vålerenga"/>
  </r>
  <r>
    <s v="Brann vs Vålerenga / Match Odds"/>
    <s v="Fulltbet"/>
    <x v="3142"/>
    <n v="23.91"/>
    <n v="4.4999999999999998E-2"/>
    <n v="25.036649214659686"/>
    <x v="17"/>
    <x v="53"/>
    <x v="26"/>
    <n v="300"/>
    <x v="221"/>
    <n v="1.126649214659686"/>
    <n v="7.9700000000000007E-2"/>
    <n v="1"/>
    <x v="0"/>
    <x v="938"/>
    <x v="650"/>
    <s v="Brann vs Vålerenga"/>
  </r>
  <r>
    <s v="Brann vs Vålerenga / Match Odds"/>
    <s v="Betbra"/>
    <x v="3142"/>
    <n v="-198.8"/>
    <n v="4.4999999999999998E-2"/>
    <n v="-198.8"/>
    <x v="20"/>
    <x v="75"/>
    <x v="375"/>
    <n v="198.8"/>
    <x v="221"/>
    <n v="0"/>
    <n v="-1"/>
    <n v="0"/>
    <x v="0"/>
    <x v="938"/>
    <x v="650"/>
    <s v="Brann vs Vålerenga"/>
  </r>
  <r>
    <s v="GAIS vs Halmstads BK / Correct Score"/>
    <s v="Fulltbet"/>
    <x v="3143"/>
    <n v="23.88"/>
    <n v="4.4999999999999998E-2"/>
    <n v="25.005235602094242"/>
    <x v="19"/>
    <x v="5"/>
    <x v="30"/>
    <n v="425"/>
    <x v="221"/>
    <n v="1.1252356020942429"/>
    <n v="5.6188235294117643E-2"/>
    <n v="1"/>
    <x v="0"/>
    <x v="746"/>
    <x v="562"/>
    <s v="GAIS vs Halmstads BK"/>
  </r>
  <r>
    <s v="Malmö FF vs IF Elfsborg / Correct Score"/>
    <s v="Fulltbet"/>
    <x v="3144"/>
    <n v="18.57"/>
    <n v="4.4999999999999998E-2"/>
    <n v="19.445026178010473"/>
    <x v="15"/>
    <x v="5"/>
    <x v="21"/>
    <n v="349.92"/>
    <x v="221"/>
    <n v="0.87502617801047222"/>
    <n v="5.3069272976680383E-2"/>
    <n v="1"/>
    <x v="0"/>
    <x v="517"/>
    <x v="752"/>
    <s v="Malmö FF vs IF Elfsborg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</r>
  <r>
    <s v="Sarpsborg 08 vs Hamarkameratene / Match Odds"/>
    <s v="Bolsa"/>
    <x v="3147"/>
    <n v="81.849999999999994"/>
    <n v="4.4999999999999998E-2"/>
    <n v="85.706806282722511"/>
    <x v="17"/>
    <x v="53"/>
    <x v="153"/>
    <n v="299.98"/>
    <x v="221"/>
    <n v="3.8568062827225162"/>
    <n v="0.2728515234348956"/>
    <n v="1"/>
    <x v="0"/>
    <x v="939"/>
    <x v="750"/>
    <s v="Sarpsborg 08 vs Hamarkameratene"/>
  </r>
  <r>
    <s v="Sarpsborg 08 vs Hamarkameratene / Correct Score"/>
    <s v="Bolsa"/>
    <x v="3147"/>
    <n v="-34.880000000000003"/>
    <n v="4.4999999999999998E-2"/>
    <n v="-34.880000000000003"/>
    <x v="17"/>
    <x v="66"/>
    <x v="3"/>
    <n v="34.880000000000003"/>
    <x v="221"/>
    <n v="0"/>
    <n v="-1"/>
    <n v="0"/>
    <x v="0"/>
    <x v="939"/>
    <x v="750"/>
    <s v="Sarpsborg 08 vs Hamarkameratene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</r>
  <r>
    <s v="Sarpsborg 08 vs Hamarkameratene / Match Odds"/>
    <s v="Fulltbet"/>
    <x v="3150"/>
    <n v="12.96"/>
    <n v="4.4999999999999998E-2"/>
    <n v="13.570680628272253"/>
    <x v="20"/>
    <x v="75"/>
    <x v="174"/>
    <n v="100"/>
    <x v="221"/>
    <n v="0.61068062827225233"/>
    <n v="0.12960000000000002"/>
    <n v="1"/>
    <x v="0"/>
    <x v="939"/>
    <x v="750"/>
    <s v="Sarpsborg 08 vs Hamarkameratene"/>
  </r>
  <r>
    <s v="Aalesunds FK vs Viking FK / Both Teams To Score"/>
    <s v="Fulltbet"/>
    <x v="3151"/>
    <n v="1.22"/>
    <n v="4.4999999999999998E-2"/>
    <n v="1.2774869109947644"/>
    <x v="10"/>
    <x v="51"/>
    <x v="130"/>
    <n v="2"/>
    <x v="221"/>
    <n v="5.748691099476444E-2"/>
    <n v="0.61"/>
    <n v="1"/>
    <x v="0"/>
    <x v="543"/>
    <x v="827"/>
    <s v="Aalesunds FK vs Viking FK"/>
  </r>
  <r>
    <s v="Cruzeiro vs Botafogo FR / Total 0.5"/>
    <s v="Fulltbet"/>
    <x v="3152"/>
    <n v="0.96"/>
    <n v="4.4999999999999998E-2"/>
    <n v="1.0052356020942408"/>
    <x v="10"/>
    <x v="49"/>
    <x v="279"/>
    <n v="10"/>
    <x v="221"/>
    <n v="4.5235602094240823E-2"/>
    <n v="9.6000000000000002E-2"/>
    <n v="1"/>
    <x v="0"/>
    <x v="482"/>
    <x v="397"/>
    <s v="Cruzeiro vs Botafogo FR"/>
  </r>
  <r>
    <s v="Esporte Clube Bahia vs Corinthians / Both Teams To Score"/>
    <s v="Fulltbet"/>
    <x v="3153"/>
    <n v="4.42"/>
    <n v="4.4999999999999998E-2"/>
    <n v="4.6282722513089007"/>
    <x v="10"/>
    <x v="59"/>
    <x v="101"/>
    <n v="5"/>
    <x v="221"/>
    <n v="0.20827225130890081"/>
    <n v="0.88400000000000001"/>
    <n v="1"/>
    <x v="0"/>
    <x v="366"/>
    <x v="524"/>
    <s v="Esporte Clube Bahia vs Corinthians"/>
  </r>
  <r>
    <s v="Cruzeiro vs Botafogo FR / Correct Score"/>
    <s v="Fulltbet"/>
    <x v="3154"/>
    <n v="-76.34"/>
    <n v="4.4999999999999998E-2"/>
    <n v="-76.34"/>
    <x v="19"/>
    <x v="5"/>
    <x v="8"/>
    <n v="300.04000000000002"/>
    <x v="221"/>
    <n v="0"/>
    <n v="-0.25443274230102653"/>
    <n v="0"/>
    <x v="0"/>
    <x v="482"/>
    <x v="397"/>
    <s v="Cruzeiro vs Botafogo FR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</r>
  <r>
    <s v="Criciúma EC vs Clube Náutico Capibaribe / Match Odds"/>
    <s v="Bolsa"/>
    <x v="3156"/>
    <n v="2.0299999999999998"/>
    <n v="4.4999999999999998E-2"/>
    <n v="2.1256544502617798"/>
    <x v="20"/>
    <x v="76"/>
    <x v="9"/>
    <n v="100.03"/>
    <x v="221"/>
    <n v="9.5654450261779989E-2"/>
    <n v="2.0293911826452061E-2"/>
    <n v="1"/>
    <x v="0"/>
    <x v="724"/>
    <x v="861"/>
    <s v="Criciúma EC vs Clube Náutico Capibaribe"/>
  </r>
  <r>
    <s v="Cruzeiro vs Botafogo FR / Both Teams To Score"/>
    <s v="Fulltbet"/>
    <x v="3155"/>
    <n v="-5"/>
    <n v="4.4999999999999998E-2"/>
    <n v="-5"/>
    <x v="10"/>
    <x v="59"/>
    <x v="57"/>
    <n v="5"/>
    <x v="221"/>
    <n v="0"/>
    <n v="-1"/>
    <n v="0"/>
    <x v="0"/>
    <x v="482"/>
    <x v="397"/>
    <s v="Cruzeiro vs Botafogo FR"/>
  </r>
  <r>
    <s v="Criciúma EC vs Clube Náutico Capibaribe / Correct Score"/>
    <s v="Fulltbet"/>
    <x v="3157"/>
    <n v="29.77"/>
    <n v="4.4999999999999998E-2"/>
    <n v="31.172774869109947"/>
    <x v="17"/>
    <x v="66"/>
    <x v="25"/>
    <n v="55.56"/>
    <x v="221"/>
    <n v="1.4027748691099475"/>
    <n v="0.53581713462922964"/>
    <n v="1"/>
    <x v="0"/>
    <x v="724"/>
    <x v="861"/>
    <s v="Criciúma EC vs Clube Náutico Capibaribe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</r>
  <r>
    <s v="Criciúma EC vs Clube Náutico Capibaribe / Match Odds"/>
    <s v="Fulltbet"/>
    <x v="3158"/>
    <n v="-98.89"/>
    <n v="4.4999999999999998E-2"/>
    <n v="-98.89"/>
    <x v="17"/>
    <x v="53"/>
    <x v="182"/>
    <n v="300"/>
    <x v="221"/>
    <n v="0"/>
    <n v="-0.32963333333333333"/>
    <n v="0"/>
    <x v="0"/>
    <x v="724"/>
    <x v="861"/>
    <s v="Criciúma EC vs Clube Náutico Capibaribe"/>
  </r>
  <r>
    <s v="Fram Reykjavik vs FH Hafnarfjördur / Correct Score"/>
    <s v="Fulltbet"/>
    <x v="3159"/>
    <n v="7.02"/>
    <n v="4.4999999999999998E-2"/>
    <n v="7.3507853403141361"/>
    <x v="17"/>
    <x v="66"/>
    <x v="8"/>
    <n v="23.08"/>
    <x v="221"/>
    <n v="0.33078534031413653"/>
    <n v="0.30415944540727902"/>
    <n v="1"/>
    <x v="0"/>
    <x v="900"/>
    <x v="808"/>
    <s v="Fram Reykjavik vs FH Hafnarfjördur"/>
  </r>
  <r>
    <s v="Fram Reykjavik vs FH Hafnarfjördur / Match Odds"/>
    <s v="Fulltbet"/>
    <x v="3160"/>
    <n v="-76.150000000000006"/>
    <n v="4.4999999999999998E-2"/>
    <n v="-76.150000000000006"/>
    <x v="17"/>
    <x v="53"/>
    <x v="224"/>
    <n v="300.01"/>
    <x v="221"/>
    <n v="0"/>
    <n v="-0.2538248725042499"/>
    <n v="0"/>
    <x v="0"/>
    <x v="900"/>
    <x v="808"/>
    <s v="Fram Reykjavik vs FH Hafnarfjördur"/>
  </r>
  <r>
    <s v="Fram Reykjavik vs FH Hafnarfjördur / Match Odds"/>
    <s v="Betbra"/>
    <x v="3160"/>
    <n v="3.2"/>
    <n v="4.4999999999999998E-2"/>
    <n v="3.3507853403141366"/>
    <x v="20"/>
    <x v="76"/>
    <x v="126"/>
    <n v="100"/>
    <x v="221"/>
    <n v="0.15078534031413637"/>
    <n v="3.2000000000000001E-2"/>
    <n v="1"/>
    <x v="0"/>
    <x v="900"/>
    <x v="808"/>
    <s v="Fram Reykjavik vs FH Hafnarfjördur"/>
  </r>
  <r>
    <s v="Orense SC vs Independiente del Valle / Correct Score"/>
    <s v="Fulltbet"/>
    <x v="3161"/>
    <n v="21.41"/>
    <n v="4.4999999999999998E-2"/>
    <n v="22.418848167539267"/>
    <x v="15"/>
    <x v="6"/>
    <x v="27"/>
    <n v="369.93"/>
    <x v="221"/>
    <n v="1.0088481675392664"/>
    <n v="5.7875814343254131E-2"/>
    <n v="1"/>
    <x v="0"/>
    <x v="975"/>
    <x v="987"/>
    <s v="Orense SC vs Independiente del Valle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</r>
  <r>
    <s v="Flamengo vs São Paulo / Match Odds"/>
    <s v="Bolsa"/>
    <x v="3165"/>
    <n v="-299.99"/>
    <n v="4.4999999999999998E-2"/>
    <n v="-299.99"/>
    <x v="17"/>
    <x v="53"/>
    <x v="245"/>
    <n v="299.99"/>
    <x v="221"/>
    <n v="0"/>
    <n v="-1"/>
    <n v="0"/>
    <x v="0"/>
    <x v="486"/>
    <x v="534"/>
    <s v="Flamengo vs São Paulo"/>
  </r>
  <r>
    <s v="Flamengo vs São Paulo / Correct Score"/>
    <s v="Bolsa"/>
    <x v="3165"/>
    <n v="286.47000000000003"/>
    <n v="4.4999999999999998E-2"/>
    <n v="299.96858638743458"/>
    <x v="17"/>
    <x v="66"/>
    <x v="0"/>
    <n v="35.71"/>
    <x v="221"/>
    <n v="13.498586387434557"/>
    <n v="8.0221226547185669"/>
    <n v="1"/>
    <x v="0"/>
    <x v="486"/>
    <x v="534"/>
    <s v="Flamengo vs São Paulo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</r>
  <r>
    <s v="Flamengo vs São Paulo / Correct Score"/>
    <s v="Fulltbet"/>
    <x v="3167"/>
    <n v="13.790199999999999"/>
    <n v="4.4999999999999998E-2"/>
    <n v="14.44"/>
    <x v="15"/>
    <x v="5"/>
    <x v="35"/>
    <n v="389.88"/>
    <x v="221"/>
    <n v="0.64980000000000082"/>
    <n v="3.5370370370370365E-2"/>
    <n v="1"/>
    <x v="0"/>
    <x v="486"/>
    <x v="534"/>
    <s v="Flamengo vs São Paulo"/>
  </r>
  <r>
    <s v="Flamengo vs São Paulo / Correct Score"/>
    <s v="Fulltbet"/>
    <x v="3167"/>
    <n v="28.65"/>
    <n v="4.4999999999999998E-2"/>
    <n v="30"/>
    <x v="19"/>
    <x v="5"/>
    <x v="31"/>
    <n v="300"/>
    <x v="221"/>
    <n v="1.3500000000000014"/>
    <n v="9.5500000000000002E-2"/>
    <n v="1"/>
    <x v="0"/>
    <x v="486"/>
    <x v="534"/>
    <s v="Flamengo vs São Paulo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</r>
  <r>
    <s v="Flamengo vs São Paulo / Match Odds"/>
    <s v="Betbra"/>
    <x v="3168"/>
    <n v="9.74"/>
    <n v="4.4999999999999998E-2"/>
    <n v="10.198952879581153"/>
    <x v="20"/>
    <x v="76"/>
    <x v="38"/>
    <n v="100.02"/>
    <x v="221"/>
    <n v="0.45895287958115283"/>
    <n v="9.7380523895220963E-2"/>
    <n v="1"/>
    <x v="0"/>
    <x v="486"/>
    <x v="534"/>
    <s v="Flamengo vs São Paulo"/>
  </r>
  <r>
    <s v="Palmeiras vs Atlético Mineiro / Correct Score"/>
    <s v="Bolsa"/>
    <x v="3169"/>
    <n v="-100"/>
    <n v="4.4999999999999998E-2"/>
    <n v="-100"/>
    <x v="16"/>
    <x v="63"/>
    <x v="72"/>
    <n v="100"/>
    <x v="221"/>
    <n v="0"/>
    <n v="-1"/>
    <n v="0"/>
    <x v="0"/>
    <x v="475"/>
    <x v="833"/>
    <s v="Palmeiras vs Atlético Mineiro"/>
  </r>
  <r>
    <s v="Palmeiras vs Atlético Mineiro / Correct Score"/>
    <s v="Fulltbet"/>
    <x v="3170"/>
    <n v="-41.67"/>
    <n v="4.4999999999999998E-2"/>
    <n v="-41.67"/>
    <x v="17"/>
    <x v="66"/>
    <x v="37"/>
    <n v="41.67"/>
    <x v="221"/>
    <n v="0"/>
    <n v="-1"/>
    <n v="0"/>
    <x v="0"/>
    <x v="475"/>
    <x v="833"/>
    <s v="Palmeiras vs Atlético Mineiro"/>
  </r>
  <r>
    <s v="Palmeiras vs Atlético Mineiro / Correct Score"/>
    <s v="Betbra"/>
    <x v="3170"/>
    <n v="22.24"/>
    <n v="4.4999999999999998E-2"/>
    <n v="23.287958115183244"/>
    <x v="19"/>
    <x v="5"/>
    <x v="377"/>
    <n v="330.96999999999997"/>
    <x v="221"/>
    <n v="1.0479581151832456"/>
    <n v="6.7196422636492739E-2"/>
    <n v="1"/>
    <x v="0"/>
    <x v="475"/>
    <x v="833"/>
    <s v="Palmeiras vs Atlético Mineiro"/>
  </r>
  <r>
    <s v="Palmeiras vs Atlético Mineiro / Match Odds"/>
    <s v="Fulltbet"/>
    <x v="3171"/>
    <n v="-9.7899999999999991"/>
    <n v="4.4999999999999998E-2"/>
    <n v="-9.7899999999999991"/>
    <x v="17"/>
    <x v="53"/>
    <x v="240"/>
    <n v="299.99"/>
    <x v="221"/>
    <n v="0"/>
    <n v="-3.2634421147371577E-2"/>
    <n v="0"/>
    <x v="0"/>
    <x v="475"/>
    <x v="833"/>
    <s v="Palmeiras vs Atlético Mineiro"/>
  </r>
  <r>
    <s v="Palmeiras vs Atlético Mineiro / Match Odds"/>
    <s v="Betbra"/>
    <x v="3171"/>
    <n v="-200"/>
    <n v="4.4999999999999998E-2"/>
    <n v="-200"/>
    <x v="20"/>
    <x v="76"/>
    <x v="378"/>
    <n v="200"/>
    <x v="221"/>
    <n v="0"/>
    <n v="-1"/>
    <n v="0"/>
    <x v="0"/>
    <x v="475"/>
    <x v="833"/>
    <s v="Palmeiras vs Atlético Mineiro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</r>
  <r>
    <s v="Deportes Concepción vs O'Higgins / Match Odds"/>
    <s v="Fulltbet"/>
    <x v="3174"/>
    <n v="4.24"/>
    <n v="4.4999999999999998E-2"/>
    <n v="4.4397905759162306"/>
    <x v="10"/>
    <x v="38"/>
    <x v="35"/>
    <n v="119.88"/>
    <x v="221"/>
    <n v="0.1997905759162304"/>
    <n v="3.5368702035368703E-2"/>
    <n v="1"/>
    <x v="0"/>
    <x v="778"/>
    <x v="849"/>
    <s v="Deportes Concepción vs O'Higgins"/>
  </r>
  <r>
    <s v="BK Häcken vs AIK / Correct Score"/>
    <s v="Fulltbet"/>
    <x v="3175"/>
    <n v="16.239999999999998"/>
    <n v="4.4999999999999998E-2"/>
    <n v="17.005235602094238"/>
    <x v="15"/>
    <x v="5"/>
    <x v="379"/>
    <n v="400"/>
    <x v="222"/>
    <n v="0.76523560209423991"/>
    <n v="4.0599999999999997E-2"/>
    <n v="1"/>
    <x v="0"/>
    <x v="551"/>
    <x v="823"/>
    <s v="BK Häcken vs AIK"/>
  </r>
  <r>
    <s v="BK Häcken vs AIK / Match Odds"/>
    <s v="Fulltbet"/>
    <x v="3176"/>
    <n v="14.04"/>
    <n v="4.4999999999999998E-2"/>
    <n v="14.701570680628272"/>
    <x v="20"/>
    <x v="75"/>
    <x v="255"/>
    <n v="99.99"/>
    <x v="222"/>
    <n v="0.66157068062827307"/>
    <n v="0.14041404140414041"/>
    <n v="1"/>
    <x v="0"/>
    <x v="551"/>
    <x v="823"/>
    <s v="BK Häcken vs AIK"/>
  </r>
  <r>
    <s v="Rosenborg BK vs Fredrikstad / Match Odds"/>
    <s v="Fulltbet"/>
    <x v="3177"/>
    <n v="11.14"/>
    <n v="4.4999999999999998E-2"/>
    <n v="11.664921465968588"/>
    <x v="20"/>
    <x v="75"/>
    <x v="85"/>
    <n v="100.02"/>
    <x v="222"/>
    <n v="0.52492146596858724"/>
    <n v="0.11137772445510899"/>
    <n v="1"/>
    <x v="0"/>
    <x v="797"/>
    <x v="843"/>
    <s v="Rosenborg BK vs Fredrikstad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</r>
  <r>
    <s v="Breidablik vs ÍB Vestmannaeyja / Correct Score"/>
    <s v="Fulltbet"/>
    <x v="3180"/>
    <n v="31.83"/>
    <n v="4.4999999999999998E-2"/>
    <n v="33.329842931937172"/>
    <x v="19"/>
    <x v="5"/>
    <x v="23"/>
    <n v="349.97"/>
    <x v="222"/>
    <n v="1.4998429319371738"/>
    <n v="9.0950652913106819E-2"/>
    <n v="1"/>
    <x v="0"/>
    <x v="940"/>
    <x v="918"/>
    <s v="Breidablik vs ÍB Vestmannaeyja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</r>
  <r>
    <s v="Guayaquil City FC vs Universidad Católica del Ecuador / Correct Score"/>
    <s v="Fulltbet"/>
    <x v="3182"/>
    <n v="5.42"/>
    <n v="4.4999999999999998E-2"/>
    <n v="5.6753926701570681"/>
    <x v="10"/>
    <x v="60"/>
    <x v="89"/>
    <n v="49.98"/>
    <x v="222"/>
    <n v="0.25539267015706812"/>
    <n v="0.10844337735094038"/>
    <n v="1"/>
    <x v="0"/>
    <x v="978"/>
    <x v="599"/>
    <s v="Guayaquil City FC vs Universidad Católica del Ecuador"/>
  </r>
  <r>
    <s v="Sport Club do Recife vs Cuiabá EC / Total 0.5"/>
    <s v="Fulltbet"/>
    <x v="3183"/>
    <n v="7.46"/>
    <n v="4.4999999999999998E-2"/>
    <n v="7.8115183246073299"/>
    <x v="10"/>
    <x v="47"/>
    <x v="236"/>
    <n v="15"/>
    <x v="222"/>
    <n v="0.3515183246073299"/>
    <n v="0.49733333333333335"/>
    <n v="1"/>
    <x v="0"/>
    <x v="809"/>
    <x v="1004"/>
    <s v="Sport Club do Recife vs Cuiabá EC"/>
  </r>
  <r>
    <s v="Unión Española vs Deportes Recoleta / Both Teams To Score"/>
    <s v="Fulltbet"/>
    <x v="3184"/>
    <n v="3.39"/>
    <n v="4.4999999999999998E-2"/>
    <n v="3.5497382198952883"/>
    <x v="10"/>
    <x v="59"/>
    <x v="93"/>
    <n v="5"/>
    <x v="222"/>
    <n v="0.15973821989528814"/>
    <n v="0.67800000000000005"/>
    <n v="1"/>
    <x v="0"/>
    <x v="979"/>
    <x v="1039"/>
    <s v="Unión Española vs Deportes Recoleta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</r>
  <r>
    <s v="Sport Club do Recife vs Cuiabá EC / Match Odds"/>
    <s v="Fulltbet"/>
    <x v="3186"/>
    <n v="25.95"/>
    <n v="4.4999999999999998E-2"/>
    <n v="27.172774869109947"/>
    <x v="20"/>
    <x v="75"/>
    <x v="223"/>
    <n v="100.01"/>
    <x v="222"/>
    <n v="1.2227748691099478"/>
    <n v="0.25947405259474049"/>
    <n v="1"/>
    <x v="0"/>
    <x v="809"/>
    <x v="1004"/>
    <s v="Sport Club do Recife vs Cuiabá EC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</r>
  <r>
    <s v="Fortaleza EC vs Botafogo SP / Match Odds"/>
    <s v="Fulltbet"/>
    <x v="3189"/>
    <n v="21.36"/>
    <n v="4.4999999999999998E-2"/>
    <n v="22.366492146596858"/>
    <x v="20"/>
    <x v="78"/>
    <x v="230"/>
    <n v="100.02"/>
    <x v="223"/>
    <n v="1.0064921465968588"/>
    <n v="0.21355728854229156"/>
    <n v="1"/>
    <x v="0"/>
    <x v="771"/>
    <x v="872"/>
    <s v="Fortaleza EC vs Botafogo SP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</r>
  <r>
    <s v="Club Sportivo Luqueño vs Club Sportivo Trinidense / Total 0.5"/>
    <s v="Fulltbet"/>
    <x v="3192"/>
    <n v="18.149999999999999"/>
    <n v="4.4999999999999998E-2"/>
    <n v="19.005235602094242"/>
    <x v="28"/>
    <x v="87"/>
    <x v="238"/>
    <n v="50"/>
    <x v="224"/>
    <n v="0.85523560209424332"/>
    <n v="0.36299999999999999"/>
    <n v="1"/>
    <x v="0"/>
    <x v="982"/>
    <x v="1041"/>
    <s v="Club Sportivo Luqueño vs Club Sportivo Trinidense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</r>
  <r>
    <s v="Vasco da Gama vs Independiente Medellín / Total 0.5"/>
    <s v="Fulltbet"/>
    <x v="3194"/>
    <n v="9.74"/>
    <n v="4.4999999999999998E-2"/>
    <n v="10.198952879581153"/>
    <x v="10"/>
    <x v="47"/>
    <x v="48"/>
    <n v="20"/>
    <x v="224"/>
    <n v="0.45895287958115283"/>
    <n v="0.48699999999999999"/>
    <n v="1"/>
    <x v="0"/>
    <x v="477"/>
    <x v="1043"/>
    <s v="Vasco da Gama vs Independiente Medellín"/>
  </r>
  <r>
    <s v="Gimnasia y Esgrima La Plata vs River Plate / Total 0.5"/>
    <s v="Fulltbet"/>
    <x v="3195"/>
    <n v="19.579999999999998"/>
    <n v="4.4999999999999998E-2"/>
    <n v="20.502617801047119"/>
    <x v="28"/>
    <x v="87"/>
    <x v="171"/>
    <n v="50"/>
    <x v="224"/>
    <n v="0.92261780104712088"/>
    <n v="0.39159999999999995"/>
    <n v="1"/>
    <x v="0"/>
    <x v="984"/>
    <x v="1044"/>
    <s v="Gimnasia y Esgrima La Plata vs River Plate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</r>
  <r>
    <s v="SC Internacional vs Flamengo / Correct Score"/>
    <s v="Fulltbet"/>
    <x v="3197"/>
    <n v="29.36"/>
    <n v="4.4999999999999998E-2"/>
    <n v="30.7434554973822"/>
    <x v="15"/>
    <x v="6"/>
    <x v="17"/>
    <n v="414.99"/>
    <x v="224"/>
    <n v="1.3834554973822009"/>
    <n v="7.074869273958409E-2"/>
    <n v="1"/>
    <x v="0"/>
    <x v="89"/>
    <x v="536"/>
    <s v="SC Internacional vs Flamengo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</r>
  <r>
    <s v="Fluminense FC vs Esporte Clube Bahia / Both Teams To Score"/>
    <s v="Fulltbet"/>
    <x v="3198"/>
    <n v="-5"/>
    <n v="4.4999999999999998E-2"/>
    <n v="-5"/>
    <x v="10"/>
    <x v="59"/>
    <x v="102"/>
    <n v="5"/>
    <x v="224"/>
    <n v="0"/>
    <n v="-1"/>
    <n v="0"/>
    <x v="0"/>
    <x v="87"/>
    <x v="92"/>
    <s v="Fluminense FC vs Esporte Clube Bahia"/>
  </r>
  <r>
    <s v="Fluminense FC vs Esporte Clube Bahia / Match Odds"/>
    <s v="Fulltbet"/>
    <x v="3199"/>
    <n v="5.46"/>
    <n v="4.4999999999999998E-2"/>
    <n v="5.7172774869109952"/>
    <x v="20"/>
    <x v="71"/>
    <x v="224"/>
    <n v="100"/>
    <x v="224"/>
    <n v="0.25727748691099528"/>
    <n v="5.4600000000000003E-2"/>
    <n v="1"/>
    <x v="0"/>
    <x v="87"/>
    <x v="92"/>
    <s v="Fluminense FC vs Esporte Clube Bahia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</r>
  <r>
    <s v="Coritiba vs Cruzeiro / Total 0.5"/>
    <s v="Fulltbet"/>
    <x v="3201"/>
    <n v="17.38"/>
    <n v="4.4999999999999998E-2"/>
    <n v="18.198952879581153"/>
    <x v="28"/>
    <x v="88"/>
    <x v="236"/>
    <n v="35"/>
    <x v="225"/>
    <n v="0.81895287958115404"/>
    <n v="0.49657142857142855"/>
    <n v="1"/>
    <x v="0"/>
    <x v="957"/>
    <x v="584"/>
    <s v="Coritiba vs Cruzeiro"/>
  </r>
  <r>
    <s v="O'Higgins vs Boca Juniors / Total 0.5"/>
    <s v="Fulltbet"/>
    <x v="3202"/>
    <n v="9.74"/>
    <n v="4.4999999999999998E-2"/>
    <n v="10.198952879581153"/>
    <x v="10"/>
    <x v="47"/>
    <x v="48"/>
    <n v="20"/>
    <x v="225"/>
    <n v="0.45895287958115283"/>
    <n v="0.48699999999999999"/>
    <n v="1"/>
    <x v="0"/>
    <x v="714"/>
    <x v="1045"/>
    <s v="O'Higgins vs Boca Juniors"/>
  </r>
  <r>
    <s v="FC Arges Pitesti vs FC Csikszereda Miercurea Ciuc / Total 0.5"/>
    <s v="Fulltbet"/>
    <x v="3203"/>
    <n v="9.85"/>
    <n v="4.4999999999999998E-2"/>
    <n v="10.31413612565445"/>
    <x v="10"/>
    <x v="47"/>
    <x v="236"/>
    <n v="20"/>
    <x v="226"/>
    <n v="0.46413612565445028"/>
    <n v="0.49249999999999999"/>
    <n v="1"/>
    <x v="0"/>
    <x v="985"/>
    <x v="338"/>
    <s v="FC Arges Pitesti vs FC Csikszereda Miercurea Ciuc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</r>
  <r>
    <s v="IK Oddevold vs Norrby IF / Both Teams To Score"/>
    <s v="Fulltbet"/>
    <x v="3205"/>
    <n v="-5"/>
    <n v="4.4999999999999998E-2"/>
    <n v="-5"/>
    <x v="10"/>
    <x v="59"/>
    <x v="65"/>
    <n v="5"/>
    <x v="226"/>
    <n v="0"/>
    <n v="-1"/>
    <n v="0"/>
    <x v="0"/>
    <x v="731"/>
    <x v="895"/>
    <s v="IK Oddevold vs Norrby IF"/>
  </r>
  <r>
    <s v="IK Oddevold vs Norrby IF / Match Odds"/>
    <s v="Fulltbet"/>
    <x v="3206"/>
    <n v="7.9"/>
    <n v="4.4999999999999998E-2"/>
    <n v="8.2722513089005236"/>
    <x v="20"/>
    <x v="75"/>
    <x v="230"/>
    <n v="100.02"/>
    <x v="226"/>
    <n v="0.37225130890052327"/>
    <n v="7.8984203159368133E-2"/>
    <n v="1"/>
    <x v="0"/>
    <x v="731"/>
    <x v="895"/>
    <s v="IK Oddevold vs Norrby IF"/>
  </r>
  <r>
    <s v="Vålerenga vs Hamarkameratene / Correct Score"/>
    <s v="Fulltbet"/>
    <x v="3207"/>
    <n v="9.24"/>
    <n v="4.4999999999999998E-2"/>
    <n v="9.6753926701570681"/>
    <x v="15"/>
    <x v="5"/>
    <x v="66"/>
    <n v="300.08"/>
    <x v="226"/>
    <n v="0.43539267015706784"/>
    <n v="3.0791788856304989E-2"/>
    <n v="1"/>
    <x v="0"/>
    <x v="986"/>
    <x v="750"/>
    <s v="Vålerenga vs Hamarkameratene"/>
  </r>
  <r>
    <s v="Vålerenga vs Hamarkameratene / Match Odds"/>
    <s v="Fulltbet"/>
    <x v="3208"/>
    <n v="-153.77000000000001"/>
    <n v="4.4999999999999998E-2"/>
    <n v="-153.77000000000001"/>
    <x v="3"/>
    <x v="7"/>
    <x v="127"/>
    <n v="435.02"/>
    <x v="226"/>
    <n v="0"/>
    <n v="-0.35347800101144777"/>
    <n v="0"/>
    <x v="0"/>
    <x v="986"/>
    <x v="750"/>
    <s v="Vålerenga vs Hamarkameratene"/>
  </r>
  <r>
    <s v="Vålerenga vs Hamarkameratene / Match Odds"/>
    <s v="Betbra"/>
    <x v="3208"/>
    <n v="-36.75"/>
    <n v="4.4999999999999998E-2"/>
    <n v="-36.75"/>
    <x v="20"/>
    <x v="75"/>
    <x v="203"/>
    <n v="99.98"/>
    <x v="226"/>
    <n v="0"/>
    <n v="-0.36757351470294058"/>
    <n v="0"/>
    <x v="0"/>
    <x v="986"/>
    <x v="750"/>
    <s v="Vålerenga vs Hamarkameratene"/>
  </r>
  <r>
    <s v="Dundalk vs Sligo Rovers / Correct Score"/>
    <s v="Fulltbet"/>
    <x v="3209"/>
    <n v="36.29"/>
    <n v="4.4999999999999998E-2"/>
    <n v="38"/>
    <x v="19"/>
    <x v="5"/>
    <x v="31"/>
    <n v="380"/>
    <x v="226"/>
    <n v="1.7100000000000009"/>
    <n v="9.5500000000000002E-2"/>
    <n v="1"/>
    <x v="0"/>
    <x v="915"/>
    <x v="408"/>
    <s v="Dundalk vs Sligo Rovers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</r>
  <r>
    <s v="Fortaleza FC vs Deportivo Pereira / Total 0.5"/>
    <s v="Fulltbet"/>
    <x v="3211"/>
    <n v="-50"/>
    <n v="4.4999999999999998E-2"/>
    <n v="-50"/>
    <x v="28"/>
    <x v="88"/>
    <x v="251"/>
    <n v="50"/>
    <x v="226"/>
    <n v="0"/>
    <n v="-1"/>
    <n v="0"/>
    <x v="0"/>
    <x v="750"/>
    <x v="632"/>
    <s v="Fortaleza FC vs Deportivo Pereira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</r>
  <r>
    <s v="Östersunds FK vs Östers IF / Match Odds"/>
    <s v="Fulltbet"/>
    <x v="3213"/>
    <n v="16.27"/>
    <n v="4.4999999999999998E-2"/>
    <n v="17.036649214659686"/>
    <x v="20"/>
    <x v="75"/>
    <x v="261"/>
    <n v="124.98"/>
    <x v="227"/>
    <n v="0.76664921465968661"/>
    <n v="0.13018082893262922"/>
    <n v="1"/>
    <x v="0"/>
    <x v="615"/>
    <x v="842"/>
    <s v="Östersunds FK vs Östers IF"/>
  </r>
  <r>
    <s v="Östersunds FK vs Östers IF / Both Teams To Score"/>
    <s v="Fulltbet"/>
    <x v="3214"/>
    <n v="-5"/>
    <n v="4.4999999999999998E-2"/>
    <n v="-5"/>
    <x v="10"/>
    <x v="59"/>
    <x v="130"/>
    <n v="5"/>
    <x v="227"/>
    <n v="0"/>
    <n v="-1"/>
    <n v="0"/>
    <x v="0"/>
    <x v="615"/>
    <x v="842"/>
    <s v="Östersunds FK vs Östers IF"/>
  </r>
  <r>
    <s v="Shanghai Port vs Shandong Taishan / Total 2.5"/>
    <s v="Fulltbet"/>
    <x v="3215"/>
    <n v="-2"/>
    <n v="4.4999999999999998E-2"/>
    <n v="-2"/>
    <x v="10"/>
    <x v="70"/>
    <x v="217"/>
    <n v="2"/>
    <x v="227"/>
    <n v="0"/>
    <n v="-1"/>
    <n v="0"/>
    <x v="0"/>
    <x v="530"/>
    <x v="853"/>
    <s v="Shanghai Port vs Shandong Taishan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</r>
  <r>
    <s v="TPS vs IFK Mariehamn / Match Odds"/>
    <s v="Fulltbet"/>
    <x v="3217"/>
    <n v="79.89"/>
    <n v="4.4999999999999998E-2"/>
    <n v="83.654450261780113"/>
    <x v="3"/>
    <x v="7"/>
    <x v="116"/>
    <n v="434.98"/>
    <x v="227"/>
    <n v="3.7644502617801123"/>
    <n v="0.18366361671801001"/>
    <n v="1"/>
    <x v="0"/>
    <x v="601"/>
    <x v="941"/>
    <s v="TPS vs IFK Mariehamn"/>
  </r>
  <r>
    <s v="Chengdu Rongcheng vs Wuhan Three Towns / Match Odds"/>
    <s v="Fulltbet"/>
    <x v="3218"/>
    <n v="61.09"/>
    <n v="4.4999999999999998E-2"/>
    <n v="63.968586387434563"/>
    <x v="3"/>
    <x v="7"/>
    <x v="44"/>
    <n v="435"/>
    <x v="227"/>
    <n v="2.8785863874345594"/>
    <n v="0.1404367816091954"/>
    <n v="1"/>
    <x v="0"/>
    <x v="529"/>
    <x v="579"/>
    <s v="Chengdu Rongcheng vs Wuhan Three Towns"/>
  </r>
  <r>
    <s v="Varbergs BoIS vs Falkenbergs FF / Both Teams To Score"/>
    <s v="Fulltbet"/>
    <x v="3219"/>
    <n v="3.02"/>
    <n v="4.4999999999999998E-2"/>
    <n v="3.162303664921466"/>
    <x v="10"/>
    <x v="59"/>
    <x v="104"/>
    <n v="5"/>
    <x v="227"/>
    <n v="0.14230366492146596"/>
    <n v="0.60399999999999998"/>
    <n v="1"/>
    <x v="0"/>
    <x v="848"/>
    <x v="655"/>
    <s v="Varbergs BoIS vs Falkenbergs FF"/>
  </r>
  <r>
    <s v="Sandvikens IF vs GIF Sundsvall / Match Odds"/>
    <s v="Fulltbet"/>
    <x v="3220"/>
    <n v="17.14"/>
    <n v="4.4999999999999998E-2"/>
    <n v="17.947643979057592"/>
    <x v="20"/>
    <x v="75"/>
    <x v="261"/>
    <n v="124.98"/>
    <x v="227"/>
    <n v="0.80764397905759111"/>
    <n v="0.13714194271083374"/>
    <n v="1"/>
    <x v="0"/>
    <x v="987"/>
    <x v="1046"/>
    <s v="Sandvikens IF vs GIF Sundsvall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</r>
  <r>
    <s v="ÍB Vestmannaeyja vs Fram Reykjavik / Correct Score"/>
    <s v="Fulltbet"/>
    <x v="3222"/>
    <n v="14.9"/>
    <n v="4.4999999999999998E-2"/>
    <n v="15.602094240837697"/>
    <x v="15"/>
    <x v="6"/>
    <x v="117"/>
    <n v="390"/>
    <x v="227"/>
    <n v="0.70209424083769711"/>
    <n v="3.8205128205128204E-2"/>
    <n v="1"/>
    <x v="0"/>
    <x v="899"/>
    <x v="972"/>
    <s v="ÍB Vestmannaeyja vs Fram Reykjavik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</r>
  <r>
    <s v="IFK Norrköping vs Helsingborgs IF / Match Odds"/>
    <s v="Fulltbet"/>
    <x v="3224"/>
    <n v="17.059999999999999"/>
    <n v="4.4999999999999998E-2"/>
    <n v="17.863874345549739"/>
    <x v="20"/>
    <x v="75"/>
    <x v="126"/>
    <n v="124.99"/>
    <x v="227"/>
    <n v="0.80387434554974035"/>
    <n v="0.13649091927354187"/>
    <n v="1"/>
    <x v="0"/>
    <x v="556"/>
    <x v="930"/>
    <s v="IFK Norrköping vs Helsingborgs IF"/>
  </r>
  <r>
    <s v="Atlético Grau vs Sport Boys / Total 2.5"/>
    <s v="Fulltbet"/>
    <x v="3225"/>
    <n v="-2"/>
    <n v="4.4999999999999998E-2"/>
    <n v="-2"/>
    <x v="10"/>
    <x v="70"/>
    <x v="139"/>
    <n v="2"/>
    <x v="227"/>
    <n v="0"/>
    <n v="-1"/>
    <n v="0"/>
    <x v="0"/>
    <x v="444"/>
    <x v="1047"/>
    <s v="Atlético Grau vs Sport Boys"/>
  </r>
  <r>
    <s v="San Antonio vs Blooming Santa Cruz / Both Teams To Score"/>
    <s v="Fulltbet"/>
    <x v="3226"/>
    <n v="-5"/>
    <n v="4.4999999999999998E-2"/>
    <n v="-5"/>
    <x v="10"/>
    <x v="59"/>
    <x v="198"/>
    <n v="5"/>
    <x v="227"/>
    <n v="0"/>
    <n v="-1"/>
    <n v="0"/>
    <x v="0"/>
    <x v="101"/>
    <x v="26"/>
    <s v="San Antonio vs Blooming Santa Cruz"/>
  </r>
  <r>
    <s v="Loudoun United FC vs Hartford Athletic FC / Match Odds"/>
    <s v="Fulltbet"/>
    <x v="3227"/>
    <n v="8.49"/>
    <n v="4.4999999999999998E-2"/>
    <n v="8.8900523560209432"/>
    <x v="10"/>
    <x v="38"/>
    <x v="17"/>
    <n v="120.02"/>
    <x v="227"/>
    <n v="0.40005235602094302"/>
    <n v="7.073821029828363E-2"/>
    <n v="1"/>
    <x v="0"/>
    <x v="924"/>
    <x v="911"/>
    <s v="Loudoun United FC vs Hartford Athletic FC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</r>
  <r>
    <s v="New York Red Bulls vs Orlando City / Match Odds"/>
    <s v="Fulltbet"/>
    <x v="3229"/>
    <n v="0.78"/>
    <n v="4.4999999999999998E-2"/>
    <n v="0.81675392670157076"/>
    <x v="10"/>
    <x v="37"/>
    <x v="182"/>
    <n v="30.02"/>
    <x v="227"/>
    <n v="3.6753926701570738E-2"/>
    <n v="2.5982678214523651E-2"/>
    <n v="1"/>
    <x v="0"/>
    <x v="586"/>
    <x v="674"/>
    <s v="New York Red Bulls vs Orlando City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</r>
  <r>
    <s v="Inter Miami CF vs Columbus Crew / Correct Score"/>
    <s v="Fulltbet"/>
    <x v="3231"/>
    <n v="11.33"/>
    <n v="4.4999999999999998E-2"/>
    <n v="11.863874345549739"/>
    <x v="15"/>
    <x v="5"/>
    <x v="200"/>
    <n v="415.1"/>
    <x v="227"/>
    <n v="0.533874345549739"/>
    <n v="2.7294627800529991E-2"/>
    <n v="1"/>
    <x v="0"/>
    <x v="725"/>
    <x v="1048"/>
    <s v="Inter Miami CF vs Columbus Crew"/>
  </r>
  <r>
    <s v="Alianza Lima vs Alianza Atletico / Correct Score"/>
    <s v="Fulltbet"/>
    <x v="3232"/>
    <n v="12.33"/>
    <n v="4.4999999999999998E-2"/>
    <n v="12.910994764397905"/>
    <x v="15"/>
    <x v="5"/>
    <x v="176"/>
    <n v="426.03"/>
    <x v="228"/>
    <n v="0.58099476439790543"/>
    <n v="2.8941623829307796E-2"/>
    <n v="1"/>
    <x v="0"/>
    <x v="635"/>
    <x v="868"/>
    <s v="Alianza Lima vs Alianza Atletico"/>
  </r>
  <r>
    <s v="Los Angeles Galaxy vs FC Dallas / Total 0.5"/>
    <s v="Fulltbet"/>
    <x v="3233"/>
    <n v="-10"/>
    <n v="4.4999999999999998E-2"/>
    <n v="-10"/>
    <x v="10"/>
    <x v="49"/>
    <x v="237"/>
    <n v="10"/>
    <x v="228"/>
    <n v="0"/>
    <n v="-1"/>
    <n v="0"/>
    <x v="0"/>
    <x v="547"/>
    <x v="621"/>
    <s v="Los Angeles Galaxy vs FC Dallas"/>
  </r>
  <r>
    <s v="Los Angeles Galaxy vs FC Dallas / Match Odds"/>
    <s v="Fulltbet"/>
    <x v="3234"/>
    <n v="-15.36"/>
    <n v="4.4999999999999998E-2"/>
    <n v="-15.36"/>
    <x v="10"/>
    <x v="37"/>
    <x v="146"/>
    <n v="30.01"/>
    <x v="228"/>
    <n v="0"/>
    <n v="-0.51182939020326557"/>
    <n v="0"/>
    <x v="0"/>
    <x v="547"/>
    <x v="621"/>
    <s v="Los Angeles Galaxy vs FC Dallas"/>
  </r>
  <r>
    <s v="Qingdao West Coast vs Qingdao Hainiu / Both Teams To Score"/>
    <s v="Fulltbet"/>
    <x v="3235"/>
    <n v="-5"/>
    <n v="4.4999999999999998E-2"/>
    <n v="-5"/>
    <x v="10"/>
    <x v="59"/>
    <x v="54"/>
    <n v="5"/>
    <x v="228"/>
    <n v="0"/>
    <n v="-1"/>
    <n v="0"/>
    <x v="0"/>
    <x v="645"/>
    <x v="788"/>
    <s v="Qingdao West Coast vs Qingdao Hainiu"/>
  </r>
  <r>
    <s v="Shenzhen Peng City vs Chongqing Tonglianglong / Total 0.5"/>
    <s v="Fulltbet"/>
    <x v="3236"/>
    <n v="9.93"/>
    <n v="4.4999999999999998E-2"/>
    <n v="10.397905759162304"/>
    <x v="10"/>
    <x v="47"/>
    <x v="236"/>
    <n v="20"/>
    <x v="228"/>
    <n v="0.46790575916230459"/>
    <n v="0.4965"/>
    <n v="1"/>
    <x v="0"/>
    <x v="917"/>
    <x v="746"/>
    <s v="Shenzhen Peng City vs Chongqing Tonglianglong"/>
  </r>
  <r>
    <s v="IFK Göteborg vs Degerfors IF / Match Odds"/>
    <s v="Fulltbet"/>
    <x v="3237"/>
    <n v="4.24"/>
    <n v="4.4999999999999998E-2"/>
    <n v="4.4397905759162306"/>
    <x v="10"/>
    <x v="38"/>
    <x v="381"/>
    <n v="124.67"/>
    <x v="228"/>
    <n v="0.1997905759162304"/>
    <n v="3.4009785834603352E-2"/>
    <n v="1"/>
    <x v="0"/>
    <x v="929"/>
    <x v="812"/>
    <s v="IFK Göteborg vs Degerfors IF"/>
  </r>
  <r>
    <s v="Shenzhen Peng City vs Chongqing Tonglianglong / Match Odds"/>
    <s v="Fulltbet"/>
    <x v="3238"/>
    <n v="3.7"/>
    <n v="4.4999999999999998E-2"/>
    <n v="3.8743455497382202"/>
    <x v="10"/>
    <x v="38"/>
    <x v="66"/>
    <n v="119.97"/>
    <x v="228"/>
    <n v="0.17434554973822003"/>
    <n v="3.0841043594231891E-2"/>
    <n v="1"/>
    <x v="0"/>
    <x v="917"/>
    <x v="746"/>
    <s v="Shenzhen Peng City vs Chongqing Tonglianglong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</r>
  <r>
    <s v="Raufoss vs Stabæk / Correct Score"/>
    <s v="Fulltbet"/>
    <x v="3245"/>
    <n v="11.35"/>
    <n v="4.4999999999999998E-2"/>
    <n v="11.884816753926701"/>
    <x v="15"/>
    <x v="6"/>
    <x v="254"/>
    <n v="439.93"/>
    <x v="228"/>
    <n v="0.53481675392670169"/>
    <n v="2.5799559020753302E-2"/>
    <n v="1"/>
    <x v="0"/>
    <x v="988"/>
    <x v="1052"/>
    <s v="Raufoss vs Stabæk"/>
  </r>
  <r>
    <s v="SK Rapid Wien vs SCR Altach / Match Odds"/>
    <s v="Fulltbet"/>
    <x v="3246"/>
    <n v="16.11"/>
    <n v="4.4999999999999998E-2"/>
    <n v="16.869109947643977"/>
    <x v="20"/>
    <x v="75"/>
    <x v="127"/>
    <n v="125.01"/>
    <x v="228"/>
    <n v="0.75910994764397799"/>
    <n v="0.12886969042476601"/>
    <n v="1"/>
    <x v="0"/>
    <x v="983"/>
    <x v="659"/>
    <s v="SK Rapid Wien vs SCR Altach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</r>
  <r>
    <s v="Deportivo Moquegua vs FBC Melgar / Correct Score"/>
    <s v="Fulltbet"/>
    <x v="3248"/>
    <n v="4.3499999999999996"/>
    <n v="4.4999999999999998E-2"/>
    <n v="4.5549738219895284"/>
    <x v="10"/>
    <x v="60"/>
    <x v="2"/>
    <n v="50.05"/>
    <x v="228"/>
    <n v="0.20497382198952874"/>
    <n v="8.6913086913086912E-2"/>
    <n v="1"/>
    <x v="0"/>
    <x v="768"/>
    <x v="807"/>
    <s v="Deportivo Moquegua vs FBC Melgar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</r>
  <r>
    <s v="Chapecoense vs Cruzeiro / Correct Score"/>
    <s v="Fulltbet"/>
    <x v="3251"/>
    <n v="6.46"/>
    <n v="4.4999999999999998E-2"/>
    <n v="6.7643979057591626"/>
    <x v="10"/>
    <x v="60"/>
    <x v="37"/>
    <n v="48.67"/>
    <x v="228"/>
    <n v="0.30439790575916259"/>
    <n v="0.13273063488802136"/>
    <n v="1"/>
    <x v="0"/>
    <x v="476"/>
    <x v="584"/>
    <s v="Chapecoense vs Cruzeiro"/>
  </r>
  <r>
    <s v="HFX Wanderers vs Forge / Correct Score"/>
    <s v="Fulltbet"/>
    <x v="3252"/>
    <n v="5.55"/>
    <n v="4.4999999999999998E-2"/>
    <n v="5.8115183246073299"/>
    <x v="10"/>
    <x v="60"/>
    <x v="3"/>
    <n v="49.97"/>
    <x v="228"/>
    <n v="0.26151832460733004"/>
    <n v="0.1110666399839904"/>
    <n v="1"/>
    <x v="0"/>
    <x v="991"/>
    <x v="829"/>
    <s v="HFX Wanderers vs Forge"/>
  </r>
  <r>
    <s v="Lanus vs Instituto de Córdoba / Total 0.5"/>
    <s v="Fulltbet"/>
    <x v="3253"/>
    <n v="24.35"/>
    <n v="4.4999999999999998E-2"/>
    <n v="25.497382198952881"/>
    <x v="28"/>
    <x v="88"/>
    <x v="48"/>
    <n v="50"/>
    <x v="228"/>
    <n v="1.1473821989528794"/>
    <n v="0.48700000000000004"/>
    <n v="1"/>
    <x v="0"/>
    <x v="992"/>
    <x v="1024"/>
    <s v="Lanus vs Instituto de Córdoba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</r>
  <r>
    <s v="Djurgårdens IF vs Västerås SK FK / Correct Score"/>
    <s v="Fulltbet"/>
    <x v="3256"/>
    <n v="13.03"/>
    <n v="4.4999999999999998E-2"/>
    <n v="13.643979057591624"/>
    <x v="15"/>
    <x v="5"/>
    <x v="176"/>
    <n v="450.12"/>
    <x v="229"/>
    <n v="0.61397905759162441"/>
    <n v="2.8947836132586863E-2"/>
    <n v="1"/>
    <x v="0"/>
    <x v="729"/>
    <x v="551"/>
    <s v="Djurgårdens IF vs Västerås SK FK"/>
  </r>
  <r>
    <s v="Vélez Sársfield vs Independiente / Total 0.5"/>
    <s v="Fulltbet"/>
    <x v="3257"/>
    <n v="18.149999999999999"/>
    <n v="4.4999999999999998E-2"/>
    <n v="19.005235602094242"/>
    <x v="28"/>
    <x v="88"/>
    <x v="238"/>
    <n v="50"/>
    <x v="229"/>
    <n v="0.85523560209424332"/>
    <n v="0.36299999999999999"/>
    <n v="1"/>
    <x v="0"/>
    <x v="594"/>
    <x v="1054"/>
    <s v="Vélez Sársfield vs Independiente"/>
  </r>
  <r>
    <s v="CA Huracan vs Atlético Tucumán / Total 0.5"/>
    <s v="Fulltbet"/>
    <x v="3258"/>
    <n v="-50"/>
    <n v="4.4999999999999998E-2"/>
    <n v="-50"/>
    <x v="28"/>
    <x v="87"/>
    <x v="222"/>
    <n v="50"/>
    <x v="229"/>
    <n v="0"/>
    <n v="-1"/>
    <n v="0"/>
    <x v="0"/>
    <x v="966"/>
    <x v="630"/>
    <s v="CA Huracan vs Atlético Tucumán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</r>
  <r>
    <s v="AGF Aarhus vs Sabah FC / Match Odds"/>
    <s v="Fulltbet"/>
    <x v="3262"/>
    <n v="17.329999999999998"/>
    <n v="4.4999999999999998E-2"/>
    <n v="18.146596858638741"/>
    <x v="20"/>
    <x v="75"/>
    <x v="128"/>
    <n v="125"/>
    <x v="231"/>
    <n v="0.81659685863874287"/>
    <n v="0.13863999999999999"/>
    <n v="1"/>
    <x v="0"/>
    <x v="402"/>
    <x v="1056"/>
    <s v="AGF Aarhus vs Sabah FC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</r>
  <r>
    <s v="Ferencvárosi TC vs Górnik Zabrze / Match Odds"/>
    <s v="Fulltbet"/>
    <x v="3264"/>
    <n v="20.05"/>
    <n v="4.4999999999999998E-2"/>
    <n v="20.994764397905762"/>
    <x v="20"/>
    <x v="75"/>
    <x v="116"/>
    <n v="125.01"/>
    <x v="231"/>
    <n v="0.94476439790576094"/>
    <n v="0.16038716902647787"/>
    <n v="1"/>
    <x v="0"/>
    <x v="117"/>
    <x v="1013"/>
    <s v="Ferencvárosi TC vs Górnik Zabrze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</r>
  <r>
    <s v="Internacional de Bogotá vs Jaguares de Córdoba / Total 0.5"/>
    <s v="Fulltbet"/>
    <x v="3266"/>
    <n v="6.69"/>
    <n v="4.4999999999999998E-2"/>
    <n v="7.0052356020942419"/>
    <x v="32"/>
    <x v="4"/>
    <x v="45"/>
    <n v="20"/>
    <x v="231"/>
    <n v="0.31523560209424151"/>
    <n v="0.33450000000000002"/>
    <n v="1"/>
    <x v="0"/>
    <x v="995"/>
    <x v="1027"/>
    <s v="Internacional de Bogotá vs Jaguares de Córdoba"/>
  </r>
  <r>
    <s v="Fluminense FC vs Vasco da Gama / Total 2.5"/>
    <s v="Fulltbet"/>
    <x v="3267"/>
    <n v="2.75"/>
    <n v="4.4999999999999998E-2"/>
    <n v="2.8795811518324608"/>
    <x v="10"/>
    <x v="70"/>
    <x v="383"/>
    <n v="2"/>
    <x v="231"/>
    <n v="0.12958115183246077"/>
    <n v="1.375"/>
    <n v="1"/>
    <x v="0"/>
    <x v="87"/>
    <x v="91"/>
    <s v="Fluminense FC vs Vasco da Gama"/>
  </r>
  <r>
    <s v="Alianza Atletico vs Cienciano del Cuzco / Total 0.5"/>
    <s v="Fulltbet"/>
    <x v="3268"/>
    <n v="6.69"/>
    <n v="4.4999999999999998E-2"/>
    <n v="7.0052356020942419"/>
    <x v="32"/>
    <x v="4"/>
    <x v="45"/>
    <n v="20"/>
    <x v="232"/>
    <n v="0.31523560209424151"/>
    <n v="0.33450000000000002"/>
    <n v="1"/>
    <x v="0"/>
    <x v="964"/>
    <x v="830"/>
    <s v="Alianza Atletico vs Cienciano del Cuzco"/>
  </r>
  <r>
    <s v="Alianza Atletico vs Cienciano del Cuzco / Match Odds"/>
    <s v="Fulltbet"/>
    <x v="3269"/>
    <n v="6.55"/>
    <n v="4.4999999999999998E-2"/>
    <n v="6.8586387434554972"/>
    <x v="10"/>
    <x v="38"/>
    <x v="32"/>
    <n v="120.05"/>
    <x v="232"/>
    <n v="0.30863874345549736"/>
    <n v="5.4560599750104126E-2"/>
    <n v="1"/>
    <x v="0"/>
    <x v="964"/>
    <x v="830"/>
    <s v="Alianza Atletico vs Cienciano del Cuzco"/>
  </r>
  <r>
    <s v="Unión de Santa Fe vs Lanus / Total 0.5"/>
    <s v="Fulltbet"/>
    <x v="3270"/>
    <n v="9.5500000000000007"/>
    <n v="4.4999999999999998E-2"/>
    <n v="10.000000000000002"/>
    <x v="32"/>
    <x v="4"/>
    <x v="222"/>
    <n v="20"/>
    <x v="232"/>
    <n v="0.45000000000000107"/>
    <n v="0.47750000000000004"/>
    <n v="1"/>
    <x v="0"/>
    <x v="446"/>
    <x v="1057"/>
    <s v="Unión de Santa Fe vs Lanus"/>
  </r>
  <r>
    <s v="FC Zbrojovka Brno vs FC Slovan Liberec / Total 0.5"/>
    <s v="Fulltbet"/>
    <x v="3271"/>
    <n v="9.9499999999999993"/>
    <n v="4.4999999999999998E-2"/>
    <n v="10.418848167539267"/>
    <x v="10"/>
    <x v="47"/>
    <x v="236"/>
    <n v="20"/>
    <x v="233"/>
    <n v="0.46884816753926728"/>
    <n v="0.49749999999999994"/>
    <n v="1"/>
    <x v="0"/>
    <x v="996"/>
    <x v="1030"/>
    <s v="FC Zbrojovka Brno vs FC Slovan Liberec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</r>
  <r>
    <s v="AFC UTA Arad vs Rapid Bucuresti / Total 0.5"/>
    <s v="Fulltbet"/>
    <x v="3275"/>
    <n v="-20"/>
    <n v="4.4999999999999998E-2"/>
    <n v="-20"/>
    <x v="10"/>
    <x v="47"/>
    <x v="232"/>
    <n v="20"/>
    <x v="233"/>
    <n v="0"/>
    <n v="-1"/>
    <n v="0"/>
    <x v="0"/>
    <x v="997"/>
    <x v="669"/>
    <s v="AFC UTA Arad vs Rapid Bucuresti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</r>
  <r>
    <s v="Comerciantes Unidos vs Cusco FC / Total 2.5"/>
    <s v="Fulltbet"/>
    <x v="3279"/>
    <n v="1.57"/>
    <n v="4.4999999999999998E-2"/>
    <n v="1.6439790575916231"/>
    <x v="10"/>
    <x v="70"/>
    <x v="67"/>
    <n v="2"/>
    <x v="233"/>
    <n v="7.3979057591623043E-2"/>
    <n v="0.78500000000000003"/>
    <n v="1"/>
    <x v="0"/>
    <x v="793"/>
    <x v="850"/>
    <s v="Comerciantes Unidos vs Cusco FC"/>
  </r>
  <r>
    <s v="Academia de Balompie Boliviano vs Guabira / Correct Score"/>
    <s v="Fulltbet"/>
    <x v="3280"/>
    <n v="-463.05"/>
    <n v="4.4999999999999998E-2"/>
    <n v="-463.05"/>
    <x v="15"/>
    <x v="5"/>
    <x v="306"/>
    <n v="463.05"/>
    <x v="233"/>
    <n v="0"/>
    <n v="-1"/>
    <n v="0"/>
    <x v="0"/>
    <x v="536"/>
    <x v="852"/>
    <s v="Academia de Balompie Boliviano vs Guabira"/>
  </r>
  <r>
    <s v="Rosario Central vs Aldosivi / Total 0.5"/>
    <s v="Fulltbet"/>
    <x v="3281"/>
    <n v="6.69"/>
    <n v="4.4999999999999998E-2"/>
    <n v="7.0052356020942419"/>
    <x v="32"/>
    <x v="4"/>
    <x v="45"/>
    <n v="20"/>
    <x v="233"/>
    <n v="0.31523560209424151"/>
    <n v="0.33450000000000002"/>
    <n v="1"/>
    <x v="0"/>
    <x v="998"/>
    <x v="491"/>
    <s v="Rosario Central vs Aldosivi"/>
  </r>
  <r>
    <s v="Operário Ferroviário vs São Bernardo FC / Match Odds"/>
    <s v="Fulltbet"/>
    <x v="3282"/>
    <n v="94.36"/>
    <n v="4.4999999999999998E-2"/>
    <n v="98.806282722513089"/>
    <x v="20"/>
    <x v="75"/>
    <x v="384"/>
    <n v="250"/>
    <x v="233"/>
    <n v="4.4462827225130894"/>
    <n v="0.37744"/>
    <n v="1"/>
    <x v="0"/>
    <x v="919"/>
    <x v="831"/>
    <s v="Operário Ferroviário vs São Bernardo FC"/>
  </r>
  <r>
    <s v="Independiente Rivadavia vs Estudiantes Río Cuarto / Total 0.5"/>
    <s v="Fulltbet"/>
    <x v="3283"/>
    <n v="7.64"/>
    <n v="4.4999999999999998E-2"/>
    <n v="8"/>
    <x v="32"/>
    <x v="4"/>
    <x v="50"/>
    <n v="20"/>
    <x v="233"/>
    <n v="0.36000000000000032"/>
    <n v="0.38200000000000001"/>
    <n v="1"/>
    <x v="0"/>
    <x v="633"/>
    <x v="1058"/>
    <s v="Independiente Rivadavia vs Estudiantes Río Cuarto"/>
  </r>
  <r>
    <s v="Universidad Católica vs Cobresal / Correct Score"/>
    <s v="Fulltbet"/>
    <x v="3284"/>
    <n v="9.8000000000000007"/>
    <n v="4.4999999999999998E-2"/>
    <n v="10.261780104712043"/>
    <x v="15"/>
    <x v="5"/>
    <x v="178"/>
    <n v="400.14"/>
    <x v="233"/>
    <n v="0.46178010471204267"/>
    <n v="2.4491428000199933E-2"/>
    <n v="1"/>
    <x v="0"/>
    <x v="483"/>
    <x v="909"/>
    <s v="Universidad Católica vs Cobresal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</r>
  <r>
    <s v="Universitario de Deportes vs Sporting Cristal / Total 0.5"/>
    <s v="Fulltbet"/>
    <x v="3287"/>
    <n v="7.07"/>
    <n v="4.4999999999999998E-2"/>
    <n v="7.4031413612565453"/>
    <x v="32"/>
    <x v="4"/>
    <x v="49"/>
    <n v="20"/>
    <x v="233"/>
    <n v="0.33314136125654503"/>
    <n v="0.35350000000000004"/>
    <n v="1"/>
    <x v="0"/>
    <x v="699"/>
    <x v="549"/>
    <s v="Universitario de Deportes vs Sporting Cristal"/>
  </r>
  <r>
    <s v="Qingdao Hainiu vs Shanghai Shenhua / Both Teams To Score"/>
    <s v="Fulltbet"/>
    <x v="3288"/>
    <n v="-2"/>
    <n v="4.4999999999999998E-2"/>
    <n v="-2"/>
    <x v="10"/>
    <x v="51"/>
    <x v="56"/>
    <n v="2"/>
    <x v="234"/>
    <n v="0"/>
    <n v="-1"/>
    <n v="0"/>
    <x v="0"/>
    <x v="773"/>
    <x v="637"/>
    <s v="Qingdao Hainiu vs Shanghai Shenhua"/>
  </r>
  <r>
    <s v="Jeonbuk Hyundai Motors vs Jeju SK / Match Odds"/>
    <s v="Fulltbet"/>
    <x v="3289"/>
    <n v="166.86"/>
    <n v="4.4999999999999998E-2"/>
    <n v="174.72251308900525"/>
    <x v="20"/>
    <x v="75"/>
    <x v="108"/>
    <n v="250"/>
    <x v="234"/>
    <n v="7.8625130890052333"/>
    <n v="0.66744000000000003"/>
    <n v="1"/>
    <x v="0"/>
    <x v="999"/>
    <x v="1059"/>
    <s v="Jeonbuk Hyundai Motors vs Jeju SK"/>
  </r>
  <r>
    <s v="Vålerenga vs Bodø/Glimt / Both Teams To Score"/>
    <s v="Fulltbet"/>
    <x v="3290"/>
    <n v="1.07"/>
    <n v="4.4999999999999998E-2"/>
    <n v="1.1204188481675394"/>
    <x v="10"/>
    <x v="51"/>
    <x v="198"/>
    <n v="2"/>
    <x v="234"/>
    <n v="5.0418848167539387E-2"/>
    <n v="0.53500000000000003"/>
    <n v="1"/>
    <x v="0"/>
    <x v="986"/>
    <x v="122"/>
    <s v="Vålerenga vs Bod"/>
  </r>
  <r>
    <s v="Vålerenga vs Bodø/Glimt / Correct Score"/>
    <s v="Fulltbet"/>
    <x v="3291"/>
    <n v="9.5500000000000007"/>
    <n v="4.4999999999999998E-2"/>
    <n v="10.000000000000002"/>
    <x v="15"/>
    <x v="6"/>
    <x v="287"/>
    <n v="410"/>
    <x v="234"/>
    <n v="0.45000000000000107"/>
    <n v="2.3292682926829272E-2"/>
    <n v="1"/>
    <x v="0"/>
    <x v="986"/>
    <x v="122"/>
    <s v="Vålerenga vs Bod"/>
  </r>
  <r>
    <s v="Yunnan Yukun vs Chengdu Rongcheng / Match Odds"/>
    <s v="Fulltbet"/>
    <x v="3292"/>
    <n v="15.08"/>
    <n v="4.4999999999999998E-2"/>
    <n v="15.790575916230367"/>
    <x v="10"/>
    <x v="38"/>
    <x v="42"/>
    <n v="123.16"/>
    <x v="234"/>
    <n v="0.71057591623036664"/>
    <n v="0.12244235141279637"/>
    <n v="1"/>
    <x v="0"/>
    <x v="495"/>
    <x v="810"/>
    <s v="Yunnan Yukun vs Chengdu Rongcheng"/>
  </r>
  <r>
    <s v="Viking FK vs Sarpsborg 08 / Correct Score"/>
    <s v="Fulltbet"/>
    <x v="3293"/>
    <n v="8.91"/>
    <n v="4.4999999999999998E-2"/>
    <n v="9.3298429319371738"/>
    <x v="15"/>
    <x v="5"/>
    <x v="358"/>
    <n v="419.85"/>
    <x v="234"/>
    <n v="0.4198429319371737"/>
    <n v="2.1221864951768487E-2"/>
    <n v="1"/>
    <x v="0"/>
    <x v="571"/>
    <x v="1060"/>
    <s v="Viking FK vs Sarpsborg 08"/>
  </r>
  <r>
    <s v="Viking FK vs Sarpsborg 08 / Match Odds"/>
    <s v="Fulltbet"/>
    <x v="3294"/>
    <n v="59.69"/>
    <n v="4.4999999999999998E-2"/>
    <n v="62.502617801047123"/>
    <x v="3"/>
    <x v="7"/>
    <x v="81"/>
    <n v="400"/>
    <x v="234"/>
    <n v="2.812617801047125"/>
    <n v="0.149225"/>
    <n v="1"/>
    <x v="0"/>
    <x v="571"/>
    <x v="1060"/>
    <s v="Viking FK vs Sarpsborg 08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</r>
  <r>
    <s v="IFK Norrköping vs IK Brage / Match Odds"/>
    <s v="Fulltbet"/>
    <x v="3296"/>
    <n v="13.98"/>
    <n v="4.4999999999999998E-2"/>
    <n v="14.638743455497384"/>
    <x v="20"/>
    <x v="75"/>
    <x v="43"/>
    <n v="125"/>
    <x v="234"/>
    <n v="0.65874345549738322"/>
    <n v="0.11184000000000001"/>
    <n v="1"/>
    <x v="0"/>
    <x v="556"/>
    <x v="475"/>
    <s v="IFK Norrköping vs IK Brage"/>
  </r>
  <r>
    <s v="FC Lausanne-Sport vs BSC Young Boys / Correct Score"/>
    <s v="Fulltbet"/>
    <x v="3297"/>
    <n v="3.82"/>
    <n v="4.4999999999999998E-2"/>
    <n v="4"/>
    <x v="10"/>
    <x v="60"/>
    <x v="8"/>
    <n v="52"/>
    <x v="234"/>
    <n v="0.18000000000000016"/>
    <n v="7.3461538461538453E-2"/>
    <n v="1"/>
    <x v="0"/>
    <x v="1000"/>
    <x v="353"/>
    <s v="FC Lausanne-Sport vs BSC Young Boys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</r>
  <r>
    <s v="NK Lokomotiva vs HNK Gorica / Match Odds"/>
    <s v="Fulltbet"/>
    <x v="3299"/>
    <n v="20.45"/>
    <n v="4.4999999999999998E-2"/>
    <n v="21.413612565445025"/>
    <x v="20"/>
    <x v="75"/>
    <x v="245"/>
    <n v="124.99"/>
    <x v="234"/>
    <n v="0.96361256544502538"/>
    <n v="0.16361308904712377"/>
    <n v="1"/>
    <x v="0"/>
    <x v="1001"/>
    <x v="546"/>
    <s v="NK Lokomotiva vs HNK Gorica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</r>
  <r>
    <s v="Vila Nova FC vs Sport Club do Recife / Match Odds"/>
    <s v="Fulltbet"/>
    <x v="3301"/>
    <n v="-248.59"/>
    <n v="4.4999999999999998E-2"/>
    <n v="-248.59"/>
    <x v="20"/>
    <x v="75"/>
    <x v="385"/>
    <n v="248.59"/>
    <x v="234"/>
    <n v="0"/>
    <n v="-1"/>
    <n v="0"/>
    <x v="0"/>
    <x v="726"/>
    <x v="979"/>
    <s v="Vila Nova FC vs Sport Club do Recife"/>
  </r>
  <r>
    <s v="Vila Nova FC vs Sport Club do Recife / Total 2.5"/>
    <s v="Fulltbet"/>
    <x v="3302"/>
    <n v="-2"/>
    <n v="4.4999999999999998E-2"/>
    <n v="-2"/>
    <x v="10"/>
    <x v="70"/>
    <x v="57"/>
    <n v="2"/>
    <x v="234"/>
    <n v="0"/>
    <n v="-1"/>
    <n v="0"/>
    <x v="0"/>
    <x v="726"/>
    <x v="979"/>
    <s v="Vila Nova FC vs Sport Club do Recife"/>
  </r>
  <r>
    <s v="Monagas SC vs Carabobo FC / Match Odds"/>
    <s v="Fulltbet"/>
    <x v="3303"/>
    <n v="8.18"/>
    <n v="4.4999999999999998E-2"/>
    <n v="8.5654450261780113"/>
    <x v="10"/>
    <x v="38"/>
    <x v="8"/>
    <n v="111.41"/>
    <x v="234"/>
    <n v="0.38544502617801157"/>
    <n v="7.3422493492505167E-2"/>
    <n v="1"/>
    <x v="0"/>
    <x v="1002"/>
    <x v="495"/>
    <s v="Monagas SC vs Carabobo FC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</r>
  <r>
    <s v="Botafogo SP vs América-MG / Total 0.5"/>
    <s v="Fulltbet"/>
    <x v="3305"/>
    <n v="8.02"/>
    <n v="4.4999999999999998E-2"/>
    <n v="8.3979057591623043"/>
    <x v="32"/>
    <x v="4"/>
    <x v="166"/>
    <n v="20"/>
    <x v="234"/>
    <n v="0.37790575916230473"/>
    <n v="0.40099999999999997"/>
    <n v="1"/>
    <x v="0"/>
    <x v="930"/>
    <x v="489"/>
    <s v="Botafogo SP vs América-MG"/>
  </r>
  <r>
    <s v="Coquimbo Unido vs La Serena / Total 0.5"/>
    <s v="Fulltbet"/>
    <x v="3306"/>
    <n v="6.69"/>
    <n v="4.4999999999999998E-2"/>
    <n v="7.0052356020942419"/>
    <x v="32"/>
    <x v="4"/>
    <x v="45"/>
    <n v="20"/>
    <x v="234"/>
    <n v="0.31523560209424151"/>
    <n v="0.33450000000000002"/>
    <n v="1"/>
    <x v="0"/>
    <x v="698"/>
    <x v="1034"/>
    <s v="Coquimbo Unido vs La Serena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</r>
  <r>
    <s v="Miami FC vs Las Vegas Lights / Total 2.5"/>
    <s v="Fulltbet"/>
    <x v="3308"/>
    <n v="-2"/>
    <n v="4.4999999999999998E-2"/>
    <n v="-2"/>
    <x v="10"/>
    <x v="70"/>
    <x v="95"/>
    <n v="2"/>
    <x v="234"/>
    <n v="0"/>
    <n v="-1"/>
    <n v="0"/>
    <x v="0"/>
    <x v="585"/>
    <x v="910"/>
    <s v="Miami FC vs Las Vegas Lights"/>
  </r>
  <r>
    <s v="Coritiba vs Chapecoense / Correct Score"/>
    <s v="Fulltbet"/>
    <x v="3309"/>
    <n v="27.06"/>
    <n v="4.4999999999999998E-2"/>
    <n v="28.335078534031414"/>
    <x v="19"/>
    <x v="5"/>
    <x v="34"/>
    <n v="424.95"/>
    <x v="234"/>
    <n v="1.2750785340314152"/>
    <n v="6.3678079774091068E-2"/>
    <n v="1"/>
    <x v="0"/>
    <x v="957"/>
    <x v="520"/>
    <s v="Coritiba vs Chapecoense"/>
  </r>
  <r>
    <s v="Independiente vs Platense / Total 0.5"/>
    <s v="Fulltbet"/>
    <x v="3310"/>
    <n v="8.7899999999999991"/>
    <n v="4.4999999999999998E-2"/>
    <n v="9.2041884816753914"/>
    <x v="32"/>
    <x v="4"/>
    <x v="159"/>
    <n v="20"/>
    <x v="234"/>
    <n v="0.41418848167539224"/>
    <n v="0.43949999999999995"/>
    <n v="1"/>
    <x v="0"/>
    <x v="1003"/>
    <x v="467"/>
    <s v="Independiente vs Platense"/>
  </r>
  <r>
    <s v="FC Supra du Quebec vs Cavalry / Correct Score"/>
    <s v="Fulltbet"/>
    <x v="3311"/>
    <n v="6.82"/>
    <n v="4.4999999999999998E-2"/>
    <n v="7.1413612565445028"/>
    <x v="10"/>
    <x v="60"/>
    <x v="9"/>
    <n v="49.98"/>
    <x v="234"/>
    <n v="0.32136125654450254"/>
    <n v="0.1364545818327331"/>
    <n v="1"/>
    <x v="0"/>
    <x v="1004"/>
    <x v="1028"/>
    <s v="FC Supra du Quebec vs Cavalry"/>
  </r>
  <r>
    <s v="Instituto de Córdoba vs Gimnasia y Esgrima de Mendoza / Total 0.5"/>
    <s v="Fulltbet"/>
    <x v="3312"/>
    <n v="8.02"/>
    <n v="4.4999999999999998E-2"/>
    <n v="8.3979057591623043"/>
    <x v="32"/>
    <x v="4"/>
    <x v="166"/>
    <n v="20"/>
    <x v="234"/>
    <n v="0.37790575916230473"/>
    <n v="0.40099999999999997"/>
    <n v="1"/>
    <x v="0"/>
    <x v="1005"/>
    <x v="1062"/>
    <s v="Instituto de Córdoba vs Gimnasia y Esgrima de Mendoza"/>
  </r>
  <r>
    <s v="Malmö FF vs Degerfors IF / Total 2.5"/>
    <s v="Fulltbet"/>
    <x v="3313"/>
    <n v="0.86"/>
    <n v="4.4999999999999998E-2"/>
    <n v="0.90052356020942415"/>
    <x v="10"/>
    <x v="70"/>
    <x v="172"/>
    <n v="2"/>
    <x v="235"/>
    <n v="4.0523560209424159E-2"/>
    <n v="0.43"/>
    <n v="1"/>
    <x v="0"/>
    <x v="517"/>
    <x v="812"/>
    <s v="Malmö FF vs Degerfors IF"/>
  </r>
  <r>
    <s v="Shandong Taishan vs Tianjin Jinmenhu / Total 0.5"/>
    <s v="Fulltbet"/>
    <x v="3314"/>
    <n v="6.69"/>
    <n v="4.4999999999999998E-2"/>
    <n v="7.0052356020942419"/>
    <x v="33"/>
    <x v="20"/>
    <x v="72"/>
    <m/>
    <x v="235"/>
    <n v="0.31523560209424151"/>
    <e v="#DIV/0!"/>
    <n v="1"/>
    <x v="0"/>
    <x v="566"/>
    <x v="550"/>
    <s v="Shandong Taishan vs Tianjin Jinmenhu"/>
  </r>
  <r>
    <s v="Hammarby IF vs BK Häcken / Correct Score"/>
    <s v="Fulltbet"/>
    <x v="3315"/>
    <n v="10.53"/>
    <n v="4.4999999999999998E-2"/>
    <n v="11.026178010471204"/>
    <x v="33"/>
    <x v="20"/>
    <x v="72"/>
    <m/>
    <x v="235"/>
    <n v="0.4961780104712048"/>
    <e v="#DIV/0!"/>
    <n v="1"/>
    <x v="0"/>
    <x v="436"/>
    <x v="1063"/>
    <s v="Hammarby IF vs BK Häcken"/>
  </r>
  <r>
    <s v="Malmö FF vs Degerfors IF / Correct Score"/>
    <s v="Fulltbet"/>
    <x v="3316"/>
    <n v="-70.64"/>
    <n v="4.4999999999999998E-2"/>
    <n v="-70.64"/>
    <x v="33"/>
    <x v="20"/>
    <x v="72"/>
    <m/>
    <x v="235"/>
    <n v="0"/>
    <e v="#DIV/0!"/>
    <n v="0"/>
    <x v="0"/>
    <x v="517"/>
    <x v="812"/>
    <s v="Malmö FF vs Degerfors IF"/>
  </r>
  <r>
    <s v="Lillestrøm SK vs Rosenborg BK / Total 1.5"/>
    <s v="Fulltbet"/>
    <x v="3317"/>
    <n v="4.97"/>
    <n v="4.4999999999999998E-2"/>
    <n v="5.2041884816753923"/>
    <x v="33"/>
    <x v="20"/>
    <x v="72"/>
    <m/>
    <x v="235"/>
    <n v="0.23418848167539252"/>
    <e v="#DIV/0!"/>
    <n v="1"/>
    <x v="0"/>
    <x v="545"/>
    <x v="610"/>
    <s v="Lillestrøm SK vs Rosenborg BK"/>
  </r>
  <r>
    <s v="Cruzeiro vs Mirassol FC / Both Teams To Score"/>
    <s v="Fulltbet"/>
    <x v="3318"/>
    <n v="112.13"/>
    <n v="4.4999999999999998E-2"/>
    <n v="117.41361256544502"/>
    <x v="33"/>
    <x v="20"/>
    <x v="72"/>
    <m/>
    <x v="235"/>
    <n v="5.2836125654450257"/>
    <e v="#DIV/0!"/>
    <n v="1"/>
    <x v="0"/>
    <x v="482"/>
    <x v="525"/>
    <s v="Cruzeiro vs Mirassol FC"/>
  </r>
  <r>
    <s v="FC Fredericia vs Vendsyssel FF / Match Odds"/>
    <s v="Fulltbet"/>
    <x v="3319"/>
    <n v="70.98"/>
    <n v="4.4999999999999998E-2"/>
    <n v="74.324607329842934"/>
    <x v="33"/>
    <x v="20"/>
    <x v="72"/>
    <m/>
    <x v="235"/>
    <n v="3.3446073298429297"/>
    <e v="#DIV/0!"/>
    <n v="1"/>
    <x v="0"/>
    <x v="541"/>
    <x v="1064"/>
    <s v="FC Fredericia vs Vendsyssel FF"/>
  </r>
  <r>
    <s v="Varbergs BoIS vs Sandvikens IF / Correct Score"/>
    <s v="Fulltbet"/>
    <x v="3320"/>
    <n v="-450.01"/>
    <n v="4.4999999999999998E-2"/>
    <n v="-450.01"/>
    <x v="33"/>
    <x v="20"/>
    <x v="72"/>
    <m/>
    <x v="235"/>
    <n v="0"/>
    <e v="#DIV/0!"/>
    <n v="0"/>
    <x v="0"/>
    <x v="848"/>
    <x v="854"/>
    <s v="Varbergs BoIS vs Sandvikens IF"/>
  </r>
  <r>
    <s v="Varbergs BoIS vs Sandvikens IF / Match Odds"/>
    <s v="Fulltbet"/>
    <x v="3321"/>
    <n v="-450"/>
    <n v="4.4999999999999998E-2"/>
    <n v="-450"/>
    <x v="33"/>
    <x v="20"/>
    <x v="72"/>
    <m/>
    <x v="235"/>
    <n v="0"/>
    <e v="#DIV/0!"/>
    <n v="0"/>
    <x v="0"/>
    <x v="848"/>
    <x v="854"/>
    <s v="Varbergs BoIS vs Sandvikens IF"/>
  </r>
  <r>
    <s v="Varbergs BoIS vs Sandvikens IF / Match Odds"/>
    <s v="Betbra"/>
    <x v="3321"/>
    <n v="-250"/>
    <n v="4.4999999999999998E-2"/>
    <n v="-250"/>
    <x v="33"/>
    <x v="20"/>
    <x v="72"/>
    <m/>
    <x v="235"/>
    <n v="0"/>
    <e v="#DIV/0!"/>
    <n v="0"/>
    <x v="0"/>
    <x v="848"/>
    <x v="854"/>
    <s v="Varbergs BoIS vs Sandvikens IF"/>
  </r>
  <r>
    <s v="Strømsgodset vs Egersund / Correct Score"/>
    <s v="Fulltbet"/>
    <x v="3322"/>
    <n v="7.12"/>
    <n v="4.4999999999999998E-2"/>
    <n v="7.4554973821989536"/>
    <x v="33"/>
    <x v="20"/>
    <x v="72"/>
    <m/>
    <x v="235"/>
    <n v="0.33549738219895353"/>
    <e v="#DIV/0!"/>
    <n v="1"/>
    <x v="0"/>
    <x v="789"/>
    <x v="915"/>
    <s v="Strømsgodset vs Egersund"/>
  </r>
  <r>
    <s v="Haugesund vs Raufoss / Match Odds"/>
    <s v="Fulltbet"/>
    <x v="3323"/>
    <n v="46.58"/>
    <n v="4.4999999999999998E-2"/>
    <n v="48.774869109947645"/>
    <x v="33"/>
    <x v="20"/>
    <x v="72"/>
    <m/>
    <x v="235"/>
    <n v="2.1948691099476463"/>
    <e v="#DIV/0!"/>
    <n v="1"/>
    <x v="0"/>
    <x v="570"/>
    <x v="748"/>
    <s v="Haugesund vs Raufoss"/>
  </r>
  <r>
    <s v="Hamarkameratene vs Aalesunds FK / Match Odds"/>
    <s v="Fulltbet"/>
    <x v="3324"/>
    <n v="80.84"/>
    <n v="4.4999999999999998E-2"/>
    <n v="84.649214659685867"/>
    <x v="33"/>
    <x v="20"/>
    <x v="72"/>
    <m/>
    <x v="235"/>
    <n v="3.809214659685864"/>
    <e v="#DIV/0!"/>
    <n v="1"/>
    <x v="0"/>
    <x v="607"/>
    <x v="838"/>
    <s v="Hamarkameratene vs Aalesunds FK"/>
  </r>
  <r>
    <s v="Debreceni VSC vs Nyíregyháza Spartacus / Match Odds"/>
    <s v="Fulltbet"/>
    <x v="3325"/>
    <n v="6.37"/>
    <n v="4.4999999999999998E-2"/>
    <n v="6.6701570680628279"/>
    <x v="33"/>
    <x v="20"/>
    <x v="72"/>
    <m/>
    <x v="235"/>
    <n v="0.30015706806282783"/>
    <e v="#DIV/0!"/>
    <n v="1"/>
    <x v="0"/>
    <x v="959"/>
    <x v="1065"/>
    <s v="Debreceni VSC vs Nyíregyháza Spartacus"/>
  </r>
  <r>
    <s v="AC Oulu vs HJK Helsinki / Total 1.5"/>
    <s v="Fulltbet"/>
    <x v="3326"/>
    <n v="-20"/>
    <n v="4.4999999999999998E-2"/>
    <n v="-20"/>
    <x v="33"/>
    <x v="20"/>
    <x v="72"/>
    <m/>
    <x v="235"/>
    <n v="0"/>
    <e v="#DIV/0!"/>
    <n v="0"/>
    <x v="0"/>
    <x v="712"/>
    <x v="644"/>
    <s v="AC Oulu vs HJK Helsinki"/>
  </r>
  <r>
    <s v="Víkingur vs ÍB Vestmannaeyja / Correct Score"/>
    <s v="Fulltbet"/>
    <x v="3327"/>
    <n v="8.3800000000000008"/>
    <n v="4.4999999999999998E-2"/>
    <n v="8.7748691099476446"/>
    <x v="33"/>
    <x v="20"/>
    <x v="72"/>
    <m/>
    <x v="235"/>
    <n v="0.39486910994764379"/>
    <e v="#DIV/0!"/>
    <n v="1"/>
    <x v="0"/>
    <x v="761"/>
    <x v="918"/>
    <s v="Víkingur vs ÍB Vestmannaeyja"/>
  </r>
  <r>
    <s v="Víkingur vs ÍB Vestmannaeyja / Match Odds"/>
    <s v="Fulltbet"/>
    <x v="3328"/>
    <n v="47.56"/>
    <n v="4.4999999999999998E-2"/>
    <n v="49.801047120418851"/>
    <x v="33"/>
    <x v="20"/>
    <x v="72"/>
    <m/>
    <x v="235"/>
    <n v="2.2410471204188482"/>
    <e v="#DIV/0!"/>
    <n v="1"/>
    <x v="0"/>
    <x v="761"/>
    <x v="918"/>
    <s v="Víkingur vs ÍB Vestmannaeyja"/>
  </r>
  <r>
    <s v="Gremio Novorizontino vs EC Juventude / Total 0.5"/>
    <s v="Fulltbet"/>
    <x v="3329"/>
    <n v="7.93"/>
    <n v="4.4999999999999998E-2"/>
    <n v="8.3036649214659679"/>
    <x v="33"/>
    <x v="20"/>
    <x v="72"/>
    <m/>
    <x v="235"/>
    <n v="0.37366492146596819"/>
    <e v="#DIV/0!"/>
    <n v="1"/>
    <x v="0"/>
    <x v="751"/>
    <x v="93"/>
    <s v="Gremio Novorizontino vs EC Juventude"/>
  </r>
  <r>
    <s v="Palmeiras vs SC Internacional / Total 0.5"/>
    <s v="Fulltbet"/>
    <x v="3330"/>
    <n v="-20"/>
    <n v="4.4999999999999998E-2"/>
    <n v="-20"/>
    <x v="33"/>
    <x v="20"/>
    <x v="72"/>
    <m/>
    <x v="235"/>
    <n v="0"/>
    <e v="#DIV/0!"/>
    <n v="0"/>
    <x v="0"/>
    <x v="475"/>
    <x v="519"/>
    <s v="Palmeiras vs SC Internacional"/>
  </r>
  <r>
    <s v="Palmeiras vs SC Internacional / Match Odds"/>
    <s v="Fulltbet"/>
    <x v="3331"/>
    <n v="72.45"/>
    <n v="4.4999999999999998E-2"/>
    <n v="75.863874345549746"/>
    <x v="33"/>
    <x v="20"/>
    <x v="72"/>
    <m/>
    <x v="235"/>
    <n v="3.4138743455497433"/>
    <e v="#DIV/0!"/>
    <n v="1"/>
    <x v="0"/>
    <x v="475"/>
    <x v="519"/>
    <s v="Palmeiras vs SC Internacional"/>
  </r>
  <r>
    <s v="Esporte Clube Bahia vs Vasco da Gama / Total 0.5"/>
    <s v="Fulltbet"/>
    <x v="3332"/>
    <n v="-20"/>
    <n v="4.4999999999999998E-2"/>
    <n v="-20"/>
    <x v="33"/>
    <x v="20"/>
    <x v="72"/>
    <m/>
    <x v="235"/>
    <n v="0"/>
    <e v="#DIV/0!"/>
    <n v="0"/>
    <x v="0"/>
    <x v="366"/>
    <x v="91"/>
    <s v="Esporte Clube Bahia vs Vasco da Gama"/>
  </r>
  <r>
    <s v="Breidablik vs Valur / Correct Score"/>
    <s v="Fulltbet"/>
    <x v="3333"/>
    <n v="12.55"/>
    <n v="4.4999999999999998E-2"/>
    <n v="13.141361256544505"/>
    <x v="33"/>
    <x v="20"/>
    <x v="72"/>
    <m/>
    <x v="235"/>
    <n v="0.59136125654450389"/>
    <e v="#DIV/0!"/>
    <n v="1"/>
    <x v="0"/>
    <x v="940"/>
    <x v="1066"/>
    <s v="Breidablik vs Valur"/>
  </r>
  <r>
    <s v="Red Bull Bragantino vs Corinthians / Total 0.5"/>
    <s v="Fulltbet"/>
    <x v="3334"/>
    <n v="9.17"/>
    <n v="4.4999999999999998E-2"/>
    <n v="9.6020942408376975"/>
    <x v="33"/>
    <x v="20"/>
    <x v="72"/>
    <m/>
    <x v="235"/>
    <n v="0.43209424083769754"/>
    <e v="#DIV/0!"/>
    <n v="1"/>
    <x v="0"/>
    <x v="484"/>
    <x v="524"/>
    <s v="Red Bull Bragantino vs Corinthians"/>
  </r>
  <r>
    <s v="Club Nacional vs CA Boston River / Correct Score"/>
    <s v="Fulltbet"/>
    <x v="3335"/>
    <n v="-28.57"/>
    <n v="4.4999999999999998E-2"/>
    <n v="-28.57"/>
    <x v="33"/>
    <x v="20"/>
    <x v="72"/>
    <m/>
    <x v="235"/>
    <n v="0"/>
    <e v="#DIV/0!"/>
    <n v="0"/>
    <x v="0"/>
    <x v="990"/>
    <x v="1067"/>
    <s v="Club Nacional vs CA Boston River"/>
  </r>
  <r>
    <s v="Red Bull Bragantino vs Corinthians / Match Odds"/>
    <s v="Fulltbet"/>
    <x v="3336"/>
    <n v="-249.99"/>
    <n v="4.4999999999999998E-2"/>
    <n v="-249.99"/>
    <x v="33"/>
    <x v="20"/>
    <x v="72"/>
    <m/>
    <x v="235"/>
    <n v="0"/>
    <e v="#DIV/0!"/>
    <n v="0"/>
    <x v="0"/>
    <x v="484"/>
    <x v="524"/>
    <s v="Red Bull Bragantino vs Corinthians"/>
  </r>
  <r>
    <s v="Metropolitanos FC vs Universidad Central de Venezuela FC / Match Odds"/>
    <s v="Fulltbet"/>
    <x v="3337"/>
    <n v="5.45"/>
    <n v="4.4999999999999998E-2"/>
    <n v="5.7068062827225132"/>
    <x v="33"/>
    <x v="20"/>
    <x v="72"/>
    <m/>
    <x v="235"/>
    <n v="0.25680628272251305"/>
    <e v="#DIV/0!"/>
    <n v="1"/>
    <x v="0"/>
    <x v="546"/>
    <x v="1068"/>
    <s v="Metropolitanos FC vs Universidad Central de Venezuela FC"/>
  </r>
  <r>
    <s v="Flamengo vs EC Vitória / Match Odds"/>
    <s v="Fulltbet"/>
    <x v="3338"/>
    <n v="38.36"/>
    <n v="4.4999999999999998E-2"/>
    <n v="40.167539267015705"/>
    <x v="33"/>
    <x v="20"/>
    <x v="72"/>
    <m/>
    <x v="235"/>
    <n v="1.8075392670157058"/>
    <e v="#DIV/0!"/>
    <n v="1"/>
    <x v="0"/>
    <x v="486"/>
    <x v="518"/>
    <s v="Flamengo vs EC Vitória"/>
  </r>
  <r>
    <s v="Universidad de Chile vs Palestino / Total 2.5"/>
    <s v="Fulltbet"/>
    <x v="3339"/>
    <n v="4.78"/>
    <n v="4.4999999999999998E-2"/>
    <n v="5.005235602094241"/>
    <x v="33"/>
    <x v="20"/>
    <x v="72"/>
    <m/>
    <x v="235"/>
    <n v="0.22523560209424076"/>
    <e v="#DIV/0!"/>
    <n v="1"/>
    <x v="0"/>
    <x v="806"/>
    <x v="535"/>
    <s v="Universidad de Chile vs Palestino"/>
  </r>
  <r>
    <s v="Guayaquil City FC vs Emelec / Total 0.5"/>
    <s v="Fulltbet"/>
    <x v="3340"/>
    <n v="-20"/>
    <n v="4.4999999999999998E-2"/>
    <n v="-20"/>
    <x v="33"/>
    <x v="20"/>
    <x v="72"/>
    <m/>
    <x v="235"/>
    <n v="0"/>
    <e v="#DIV/0!"/>
    <n v="0"/>
    <x v="0"/>
    <x v="978"/>
    <x v="1069"/>
    <s v="Guayaquil City FC vs Emelec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name="TD_Botbet" cacheId="9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12" firstHeaderRow="0" firstDataRow="1" firstDataCol="1" rowPageCount="1" colPageCount="1"/>
  <pivotFields count="19">
    <pivotField dataField="1" showAll="0" defaultSubtotal="0"/>
    <pivotField showAll="0" defaultSubtotal="0"/>
    <pivotField numFmtId="14" showAll="0">
      <items count="33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1">
        <item x="4"/>
        <item x="10"/>
        <item m="1" x="36"/>
        <item x="9"/>
        <item m="1" x="38"/>
        <item x="1"/>
        <item x="3"/>
        <item x="8"/>
        <item x="2"/>
        <item x="0"/>
        <item x="6"/>
        <item m="1" x="39"/>
        <item x="7"/>
        <item x="5"/>
        <item x="33"/>
        <item x="11"/>
        <item x="12"/>
        <item x="13"/>
        <item x="14"/>
        <item m="1" x="35"/>
        <item x="16"/>
        <item x="17"/>
        <item x="18"/>
        <item m="1" x="37"/>
        <item x="19"/>
        <item x="15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34"/>
        <item x="32"/>
        <item t="default"/>
      </items>
    </pivotField>
    <pivotField axis="axisRow" showAll="0" sortType="ascending">
      <items count="99">
        <item x="4"/>
        <item x="0"/>
        <item x="2"/>
        <item x="5"/>
        <item x="74"/>
        <item x="79"/>
        <item x="1"/>
        <item x="3"/>
        <item x="6"/>
        <item x="66"/>
        <item x="63"/>
        <item x="64"/>
        <item x="83"/>
        <item x="47"/>
        <item x="51"/>
        <item m="1" x="97"/>
        <item x="69"/>
        <item x="71"/>
        <item x="40"/>
        <item x="9"/>
        <item x="73"/>
        <item x="72"/>
        <item x="45"/>
        <item x="39"/>
        <item x="11"/>
        <item x="14"/>
        <item x="59"/>
        <item x="49"/>
        <item x="84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7"/>
        <item x="24"/>
        <item x="85"/>
        <item x="29"/>
        <item m="1" x="96"/>
        <item x="36"/>
        <item x="54"/>
        <item x="55"/>
        <item x="44"/>
        <item x="25"/>
        <item m="1" x="93"/>
        <item x="30"/>
        <item m="1" x="90"/>
        <item m="1" x="91"/>
        <item x="31"/>
        <item x="53"/>
        <item x="27"/>
        <item x="37"/>
        <item x="26"/>
        <item x="65"/>
        <item x="68"/>
        <item x="46"/>
        <item x="67"/>
        <item x="21"/>
        <item x="82"/>
        <item x="23"/>
        <item x="13"/>
        <item x="12"/>
        <item x="22"/>
        <item m="1" x="95"/>
        <item x="80"/>
        <item x="43"/>
        <item x="88"/>
        <item x="87"/>
        <item x="38"/>
        <item m="1" x="89"/>
        <item x="86"/>
        <item x="78"/>
        <item x="41"/>
        <item m="1" x="94"/>
        <item x="33"/>
        <item x="35"/>
        <item x="70"/>
        <item x="42"/>
        <item x="19"/>
        <item x="28"/>
        <item x="10"/>
        <item x="17"/>
        <item x="81"/>
        <item m="1" x="92"/>
        <item x="76"/>
        <item x="75"/>
        <item x="7"/>
        <item x="48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dataField="1" dragToRow="0" dragToCol="0" dragToPage="0" showAll="0" defaultSubtotal="0"/>
  </pivotFields>
  <rowFields count="1">
    <field x="7"/>
  </rowFields>
  <rowItems count="8">
    <i>
      <x v="13"/>
    </i>
    <i>
      <x v="26"/>
    </i>
    <i>
      <x v="27"/>
    </i>
    <i>
      <x v="41"/>
    </i>
    <i>
      <x v="60"/>
    </i>
    <i>
      <x v="77"/>
    </i>
    <i>
      <x v="85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8" baseField="0" baseItem="0" numFmtId="165"/>
    <dataField name="WR Real" fld="13" subtotal="average" baseField="0" baseItem="0" numFmtId="165"/>
  </dataFields>
  <formats count="50">
    <format dxfId="875">
      <pivotArea outline="0" collapsedLevelsAreSubtotals="1" fieldPosition="0"/>
    </format>
    <format dxfId="87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field="7" type="button" dataOnly="0" labelOnly="1" outline="0" axis="axisRow" fieldPosition="0"/>
    </format>
    <format dxfId="869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60">
      <pivotArea dataOnly="0" labelOnly="1" grandRow="1" outline="0" fieldPosition="0"/>
    </format>
    <format dxfId="85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54">
      <pivotArea dataOnly="0" labelOnly="1" grandRow="1" outline="0" fieldPosition="0"/>
    </format>
    <format dxfId="85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2">
      <pivotArea dataOnly="0" labelOnly="1" fieldPosition="0">
        <references count="1">
          <reference field="7" count="1">
            <x v="39"/>
          </reference>
        </references>
      </pivotArea>
    </format>
    <format dxfId="851">
      <pivotArea dataOnly="0" labelOnly="1" fieldPosition="0">
        <references count="1">
          <reference field="7" count="1">
            <x v="77"/>
          </reference>
        </references>
      </pivotArea>
    </format>
    <format dxfId="850">
      <pivotArea dataOnly="0" labelOnly="1" fieldPosition="0">
        <references count="1">
          <reference field="7" count="1">
            <x v="39"/>
          </reference>
        </references>
      </pivotArea>
    </format>
    <format dxfId="849">
      <pivotArea dataOnly="0" labelOnly="1" fieldPosition="0">
        <references count="1">
          <reference field="7" count="1">
            <x v="77"/>
          </reference>
        </references>
      </pivotArea>
    </format>
    <format dxfId="848">
      <pivotArea dataOnly="0" labelOnly="1" fieldPosition="0">
        <references count="1">
          <reference field="7" count="1">
            <x v="13"/>
          </reference>
        </references>
      </pivotArea>
    </format>
    <format dxfId="847">
      <pivotArea dataOnly="0" labelOnly="1" fieldPosition="0">
        <references count="1">
          <reference field="7" count="2">
            <x v="27"/>
            <x v="35"/>
          </reference>
        </references>
      </pivotArea>
    </format>
    <format dxfId="846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845">
      <pivotArea dataOnly="0" labelOnly="1" fieldPosition="0">
        <references count="1">
          <reference field="7" count="2">
            <x v="48"/>
            <x v="57"/>
          </reference>
        </references>
      </pivotArea>
    </format>
    <format dxfId="844">
      <pivotArea dataOnly="0" labelOnly="1" fieldPosition="0">
        <references count="1">
          <reference field="7" count="2">
            <x v="77"/>
            <x v="81"/>
          </reference>
        </references>
      </pivotArea>
    </format>
    <format dxfId="843">
      <pivotArea dataOnly="0" labelOnly="1" fieldPosition="0">
        <references count="1">
          <reference field="7" count="2">
            <x v="84"/>
            <x v="96"/>
          </reference>
        </references>
      </pivotArea>
    </format>
    <format dxfId="842">
      <pivotArea dataOnly="0" labelOnly="1" fieldPosition="0">
        <references count="1">
          <reference field="7" count="1">
            <x v="35"/>
          </reference>
        </references>
      </pivotArea>
    </format>
    <format dxfId="841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840">
      <pivotArea dataOnly="0" labelOnly="1" fieldPosition="0">
        <references count="1">
          <reference field="7" count="1">
            <x v="48"/>
          </reference>
        </references>
      </pivotArea>
    </format>
    <format dxfId="839">
      <pivotArea dataOnly="0" labelOnly="1" fieldPosition="0">
        <references count="1">
          <reference field="7" count="1">
            <x v="84"/>
          </reference>
        </references>
      </pivotArea>
    </format>
    <format dxfId="838">
      <pivotArea dataOnly="0" labelOnly="1" fieldPosition="0">
        <references count="1">
          <reference field="7" count="22">
            <x v="13"/>
            <x v="14"/>
            <x v="18"/>
            <x v="23"/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96"/>
          </reference>
        </references>
      </pivotArea>
    </format>
    <format dxfId="837">
      <pivotArea dataOnly="0" labelOnly="1" fieldPosition="0">
        <references count="1">
          <reference field="7" count="1">
            <x v="26"/>
          </reference>
        </references>
      </pivotArea>
    </format>
    <format dxfId="836">
      <pivotArea dataOnly="0" labelOnly="1" fieldPosition="0">
        <references count="1">
          <reference field="7" count="1">
            <x v="42"/>
          </reference>
        </references>
      </pivotArea>
    </format>
    <format dxfId="835">
      <pivotArea dataOnly="0" labelOnly="1" fieldPosition="0">
        <references count="1">
          <reference field="7" count="1">
            <x v="48"/>
          </reference>
        </references>
      </pivotArea>
    </format>
    <format dxfId="834">
      <pivotArea dataOnly="0" labelOnly="1" fieldPosition="0">
        <references count="1">
          <reference field="7" count="1">
            <x v="57"/>
          </reference>
        </references>
      </pivotArea>
    </format>
    <format dxfId="833">
      <pivotArea dataOnly="0" labelOnly="1" fieldPosition="0">
        <references count="1">
          <reference field="7" count="1">
            <x v="81"/>
          </reference>
        </references>
      </pivotArea>
    </format>
    <format dxfId="832">
      <pivotArea dataOnly="0" labelOnly="1" fieldPosition="0">
        <references count="1">
          <reference field="7" count="16"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</reference>
        </references>
      </pivotArea>
    </format>
    <format dxfId="831">
      <pivotArea dataOnly="0" labelOnly="1" fieldPosition="0">
        <references count="1">
          <reference field="7" count="1">
            <x v="85"/>
          </reference>
        </references>
      </pivotArea>
    </format>
    <format dxfId="830">
      <pivotArea dataOnly="0" labelOnly="1" fieldPosition="0">
        <references count="1">
          <reference field="7" count="2">
            <x v="39"/>
            <x v="40"/>
          </reference>
        </references>
      </pivotArea>
    </format>
    <format dxfId="829">
      <pivotArea dataOnly="0" labelOnly="1" fieldPosition="0">
        <references count="1">
          <reference field="7" count="1">
            <x v="40"/>
          </reference>
        </references>
      </pivotArea>
    </format>
    <format dxfId="828">
      <pivotArea dataOnly="0" labelOnly="1" fieldPosition="0">
        <references count="1">
          <reference field="7" count="14"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85"/>
          </reference>
        </references>
      </pivotArea>
    </format>
    <format dxfId="8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dateBetween" evalOrder="-1" id="24" name="Data de liquidação">
      <autoFilter ref="A1">
        <filterColumn colId="0">
          <customFilters and="1">
            <customFilter operator="greaterThanOrEqual" val="46230"/>
            <customFilter operator="lessThanOrEqual" val="46236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3"/>
                    <x v="14"/>
                    <x v="18"/>
                    <x v="23"/>
                    <x v="26"/>
                    <x v="27"/>
                    <x v="30"/>
                    <x v="35"/>
                    <x v="39"/>
                    <x v="40"/>
                    <x v="41"/>
                    <x v="42"/>
                    <x v="48"/>
                    <x v="57"/>
                    <x v="60"/>
                    <x v="64"/>
                    <x v="74"/>
                    <x v="77"/>
                    <x v="81"/>
                    <x v="83"/>
                    <x v="84"/>
                    <x v="85"/>
                    <x v="96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abela dinâmica1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dataFiel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708">
      <pivotArea type="all" dataOnly="0" outline="0" fieldPosition="0"/>
    </format>
    <format dxfId="707">
      <pivotArea field="7" type="button" dataOnly="0" labelOnly="1" outline="0"/>
    </format>
    <format dxfId="706">
      <pivotArea dataOnly="0" labelOnly="1" grandRow="1" outline="0" fieldPosition="0"/>
    </format>
    <format dxfId="705">
      <pivotArea type="all" dataOnly="0" outline="0" fieldPosition="0"/>
    </format>
    <format dxfId="704">
      <pivotArea field="7" type="button" dataOnly="0" labelOnly="1" outline="0"/>
    </format>
    <format dxfId="703">
      <pivotArea dataOnly="0" labelOnly="1" grandRow="1" outline="0" fieldPosition="0"/>
    </format>
    <format dxfId="702">
      <pivotArea type="all" dataOnly="0" outline="0" fieldPosition="0"/>
    </format>
    <format dxfId="701">
      <pivotArea outline="0" collapsedLevelsAreSubtotals="1" fieldPosition="0"/>
    </format>
    <format dxfId="700">
      <pivotArea field="7" type="button" dataOnly="0" labelOnly="1" outline="0"/>
    </format>
    <format dxfId="699">
      <pivotArea dataOnly="0" labelOnly="1" outline="0" axis="axisValues" fieldPosition="0"/>
    </format>
    <format dxfId="698">
      <pivotArea dataOnly="0" labelOnly="1" grandRow="1" outline="0" fieldPosition="0"/>
    </format>
    <format dxfId="697">
      <pivotArea dataOnly="0" labelOnly="1" outline="0" axis="axisValues" fieldPosition="0"/>
    </format>
    <format dxfId="696">
      <pivotArea type="all" dataOnly="0" outline="0" fieldPosition="0"/>
    </format>
    <format dxfId="695">
      <pivotArea outline="0" collapsedLevelsAreSubtotals="1" fieldPosition="0"/>
    </format>
    <format dxfId="694">
      <pivotArea field="7" type="button" dataOnly="0" labelOnly="1" outline="0"/>
    </format>
    <format dxfId="693">
      <pivotArea dataOnly="0" labelOnly="1" outline="0" axis="axisValues" fieldPosition="0"/>
    </format>
    <format dxfId="692">
      <pivotArea dataOnly="0" labelOnly="1" grandRow="1" outline="0" fieldPosition="0"/>
    </format>
    <format dxfId="691">
      <pivotArea dataOnly="0" labelOnly="1" outline="0" axis="axisValues" fieldPosition="0"/>
    </format>
    <format dxfId="690">
      <pivotArea type="all" dataOnly="0" outline="0" fieldPosition="0"/>
    </format>
    <format dxfId="689">
      <pivotArea outline="0" collapsedLevelsAreSubtotals="1" fieldPosition="0"/>
    </format>
    <format dxfId="688">
      <pivotArea field="7" type="button" dataOnly="0" labelOnly="1" outline="0"/>
    </format>
    <format dxfId="687">
      <pivotArea dataOnly="0" labelOnly="1" outline="0" axis="axisValues" fieldPosition="0"/>
    </format>
    <format dxfId="686">
      <pivotArea dataOnly="0" labelOnly="1" grandRow="1" outline="0" fieldPosition="0"/>
    </format>
    <format dxfId="685">
      <pivotArea dataOnly="0" labelOnly="1" outline="0" axis="axisValues" fieldPosition="0"/>
    </format>
    <format dxfId="684">
      <pivotArea type="all" dataOnly="0" outline="0" fieldPosition="0"/>
    </format>
    <format dxfId="683">
      <pivotArea outline="0" collapsedLevelsAreSubtotals="1" fieldPosition="0"/>
    </format>
    <format dxfId="682">
      <pivotArea field="7" type="button" dataOnly="0" labelOnly="1" outline="0"/>
    </format>
    <format dxfId="681">
      <pivotArea dataOnly="0" labelOnly="1" outline="0" axis="axisValues" fieldPosition="0"/>
    </format>
    <format dxfId="680">
      <pivotArea dataOnly="0" labelOnly="1" grandRow="1" outline="0" fieldPosition="0"/>
    </format>
    <format dxfId="679">
      <pivotArea dataOnly="0" labelOnly="1" outline="0" axis="axisValues" fieldPosition="0"/>
    </format>
    <format dxfId="678">
      <pivotArea type="all" dataOnly="0" outline="0" fieldPosition="0"/>
    </format>
    <format dxfId="677">
      <pivotArea outline="0" collapsedLevelsAreSubtotals="1" fieldPosition="0"/>
    </format>
    <format dxfId="676">
      <pivotArea field="7" type="button" dataOnly="0" labelOnly="1" outline="0"/>
    </format>
    <format dxfId="675">
      <pivotArea dataOnly="0" labelOnly="1" outline="0" axis="axisValues" fieldPosition="0"/>
    </format>
    <format dxfId="674">
      <pivotArea dataOnly="0" labelOnly="1" grandRow="1" outline="0" fieldPosition="0"/>
    </format>
    <format dxfId="673">
      <pivotArea dataOnly="0" labelOnly="1" outline="0" axis="axisValues" fieldPosition="0"/>
    </format>
    <format dxfId="672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imesVisitante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87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07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5"/>
  </rowFields>
  <rowItems count="85">
    <i>
      <x v="19"/>
    </i>
    <i r="1">
      <x v="392"/>
    </i>
    <i r="1">
      <x v="92"/>
    </i>
    <i r="1">
      <x v="700"/>
    </i>
    <i r="1">
      <x v="704"/>
    </i>
    <i r="1">
      <x v="796"/>
    </i>
    <i r="1">
      <x v="104"/>
    </i>
    <i r="1">
      <x v="879"/>
    </i>
    <i r="1">
      <x v="886"/>
    </i>
    <i r="1">
      <x v="811"/>
    </i>
    <i r="1">
      <x v="324"/>
    </i>
    <i r="1">
      <x v="703"/>
    </i>
    <i r="1">
      <x v="873"/>
    </i>
    <i r="1">
      <x v="126"/>
    </i>
    <i r="1">
      <x v="559"/>
    </i>
    <i r="1">
      <x v="633"/>
    </i>
    <i r="1">
      <x v="427"/>
    </i>
    <i r="1">
      <x v="694"/>
    </i>
    <i r="1">
      <x v="842"/>
    </i>
    <i r="1">
      <x v="93"/>
    </i>
    <i r="1">
      <x v="247"/>
    </i>
    <i r="1">
      <x v="501"/>
    </i>
    <i r="1">
      <x v="192"/>
    </i>
    <i r="1">
      <x v="854"/>
    </i>
    <i r="1">
      <x v="699"/>
    </i>
    <i r="1">
      <x v="531"/>
    </i>
    <i r="1">
      <x v="16"/>
    </i>
    <i r="1">
      <x v="654"/>
    </i>
    <i r="1">
      <x v="480"/>
    </i>
    <i r="1">
      <x v="789"/>
    </i>
    <i r="1">
      <x v="54"/>
    </i>
    <i r="1">
      <x v="147"/>
    </i>
    <i r="1">
      <x v="326"/>
    </i>
    <i r="1">
      <x v="887"/>
    </i>
    <i r="1">
      <x v="632"/>
    </i>
    <i r="1">
      <x v="772"/>
    </i>
    <i r="1">
      <x v="405"/>
    </i>
    <i r="1">
      <x v="132"/>
    </i>
    <i r="1">
      <x v="847"/>
    </i>
    <i r="1">
      <x v="517"/>
    </i>
    <i r="1">
      <x v="56"/>
    </i>
    <i r="1">
      <x v="598"/>
    </i>
    <i r="1">
      <x v="65"/>
    </i>
    <i r="1">
      <x v="878"/>
    </i>
    <i r="1">
      <x v="375"/>
    </i>
    <i r="1">
      <x v="849"/>
    </i>
    <i r="1">
      <x v="689"/>
    </i>
    <i r="1">
      <x v="133"/>
    </i>
    <i r="1">
      <x v="169"/>
    </i>
    <i r="1">
      <x v="100"/>
    </i>
    <i r="1">
      <x v="925"/>
    </i>
    <i r="1">
      <x v="802"/>
    </i>
    <i r="1">
      <x v="481"/>
    </i>
    <i r="1">
      <x v="369"/>
    </i>
    <i r="1">
      <x v="234"/>
    </i>
    <i r="1">
      <x v="222"/>
    </i>
    <i r="1">
      <x v="186"/>
    </i>
    <i r="1">
      <x v="400"/>
    </i>
    <i r="1">
      <x v="357"/>
    </i>
    <i r="1">
      <x v="436"/>
    </i>
    <i r="1">
      <x v="229"/>
    </i>
    <i r="1">
      <x v="141"/>
    </i>
    <i r="1">
      <x v="472"/>
    </i>
    <i r="1">
      <x v="304"/>
    </i>
    <i r="1">
      <x v="650"/>
    </i>
    <i r="1">
      <x v="543"/>
    </i>
    <i r="1">
      <x v="560"/>
    </i>
    <i r="1">
      <x v="719"/>
    </i>
    <i r="1">
      <x v="286"/>
    </i>
    <i r="1">
      <x v="468"/>
    </i>
    <i r="1">
      <x v="846"/>
    </i>
    <i r="1">
      <x v="759"/>
    </i>
    <i r="1">
      <x v="395"/>
    </i>
    <i r="1">
      <x v="150"/>
    </i>
    <i>
      <x v="29"/>
    </i>
    <i r="1">
      <x v="104"/>
    </i>
    <i r="1">
      <x v="427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47">
      <pivotArea type="all" dataOnly="0" outline="0" fieldPosition="0"/>
    </format>
    <format dxfId="746">
      <pivotArea field="7" type="button" dataOnly="0" labelOnly="1" outline="0" axis="axisRow" fieldPosition="0"/>
    </format>
    <format dxfId="745">
      <pivotArea dataOnly="0" labelOnly="1" grandRow="1" outline="0" fieldPosition="0"/>
    </format>
    <format dxfId="744">
      <pivotArea type="all" dataOnly="0" outline="0" fieldPosition="0"/>
    </format>
    <format dxfId="743">
      <pivotArea field="7" type="button" dataOnly="0" labelOnly="1" outline="0" axis="axisRow" fieldPosition="0"/>
    </format>
    <format dxfId="742">
      <pivotArea dataOnly="0" labelOnly="1" grandRow="1" outline="0" fieldPosition="0"/>
    </format>
    <format dxfId="741">
      <pivotArea type="all" dataOnly="0" outline="0" fieldPosition="0"/>
    </format>
    <format dxfId="740">
      <pivotArea outline="0" collapsedLevelsAreSubtotals="1" fieldPosition="0"/>
    </format>
    <format dxfId="739">
      <pivotArea field="7" type="button" dataOnly="0" labelOnly="1" outline="0" axis="axisRow" fieldPosition="0"/>
    </format>
    <format dxfId="738">
      <pivotArea dataOnly="0" labelOnly="1" outline="0" axis="axisValues" fieldPosition="0"/>
    </format>
    <format dxfId="737">
      <pivotArea dataOnly="0" labelOnly="1" grandRow="1" outline="0" fieldPosition="0"/>
    </format>
    <format dxfId="736">
      <pivotArea dataOnly="0" labelOnly="1" outline="0" axis="axisValues" fieldPosition="0"/>
    </format>
    <format dxfId="735">
      <pivotArea type="all" dataOnly="0" outline="0" fieldPosition="0"/>
    </format>
    <format dxfId="734">
      <pivotArea outline="0" collapsedLevelsAreSubtotals="1" fieldPosition="0"/>
    </format>
    <format dxfId="733">
      <pivotArea field="7" type="button" dataOnly="0" labelOnly="1" outline="0" axis="axisRow" fieldPosition="0"/>
    </format>
    <format dxfId="732">
      <pivotArea dataOnly="0" labelOnly="1" outline="0" axis="axisValues" fieldPosition="0"/>
    </format>
    <format dxfId="731">
      <pivotArea dataOnly="0" labelOnly="1" grandRow="1" outline="0" fieldPosition="0"/>
    </format>
    <format dxfId="730">
      <pivotArea dataOnly="0" labelOnly="1" outline="0" axis="axisValues" fieldPosition="0"/>
    </format>
    <format dxfId="729">
      <pivotArea type="all" dataOnly="0" outline="0" fieldPosition="0"/>
    </format>
    <format dxfId="728">
      <pivotArea outline="0" collapsedLevelsAreSubtotals="1" fieldPosition="0"/>
    </format>
    <format dxfId="727">
      <pivotArea field="7" type="button" dataOnly="0" labelOnly="1" outline="0" axis="axisRow" fieldPosition="0"/>
    </format>
    <format dxfId="726">
      <pivotArea dataOnly="0" labelOnly="1" outline="0" axis="axisValues" fieldPosition="0"/>
    </format>
    <format dxfId="725">
      <pivotArea dataOnly="0" labelOnly="1" grandRow="1" outline="0" fieldPosition="0"/>
    </format>
    <format dxfId="724">
      <pivotArea dataOnly="0" labelOnly="1" outline="0" axis="axisValues" fieldPosition="0"/>
    </format>
    <format dxfId="723">
      <pivotArea type="all" dataOnly="0" outline="0" fieldPosition="0"/>
    </format>
    <format dxfId="722">
      <pivotArea outline="0" collapsedLevelsAreSubtotals="1" fieldPosition="0"/>
    </format>
    <format dxfId="721">
      <pivotArea field="7" type="button" dataOnly="0" labelOnly="1" outline="0" axis="axisRow" fieldPosition="0"/>
    </format>
    <format dxfId="720">
      <pivotArea dataOnly="0" labelOnly="1" outline="0" axis="axisValues" fieldPosition="0"/>
    </format>
    <format dxfId="719">
      <pivotArea dataOnly="0" labelOnly="1" grandRow="1" outline="0" fieldPosition="0"/>
    </format>
    <format dxfId="718">
      <pivotArea dataOnly="0" labelOnly="1" outline="0" axis="axisValues" fieldPosition="0"/>
    </format>
    <format dxfId="717">
      <pivotArea type="all" dataOnly="0" outline="0" fieldPosition="0"/>
    </format>
    <format dxfId="716">
      <pivotArea outline="0" collapsedLevelsAreSubtotals="1" fieldPosition="0"/>
    </format>
    <format dxfId="715">
      <pivotArea field="7" type="button" dataOnly="0" labelOnly="1" outline="0" axis="axisRow" fieldPosition="0"/>
    </format>
    <format dxfId="714">
      <pivotArea dataOnly="0" labelOnly="1" outline="0" axis="axisValues" fieldPosition="0"/>
    </format>
    <format dxfId="713">
      <pivotArea dataOnly="0" labelOnly="1" grandRow="1" outline="0" fieldPosition="0"/>
    </format>
    <format dxfId="712">
      <pivotArea dataOnly="0" labelOnly="1" outline="0" axis="axisValues" fieldPosition="0"/>
    </format>
    <format dxfId="711">
      <pivotArea outline="0" collapsedLevelsAreSubtotals="1" fieldPosition="0"/>
    </format>
    <format dxfId="71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Campeonatos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55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0"/>
        <item h="1" x="30"/>
        <item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m="1" x="97"/>
        <item m="1" x="92"/>
        <item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x="68"/>
        <item h="1" x="83"/>
        <item h="1" m="1" x="95"/>
        <item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4"/>
  </rowFields>
  <rowItems count="53">
    <i>
      <x v="10"/>
    </i>
    <i r="1">
      <x v="3"/>
    </i>
    <i r="1">
      <x v="14"/>
    </i>
    <i r="1">
      <x v="33"/>
    </i>
    <i>
      <x v="19"/>
    </i>
    <i r="1">
      <x v="10"/>
    </i>
    <i r="1">
      <x/>
    </i>
    <i r="1">
      <x v="7"/>
    </i>
    <i r="1">
      <x v="17"/>
    </i>
    <i r="1">
      <x v="43"/>
    </i>
    <i r="1">
      <x v="24"/>
    </i>
    <i r="1">
      <x v="23"/>
    </i>
    <i r="1">
      <x v="8"/>
    </i>
    <i r="1">
      <x v="22"/>
    </i>
    <i r="1">
      <x v="19"/>
    </i>
    <i r="1">
      <x v="3"/>
    </i>
    <i r="1">
      <x v="46"/>
    </i>
    <i r="1">
      <x v="6"/>
    </i>
    <i r="1">
      <x v="36"/>
    </i>
    <i r="1">
      <x v="47"/>
    </i>
    <i r="1">
      <x v="41"/>
    </i>
    <i r="1">
      <x v="18"/>
    </i>
    <i r="1">
      <x v="29"/>
    </i>
    <i r="1">
      <x v="50"/>
    </i>
    <i r="1">
      <x v="15"/>
    </i>
    <i r="1">
      <x v="4"/>
    </i>
    <i r="1">
      <x v="27"/>
    </i>
    <i r="1">
      <x v="13"/>
    </i>
    <i r="1">
      <x v="52"/>
    </i>
    <i r="1">
      <x v="45"/>
    </i>
    <i r="1">
      <x v="14"/>
    </i>
    <i r="1">
      <x v="34"/>
    </i>
    <i r="1">
      <x v="38"/>
    </i>
    <i r="1">
      <x v="39"/>
    </i>
    <i r="1">
      <x v="49"/>
    </i>
    <i r="1">
      <x v="35"/>
    </i>
    <i r="1">
      <x v="42"/>
    </i>
    <i r="1">
      <x v="37"/>
    </i>
    <i>
      <x v="24"/>
    </i>
    <i r="1">
      <x v="10"/>
    </i>
    <i r="1">
      <x v="7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6">
      <pivotArea type="all" dataOnly="0" outline="0" fieldPosition="0"/>
    </format>
    <format dxfId="785">
      <pivotArea field="7" type="button" dataOnly="0" labelOnly="1" outline="0" axis="axisRow" fieldPosition="0"/>
    </format>
    <format dxfId="784">
      <pivotArea dataOnly="0" labelOnly="1" grandRow="1" outline="0" fieldPosition="0"/>
    </format>
    <format dxfId="783">
      <pivotArea type="all" dataOnly="0" outline="0" fieldPosition="0"/>
    </format>
    <format dxfId="782">
      <pivotArea field="7" type="button" dataOnly="0" labelOnly="1" outline="0" axis="axisRow" fieldPosition="0"/>
    </format>
    <format dxfId="781">
      <pivotArea dataOnly="0" labelOnly="1" grandRow="1" outline="0" fieldPosition="0"/>
    </format>
    <format dxfId="780">
      <pivotArea type="all" dataOnly="0" outline="0" fieldPosition="0"/>
    </format>
    <format dxfId="779">
      <pivotArea outline="0" collapsedLevelsAreSubtotals="1" fieldPosition="0"/>
    </format>
    <format dxfId="778">
      <pivotArea field="7" type="button" dataOnly="0" labelOnly="1" outline="0" axis="axisRow" fieldPosition="0"/>
    </format>
    <format dxfId="777">
      <pivotArea dataOnly="0" labelOnly="1" outline="0" axis="axisValues" fieldPosition="0"/>
    </format>
    <format dxfId="776">
      <pivotArea dataOnly="0" labelOnly="1" grandRow="1" outline="0" fieldPosition="0"/>
    </format>
    <format dxfId="775">
      <pivotArea dataOnly="0" labelOnly="1" outline="0" axis="axisValues" fieldPosition="0"/>
    </format>
    <format dxfId="774">
      <pivotArea type="all" dataOnly="0" outline="0" fieldPosition="0"/>
    </format>
    <format dxfId="773">
      <pivotArea outline="0" collapsedLevelsAreSubtotals="1" fieldPosition="0"/>
    </format>
    <format dxfId="772">
      <pivotArea field="7" type="button" dataOnly="0" labelOnly="1" outline="0" axis="axisRow" fieldPosition="0"/>
    </format>
    <format dxfId="771">
      <pivotArea dataOnly="0" labelOnly="1" outline="0" axis="axisValues" fieldPosition="0"/>
    </format>
    <format dxfId="770">
      <pivotArea dataOnly="0" labelOnly="1" grandRow="1" outline="0" fieldPosition="0"/>
    </format>
    <format dxfId="769">
      <pivotArea dataOnly="0" labelOnly="1" outline="0" axis="axisValues" fieldPosition="0"/>
    </format>
    <format dxfId="768">
      <pivotArea type="all" dataOnly="0" outline="0" fieldPosition="0"/>
    </format>
    <format dxfId="767">
      <pivotArea outline="0" collapsedLevelsAreSubtotals="1" fieldPosition="0"/>
    </format>
    <format dxfId="766">
      <pivotArea field="7" type="button" dataOnly="0" labelOnly="1" outline="0" axis="axisRow" fieldPosition="0"/>
    </format>
    <format dxfId="765">
      <pivotArea dataOnly="0" labelOnly="1" outline="0" axis="axisValues" fieldPosition="0"/>
    </format>
    <format dxfId="764">
      <pivotArea dataOnly="0" labelOnly="1" grandRow="1" outline="0" fieldPosition="0"/>
    </format>
    <format dxfId="763">
      <pivotArea dataOnly="0" labelOnly="1" outline="0" axis="axisValues" fieldPosition="0"/>
    </format>
    <format dxfId="762">
      <pivotArea type="all" dataOnly="0" outline="0" fieldPosition="0"/>
    </format>
    <format dxfId="761">
      <pivotArea outline="0" collapsedLevelsAreSubtotals="1" fieldPosition="0"/>
    </format>
    <format dxfId="760">
      <pivotArea field="7" type="button" dataOnly="0" labelOnly="1" outline="0" axis="axisRow" fieldPosition="0"/>
    </format>
    <format dxfId="759">
      <pivotArea dataOnly="0" labelOnly="1" outline="0" axis="axisValues" fieldPosition="0"/>
    </format>
    <format dxfId="758">
      <pivotArea dataOnly="0" labelOnly="1" grandRow="1" outline="0" fieldPosition="0"/>
    </format>
    <format dxfId="757">
      <pivotArea dataOnly="0" labelOnly="1" outline="0" axis="axisValues" fieldPosition="0"/>
    </format>
    <format dxfId="756">
      <pivotArea type="all" dataOnly="0" outline="0" fieldPosition="0"/>
    </format>
    <format dxfId="755">
      <pivotArea outline="0" collapsedLevelsAreSubtotals="1" fieldPosition="0"/>
    </format>
    <format dxfId="754">
      <pivotArea field="7" type="button" dataOnly="0" labelOnly="1" outline="0" axis="axisRow" fieldPosition="0"/>
    </format>
    <format dxfId="753">
      <pivotArea dataOnly="0" labelOnly="1" outline="0" axis="axisValues" fieldPosition="0"/>
    </format>
    <format dxfId="752">
      <pivotArea dataOnly="0" labelOnly="1" grandRow="1" outline="0" fieldPosition="0"/>
    </format>
    <format dxfId="751">
      <pivotArea dataOnly="0" labelOnly="1" outline="0" axis="axisValues" fieldPosition="0"/>
    </format>
    <format dxfId="750">
      <pivotArea outline="0" collapsedLevelsAreSubtotals="1" fieldPosition="0"/>
    </format>
    <format dxfId="74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Odd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60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axis="axisRow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x="381"/>
        <item x="382"/>
        <item x="383"/>
        <item x="384"/>
        <item x="385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dragToRow="0" dragToCol="0" dragToPage="0" showAll="0" defaultSubtotal="0"/>
  </pivotFields>
  <rowFields count="1">
    <field x="8"/>
  </rowFields>
  <rowItems count="58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>
      <x v="277"/>
    </i>
    <i>
      <x v="279"/>
    </i>
    <i>
      <x v="282"/>
    </i>
    <i>
      <x v="284"/>
    </i>
    <i>
      <x v="287"/>
    </i>
    <i>
      <x v="289"/>
    </i>
    <i>
      <x v="291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25">
      <pivotArea type="all" dataOnly="0" outline="0" fieldPosition="0"/>
    </format>
    <format dxfId="824">
      <pivotArea field="7" type="button" dataOnly="0" labelOnly="1" outline="0"/>
    </format>
    <format dxfId="823">
      <pivotArea dataOnly="0" labelOnly="1" grandRow="1" outline="0" fieldPosition="0"/>
    </format>
    <format dxfId="822">
      <pivotArea type="all" dataOnly="0" outline="0" fieldPosition="0"/>
    </format>
    <format dxfId="821">
      <pivotArea field="7" type="button" dataOnly="0" labelOnly="1" outline="0"/>
    </format>
    <format dxfId="820">
      <pivotArea dataOnly="0" labelOnly="1" grandRow="1" outline="0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type="all" dataOnly="0" outline="0" fieldPosition="0"/>
    </format>
    <format dxfId="794">
      <pivotArea outline="0" collapsedLevelsAreSubtotals="1" fieldPosition="0"/>
    </format>
    <format dxfId="793">
      <pivotArea field="7" type="button" dataOnly="0" labelOnly="1" outline="0"/>
    </format>
    <format dxfId="792">
      <pivotArea dataOnly="0" labelOnly="1" outline="0" axis="axisValues" fieldPosition="0"/>
    </format>
    <format dxfId="791">
      <pivotArea dataOnly="0" labelOnly="1" grandRow="1" outline="0" fieldPosition="0"/>
    </format>
    <format dxfId="790">
      <pivotArea dataOnly="0" labelOnly="1" outline="0" axis="axisValues" fieldPosition="0"/>
    </format>
    <format dxfId="789">
      <pivotArea outline="0" collapsedLevelsAreSubtotals="1" fieldPosition="0"/>
    </format>
    <format dxfId="78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imes_LayCS" cacheId="9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78" firstHeaderRow="1" firstDataRow="3" firstDataCol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Col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dataField="1" showAll="0"/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01">
        <item x="132"/>
        <item x="136"/>
        <item x="146"/>
        <item x="187"/>
        <item x="320"/>
        <item x="291"/>
        <item x="24"/>
        <item m="1" x="1094"/>
        <item x="411"/>
        <item x="88"/>
        <item m="1" x="1106"/>
        <item x="240"/>
        <item x="327"/>
        <item x="222"/>
        <item x="382"/>
        <item m="1" x="1136"/>
        <item x="181"/>
        <item x="311"/>
        <item x="163"/>
        <item m="1" x="119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2"/>
        <item x="208"/>
        <item x="491"/>
        <item x="315"/>
        <item x="269"/>
        <item x="419"/>
        <item x="303"/>
        <item m="1" x="110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3"/>
        <item x="489"/>
        <item x="62"/>
        <item m="1" x="1138"/>
        <item x="395"/>
        <item x="335"/>
        <item m="1" x="1097"/>
        <item x="357"/>
        <item x="458"/>
        <item x="354"/>
        <item x="121"/>
        <item m="1" x="1123"/>
        <item x="481"/>
        <item x="387"/>
        <item x="50"/>
        <item m="1" x="1180"/>
        <item m="1" x="1191"/>
        <item x="242"/>
        <item x="299"/>
        <item x="349"/>
        <item x="465"/>
        <item x="422"/>
        <item x="205"/>
        <item m="1" x="1159"/>
        <item x="430"/>
        <item x="168"/>
        <item x="124"/>
        <item m="1" x="1161"/>
        <item x="502"/>
        <item x="383"/>
        <item x="57"/>
        <item m="1" x="1196"/>
        <item x="343"/>
        <item x="76"/>
        <item m="1" x="1092"/>
        <item x="197"/>
        <item x="437"/>
        <item x="160"/>
        <item x="233"/>
        <item x="432"/>
        <item x="413"/>
        <item m="1" x="1104"/>
        <item x="441"/>
        <item m="1" x="1114"/>
        <item m="1" x="1121"/>
        <item x="232"/>
        <item x="153"/>
        <item x="179"/>
        <item x="494"/>
        <item x="397"/>
        <item x="347"/>
        <item x="319"/>
        <item x="500"/>
        <item x="49"/>
        <item m="1" x="1139"/>
        <item x="135"/>
        <item x="296"/>
        <item x="77"/>
        <item m="1" x="1126"/>
        <item x="353"/>
        <item x="159"/>
        <item x="238"/>
        <item x="447"/>
        <item x="307"/>
        <item x="44"/>
        <item m="1" x="1091"/>
        <item m="1" x="1173"/>
        <item x="128"/>
        <item x="495"/>
        <item x="479"/>
        <item x="375"/>
        <item x="492"/>
        <item x="97"/>
        <item m="1" x="1130"/>
        <item x="194"/>
        <item x="96"/>
        <item m="1" x="1115"/>
        <item x="166"/>
        <item x="212"/>
        <item x="318"/>
        <item x="46"/>
        <item m="1" x="1117"/>
        <item x="368"/>
        <item x="287"/>
        <item x="267"/>
        <item x="421"/>
        <item m="1" x="1153"/>
        <item x="348"/>
        <item m="1" x="1171"/>
        <item x="471"/>
        <item x="482"/>
        <item x="182"/>
        <item x="406"/>
        <item x="192"/>
        <item x="34"/>
        <item m="1" x="1199"/>
        <item x="237"/>
        <item x="472"/>
        <item x="200"/>
        <item x="175"/>
        <item x="423"/>
        <item x="201"/>
        <item x="378"/>
        <item x="150"/>
        <item m="1" x="1181"/>
        <item x="292"/>
        <item x="466"/>
        <item x="490"/>
        <item x="352"/>
        <item x="455"/>
        <item x="191"/>
        <item x="329"/>
        <item x="443"/>
        <item m="1" x="1103"/>
        <item x="314"/>
        <item x="80"/>
        <item m="1" x="1093"/>
        <item x="344"/>
        <item m="1" x="1082"/>
        <item x="424"/>
        <item x="418"/>
        <item x="277"/>
        <item x="172"/>
        <item x="451"/>
        <item x="258"/>
        <item m="1" x="1135"/>
        <item x="157"/>
        <item x="10"/>
        <item m="1" x="1099"/>
        <item x="133"/>
        <item x="253"/>
        <item x="12"/>
        <item m="1" x="1190"/>
        <item x="412"/>
        <item x="202"/>
        <item x="322"/>
        <item x="81"/>
        <item m="1" x="1134"/>
        <item x="450"/>
        <item x="74"/>
        <item m="1" x="1112"/>
        <item x="363"/>
        <item x="473"/>
        <item x="401"/>
        <item x="338"/>
        <item x="438"/>
        <item x="20"/>
        <item m="1" x="1144"/>
        <item m="1" x="1188"/>
        <item x="130"/>
        <item m="1" x="1150"/>
        <item x="374"/>
        <item x="316"/>
        <item x="117"/>
        <item m="1" x="1164"/>
        <item m="1" x="1177"/>
        <item m="1" x="1081"/>
        <item x="270"/>
        <item x="461"/>
        <item x="147"/>
        <item x="284"/>
        <item x="230"/>
        <item x="27"/>
        <item m="1" x="1172"/>
        <item m="1" x="1109"/>
        <item x="294"/>
        <item m="1" x="1154"/>
        <item x="19"/>
        <item m="1" x="1107"/>
        <item x="38"/>
        <item m="1" x="1070"/>
        <item m="1" x="1142"/>
        <item x="170"/>
        <item m="1" x="1165"/>
        <item x="165"/>
        <item x="420"/>
        <item x="313"/>
        <item x="0"/>
        <item m="1" x="1122"/>
        <item x="389"/>
        <item x="193"/>
        <item x="188"/>
        <item x="355"/>
        <item x="256"/>
        <item x="22"/>
        <item m="1" x="1157"/>
        <item x="405"/>
        <item x="370"/>
        <item x="99"/>
        <item m="1" x="1145"/>
        <item m="1" x="1183"/>
        <item x="345"/>
        <item x="376"/>
        <item x="498"/>
        <item x="386"/>
        <item x="8"/>
        <item m="1" x="1096"/>
        <item x="323"/>
        <item x="402"/>
        <item x="250"/>
        <item x="98"/>
        <item m="1" x="1197"/>
        <item m="1" x="1073"/>
        <item m="1" x="1074"/>
        <item x="144"/>
        <item x="506"/>
        <item m="1" x="1113"/>
        <item x="388"/>
        <item x="504"/>
        <item x="346"/>
        <item m="1" x="1125"/>
        <item x="436"/>
        <item x="40"/>
        <item m="1" x="1141"/>
        <item x="72"/>
        <item m="1" x="1090"/>
        <item x="274"/>
        <item x="361"/>
        <item x="84"/>
        <item m="1" x="1116"/>
        <item x="484"/>
        <item m="1" x="1128"/>
        <item x="350"/>
        <item x="310"/>
        <item m="1" x="1083"/>
        <item x="131"/>
        <item x="360"/>
        <item x="483"/>
        <item x="380"/>
        <item m="1" x="1168"/>
        <item x="477"/>
        <item m="1" x="1075"/>
        <item m="1" x="1095"/>
        <item x="167"/>
        <item x="243"/>
        <item x="453"/>
        <item x="334"/>
        <item x="444"/>
        <item x="51"/>
        <item m="1" x="111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49"/>
        <item x="63"/>
        <item m="1" x="107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0"/>
        <item x="474"/>
        <item x="286"/>
        <item x="1"/>
        <item m="1" x="1189"/>
        <item x="152"/>
        <item x="224"/>
        <item x="213"/>
        <item x="272"/>
        <item x="190"/>
        <item x="486"/>
        <item x="109"/>
        <item m="1" x="1102"/>
        <item x="324"/>
        <item x="273"/>
        <item x="196"/>
        <item x="367"/>
        <item x="69"/>
        <item m="1" x="1124"/>
        <item x="425"/>
        <item m="1" x="1158"/>
        <item x="433"/>
        <item x="306"/>
        <item x="356"/>
        <item x="151"/>
        <item x="110"/>
        <item m="1" x="1127"/>
        <item x="340"/>
        <item x="138"/>
        <item x="156"/>
        <item x="234"/>
        <item x="478"/>
        <item x="177"/>
        <item m="1" x="1174"/>
        <item x="221"/>
        <item x="220"/>
        <item x="104"/>
        <item m="1" x="1178"/>
        <item x="261"/>
        <item x="236"/>
        <item x="456"/>
        <item x="381"/>
        <item x="434"/>
        <item x="67"/>
        <item m="1" x="1118"/>
        <item x="328"/>
        <item x="262"/>
        <item x="468"/>
        <item m="1" x="1166"/>
        <item x="85"/>
        <item m="1" x="1079"/>
        <item x="297"/>
        <item x="365"/>
        <item x="290"/>
        <item x="373"/>
        <item x="416"/>
        <item x="463"/>
        <item x="149"/>
        <item x="115"/>
        <item m="1" x="1098"/>
        <item x="223"/>
        <item x="440"/>
        <item x="459"/>
        <item x="158"/>
        <item x="216"/>
        <item x="275"/>
        <item m="1" x="1175"/>
        <item x="333"/>
        <item x="71"/>
        <item m="1" x="1169"/>
        <item x="5"/>
        <item m="1" x="1084"/>
        <item m="1" x="1152"/>
        <item x="137"/>
        <item x="399"/>
        <item m="1" x="1193"/>
        <item x="113"/>
        <item m="1" x="1185"/>
        <item x="499"/>
        <item m="1" x="1110"/>
        <item x="231"/>
        <item x="120"/>
        <item m="1" x="1132"/>
        <item x="56"/>
        <item m="1" x="1078"/>
        <item x="271"/>
        <item x="176"/>
        <item x="326"/>
        <item x="409"/>
        <item x="249"/>
        <item x="364"/>
        <item m="1" x="115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0"/>
        <item m="1" x="1148"/>
        <item x="259"/>
        <item x="195"/>
        <item m="1" x="1179"/>
        <item x="155"/>
        <item x="225"/>
        <item x="428"/>
        <item x="125"/>
        <item m="1" x="1184"/>
        <item x="385"/>
        <item x="129"/>
        <item x="330"/>
        <item x="228"/>
        <item x="247"/>
        <item x="414"/>
        <item x="283"/>
        <item x="457"/>
        <item x="281"/>
        <item m="1" x="1151"/>
        <item x="255"/>
        <item m="1" x="1087"/>
        <item x="321"/>
        <item x="199"/>
        <item x="476"/>
        <item x="366"/>
        <item x="265"/>
        <item x="429"/>
        <item x="342"/>
        <item x="148"/>
        <item x="11"/>
        <item m="1" x="107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6"/>
        <item x="173"/>
        <item m="1" x="1176"/>
        <item x="134"/>
        <item m="1" x="1182"/>
        <item x="407"/>
        <item x="442"/>
        <item x="305"/>
        <item m="1" x="1186"/>
        <item m="1" x="1198"/>
        <item m="1" x="1194"/>
        <item x="408"/>
        <item x="90"/>
        <item m="1" x="1119"/>
        <item x="141"/>
        <item x="227"/>
        <item x="209"/>
        <item x="3"/>
        <item m="1" x="1086"/>
        <item m="1" x="1076"/>
        <item x="293"/>
        <item x="112"/>
        <item m="1" x="1120"/>
        <item m="1" x="1155"/>
        <item x="180"/>
        <item x="369"/>
        <item x="186"/>
        <item x="13"/>
        <item m="1" x="1089"/>
        <item x="107"/>
        <item m="1" x="1163"/>
        <item x="384"/>
        <item x="226"/>
        <item x="118"/>
        <item m="1" x="1167"/>
        <item m="1" x="1085"/>
        <item m="1" x="1160"/>
        <item x="52"/>
        <item m="1" x="1170"/>
        <item x="43"/>
        <item m="1" x="1100"/>
        <item x="204"/>
        <item x="206"/>
        <item x="211"/>
        <item x="341"/>
        <item x="426"/>
        <item x="454"/>
        <item m="1" x="1101"/>
        <item x="439"/>
        <item x="4"/>
        <item m="1" x="1108"/>
        <item x="312"/>
        <item x="254"/>
        <item x="214"/>
        <item m="1" x="1131"/>
        <item x="235"/>
        <item x="449"/>
        <item x="415"/>
        <item x="25"/>
        <item m="1" x="1072"/>
        <item x="203"/>
        <item x="207"/>
        <item x="164"/>
        <item x="300"/>
        <item x="140"/>
        <item x="339"/>
        <item x="391"/>
        <item m="1" x="1129"/>
        <item x="452"/>
        <item x="251"/>
        <item x="403"/>
        <item x="260"/>
        <item x="446"/>
        <item x="288"/>
        <item x="503"/>
        <item x="241"/>
        <item x="301"/>
        <item m="1" x="1147"/>
        <item x="371"/>
        <item x="257"/>
        <item x="210"/>
        <item m="1" x="1088"/>
        <item x="266"/>
        <item x="445"/>
        <item x="58"/>
        <item m="1" x="1143"/>
        <item x="161"/>
        <item x="248"/>
        <item x="470"/>
        <item x="14"/>
        <item m="1" x="1137"/>
        <item x="47"/>
        <item m="1" x="1195"/>
        <item x="448"/>
        <item x="404"/>
        <item x="48"/>
        <item m="1" x="118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t="default"/>
      </items>
    </pivotField>
    <pivotField showAll="0" defaultSubtotal="0"/>
    <pivotField dragToRow="0" dragToCol="0" dragToPage="0" showAll="0" defaultSubtotal="0"/>
  </pivotFields>
  <rowFields count="1">
    <field x="16"/>
  </rowFields>
  <rowItems count="72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703"/>
    </i>
    <i>
      <x v="846"/>
    </i>
    <i>
      <x v="903"/>
    </i>
    <i>
      <x v="972"/>
    </i>
    <i>
      <x v="1058"/>
    </i>
    <i>
      <x v="1060"/>
    </i>
    <i>
      <x v="1105"/>
    </i>
    <i>
      <x v="111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585">
      <pivotArea type="all" dataOnly="0" outline="0" fieldPosition="0"/>
    </format>
    <format dxfId="584">
      <pivotArea field="7" type="button" dataOnly="0" labelOnly="1" outline="0" axis="axisCol" fieldPosition="0"/>
    </format>
    <format dxfId="583">
      <pivotArea dataOnly="0" labelOnly="1" grandRow="1" outline="0" fieldPosition="0"/>
    </format>
    <format dxfId="582">
      <pivotArea type="all" dataOnly="0" outline="0" fieldPosition="0"/>
    </format>
    <format dxfId="581">
      <pivotArea field="7" type="button" dataOnly="0" labelOnly="1" outline="0" axis="axisCol" fieldPosition="0"/>
    </format>
    <format dxfId="580">
      <pivotArea dataOnly="0" labelOnly="1" grandRow="1" outline="0" fieldPosition="0"/>
    </format>
    <format dxfId="579">
      <pivotArea type="all" dataOnly="0" outline="0" fieldPosition="0"/>
    </format>
    <format dxfId="578">
      <pivotArea outline="0" collapsedLevelsAreSubtotals="1" fieldPosition="0"/>
    </format>
    <format dxfId="577">
      <pivotArea field="7" type="button" dataOnly="0" labelOnly="1" outline="0" axis="axisCol" fieldPosition="0"/>
    </format>
    <format dxfId="576">
      <pivotArea dataOnly="0" labelOnly="1" outline="0" axis="axisValues" fieldPosition="0"/>
    </format>
    <format dxfId="575">
      <pivotArea dataOnly="0" labelOnly="1" grandRow="1" outline="0" fieldPosition="0"/>
    </format>
    <format dxfId="574">
      <pivotArea dataOnly="0" labelOnly="1" outline="0" axis="axisValues" fieldPosition="0"/>
    </format>
    <format dxfId="573">
      <pivotArea type="all" dataOnly="0" outline="0" fieldPosition="0"/>
    </format>
    <format dxfId="572">
      <pivotArea outline="0" collapsedLevelsAreSubtotals="1" fieldPosition="0"/>
    </format>
    <format dxfId="571">
      <pivotArea field="7" type="button" dataOnly="0" labelOnly="1" outline="0" axis="axisCol" fieldPosition="0"/>
    </format>
    <format dxfId="570">
      <pivotArea dataOnly="0" labelOnly="1" outline="0" axis="axisValues" fieldPosition="0"/>
    </format>
    <format dxfId="569">
      <pivotArea dataOnly="0" labelOnly="1" grandRow="1" outline="0" fieldPosition="0"/>
    </format>
    <format dxfId="568">
      <pivotArea dataOnly="0" labelOnly="1" outline="0" axis="axisValues" fieldPosition="0"/>
    </format>
    <format dxfId="567">
      <pivotArea type="all" dataOnly="0" outline="0" fieldPosition="0"/>
    </format>
    <format dxfId="566">
      <pivotArea outline="0" collapsedLevelsAreSubtotals="1" fieldPosition="0"/>
    </format>
    <format dxfId="565">
      <pivotArea field="7" type="button" dataOnly="0" labelOnly="1" outline="0" axis="axisCol" fieldPosition="0"/>
    </format>
    <format dxfId="564">
      <pivotArea dataOnly="0" labelOnly="1" outline="0" axis="axisValues" fieldPosition="0"/>
    </format>
    <format dxfId="563">
      <pivotArea dataOnly="0" labelOnly="1" grandRow="1" outline="0" fieldPosition="0"/>
    </format>
    <format dxfId="562">
      <pivotArea dataOnly="0" labelOnly="1" outline="0" axis="axisValues" fieldPosition="0"/>
    </format>
    <format dxfId="561">
      <pivotArea type="all" dataOnly="0" outline="0" fieldPosition="0"/>
    </format>
    <format dxfId="560">
      <pivotArea outline="0" collapsedLevelsAreSubtotals="1" fieldPosition="0"/>
    </format>
    <format dxfId="559">
      <pivotArea field="7" type="button" dataOnly="0" labelOnly="1" outline="0" axis="axisCol" fieldPosition="0"/>
    </format>
    <format dxfId="558">
      <pivotArea dataOnly="0" labelOnly="1" outline="0" axis="axisValues" fieldPosition="0"/>
    </format>
    <format dxfId="557">
      <pivotArea dataOnly="0" labelOnly="1" grandRow="1" outline="0" fieldPosition="0"/>
    </format>
    <format dxfId="556">
      <pivotArea dataOnly="0" labelOnly="1" outline="0" axis="axisValues" fieldPosition="0"/>
    </format>
    <format dxfId="555">
      <pivotArea type="all" dataOnly="0" outline="0" fieldPosition="0"/>
    </format>
    <format dxfId="554">
      <pivotArea outline="0" collapsedLevelsAreSubtotals="1" fieldPosition="0"/>
    </format>
    <format dxfId="553">
      <pivotArea field="7" type="button" dataOnly="0" labelOnly="1" outline="0" axis="axisCol" fieldPosition="0"/>
    </format>
    <format dxfId="552">
      <pivotArea dataOnly="0" labelOnly="1" outline="0" axis="axisValues" fieldPosition="0"/>
    </format>
    <format dxfId="551">
      <pivotArea dataOnly="0" labelOnly="1" grandRow="1" outline="0" fieldPosition="0"/>
    </format>
    <format dxfId="550">
      <pivotArea dataOnly="0" labelOnly="1" outline="0" axis="axisValues" fieldPosition="0"/>
    </format>
    <format dxfId="549">
      <pivotArea outline="0" collapsedLevelsAreSubtotals="1" fieldPosition="0"/>
    </format>
    <format dxfId="548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47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4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545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54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543">
      <pivotArea dataOnly="0" labelOnly="1" fieldPosition="0">
        <references count="1">
          <reference field="16" count="1">
            <x v="352"/>
          </reference>
        </references>
      </pivotArea>
    </format>
    <format dxfId="54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541">
      <pivotArea dataOnly="0" labelOnly="1" fieldPosition="0">
        <references count="1">
          <reference field="16" count="1">
            <x v="433"/>
          </reference>
        </references>
      </pivotArea>
    </format>
    <format dxfId="54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539">
      <pivotArea dataOnly="0" labelOnly="1" fieldPosition="0">
        <references count="1">
          <reference field="16" count="1">
            <x v="448"/>
          </reference>
        </references>
      </pivotArea>
    </format>
    <format dxfId="53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537">
      <pivotArea dataOnly="0" labelOnly="1" fieldPosition="0">
        <references count="1">
          <reference field="16" count="1">
            <x v="104"/>
          </reference>
        </references>
      </pivotArea>
    </format>
    <format dxfId="53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535">
      <pivotArea dataOnly="0" labelOnly="1" fieldPosition="0">
        <references count="1">
          <reference field="16" count="1">
            <x v="68"/>
          </reference>
        </references>
      </pivotArea>
    </format>
    <format dxfId="53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533">
      <pivotArea dataOnly="0" labelOnly="1" fieldPosition="0">
        <references count="1">
          <reference field="16" count="1">
            <x v="409"/>
          </reference>
        </references>
      </pivotArea>
    </format>
    <format dxfId="532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531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530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529">
      <pivotArea type="all" dataOnly="0" outline="0" fieldPosition="0"/>
    </format>
    <format dxfId="528">
      <pivotArea outline="0" collapsedLevelsAreSubtotals="1" fieldPosition="0"/>
    </format>
    <format dxfId="527">
      <pivotArea type="origin" dataOnly="0" labelOnly="1" outline="0" fieldPosition="0"/>
    </format>
    <format dxfId="526">
      <pivotArea field="7" type="button" dataOnly="0" labelOnly="1" outline="0" axis="axisCol" fieldPosition="0"/>
    </format>
    <format dxfId="525">
      <pivotArea field="-2" type="button" dataOnly="0" labelOnly="1" outline="0" axis="axisCol" fieldPosition="1"/>
    </format>
    <format dxfId="524">
      <pivotArea type="topRight" dataOnly="0" labelOnly="1" outline="0" fieldPosition="0"/>
    </format>
    <format dxfId="523">
      <pivotArea field="16" type="button" dataOnly="0" labelOnly="1" outline="0" axis="axisRow" fieldPosition="0"/>
    </format>
    <format dxfId="522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521">
      <pivotArea dataOnly="0" labelOnly="1" grandRow="1" outline="0" fieldPosition="0"/>
    </format>
    <format dxfId="520">
      <pivotArea dataOnly="0" labelOnly="1" fieldPosition="0">
        <references count="1">
          <reference field="7" count="0"/>
        </references>
      </pivotArea>
    </format>
    <format dxfId="5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5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Campeonatos_LayCS" cacheId="9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Page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showAll="0"/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624">
      <pivotArea type="all" dataOnly="0" outline="0" fieldPosition="0"/>
    </format>
    <format dxfId="623">
      <pivotArea field="7" type="button" dataOnly="0" labelOnly="1" outline="0" axis="axisPage" fieldPosition="0"/>
    </format>
    <format dxfId="622">
      <pivotArea dataOnly="0" labelOnly="1" grandRow="1" outline="0" fieldPosition="0"/>
    </format>
    <format dxfId="621">
      <pivotArea type="all" dataOnly="0" outline="0" fieldPosition="0"/>
    </format>
    <format dxfId="620">
      <pivotArea field="7" type="button" dataOnly="0" labelOnly="1" outline="0" axis="axisPage" fieldPosition="0"/>
    </format>
    <format dxfId="619">
      <pivotArea dataOnly="0" labelOnly="1" grandRow="1" outline="0" fieldPosition="0"/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7" type="button" dataOnly="0" labelOnly="1" outline="0" axis="axisPage" fieldPosition="0"/>
    </format>
    <format dxfId="615">
      <pivotArea dataOnly="0" labelOnly="1" outline="0" axis="axisValues" fieldPosition="0"/>
    </format>
    <format dxfId="614">
      <pivotArea dataOnly="0" labelOnly="1" grandRow="1" outline="0" fieldPosition="0"/>
    </format>
    <format dxfId="613">
      <pivotArea dataOnly="0" labelOnly="1" outline="0" axis="axisValues" fieldPosition="0"/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field="7" type="button" dataOnly="0" labelOnly="1" outline="0" axis="axisPage" fieldPosition="0"/>
    </format>
    <format dxfId="609">
      <pivotArea dataOnly="0" labelOnly="1" outline="0" axis="axisValues" fieldPosition="0"/>
    </format>
    <format dxfId="608">
      <pivotArea dataOnly="0" labelOnly="1" grandRow="1" outline="0" fieldPosition="0"/>
    </format>
    <format dxfId="607">
      <pivotArea dataOnly="0" labelOnly="1" outline="0" axis="axisValues" fieldPosition="0"/>
    </format>
    <format dxfId="606">
      <pivotArea type="all" dataOnly="0" outline="0" fieldPosition="0"/>
    </format>
    <format dxfId="605">
      <pivotArea outline="0" collapsedLevelsAreSubtotals="1" fieldPosition="0"/>
    </format>
    <format dxfId="604">
      <pivotArea field="7" type="button" dataOnly="0" labelOnly="1" outline="0" axis="axisPage" fieldPosition="0"/>
    </format>
    <format dxfId="603">
      <pivotArea dataOnly="0" labelOnly="1" outline="0" axis="axisValues" fieldPosition="0"/>
    </format>
    <format dxfId="602">
      <pivotArea dataOnly="0" labelOnly="1" grandRow="1" outline="0" fieldPosition="0"/>
    </format>
    <format dxfId="601">
      <pivotArea dataOnly="0" labelOnly="1" outline="0" axis="axisValues" fieldPosition="0"/>
    </format>
    <format dxfId="600">
      <pivotArea type="all" dataOnly="0" outline="0" fieldPosition="0"/>
    </format>
    <format dxfId="599">
      <pivotArea outline="0" collapsedLevelsAreSubtotals="1" fieldPosition="0"/>
    </format>
    <format dxfId="598">
      <pivotArea field="7" type="button" dataOnly="0" labelOnly="1" outline="0" axis="axisPage" fieldPosition="0"/>
    </format>
    <format dxfId="597">
      <pivotArea dataOnly="0" labelOnly="1" outline="0" axis="axisValues" fieldPosition="0"/>
    </format>
    <format dxfId="596">
      <pivotArea dataOnly="0" labelOnly="1" grandRow="1" outline="0" fieldPosition="0"/>
    </format>
    <format dxfId="595">
      <pivotArea dataOnly="0" labelOnly="1" outline="0" axis="axisValues" fieldPosition="0"/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field="7" type="button" dataOnly="0" labelOnly="1" outline="0" axis="axisPage" fieldPosition="0"/>
    </format>
    <format dxfId="591">
      <pivotArea dataOnly="0" labelOnly="1" outline="0" axis="axisValues" fieldPosition="0"/>
    </format>
    <format dxfId="590">
      <pivotArea dataOnly="0" labelOnly="1" grandRow="1" outline="0" fieldPosition="0"/>
    </format>
    <format dxfId="589">
      <pivotArea dataOnly="0" labelOnly="1" outline="0" axis="axisValues" fieldPosition="0"/>
    </format>
    <format dxfId="588">
      <pivotArea outline="0" collapsedLevelsAreSubtotals="1" fieldPosition="0"/>
    </format>
    <format dxfId="5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Odds_LayCS" cacheId="9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axis="axisRow" showAll="0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x="381"/>
        <item x="382"/>
        <item x="383"/>
        <item x="384"/>
        <item x="385"/>
        <item t="default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01">
        <item x="132"/>
        <item x="136"/>
        <item x="146"/>
        <item x="187"/>
        <item x="320"/>
        <item x="291"/>
        <item x="24"/>
        <item m="1" x="1094"/>
        <item x="411"/>
        <item x="88"/>
        <item m="1" x="1106"/>
        <item x="240"/>
        <item x="327"/>
        <item x="222"/>
        <item x="382"/>
        <item m="1" x="1136"/>
        <item x="181"/>
        <item x="311"/>
        <item x="163"/>
        <item m="1" x="119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2"/>
        <item x="208"/>
        <item x="491"/>
        <item x="315"/>
        <item x="269"/>
        <item x="419"/>
        <item x="303"/>
        <item m="1" x="110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3"/>
        <item x="489"/>
        <item x="62"/>
        <item m="1" x="1138"/>
        <item x="395"/>
        <item x="335"/>
        <item m="1" x="1097"/>
        <item x="357"/>
        <item x="458"/>
        <item x="354"/>
        <item x="121"/>
        <item m="1" x="1123"/>
        <item x="481"/>
        <item x="387"/>
        <item x="50"/>
        <item m="1" x="1180"/>
        <item m="1" x="1191"/>
        <item x="242"/>
        <item x="299"/>
        <item x="349"/>
        <item x="465"/>
        <item x="422"/>
        <item x="205"/>
        <item m="1" x="1159"/>
        <item x="430"/>
        <item x="168"/>
        <item x="124"/>
        <item m="1" x="1161"/>
        <item x="502"/>
        <item x="383"/>
        <item x="57"/>
        <item m="1" x="1196"/>
        <item x="343"/>
        <item x="76"/>
        <item m="1" x="1092"/>
        <item x="197"/>
        <item x="437"/>
        <item x="160"/>
        <item x="233"/>
        <item x="432"/>
        <item x="413"/>
        <item m="1" x="1104"/>
        <item x="441"/>
        <item m="1" x="1114"/>
        <item m="1" x="1121"/>
        <item x="232"/>
        <item x="153"/>
        <item x="179"/>
        <item x="494"/>
        <item x="397"/>
        <item x="347"/>
        <item x="319"/>
        <item x="500"/>
        <item x="49"/>
        <item m="1" x="1139"/>
        <item x="135"/>
        <item x="296"/>
        <item x="77"/>
        <item m="1" x="1126"/>
        <item x="353"/>
        <item x="159"/>
        <item x="238"/>
        <item x="447"/>
        <item x="307"/>
        <item x="44"/>
        <item m="1" x="1091"/>
        <item m="1" x="1173"/>
        <item x="128"/>
        <item x="495"/>
        <item x="479"/>
        <item x="375"/>
        <item x="492"/>
        <item x="97"/>
        <item m="1" x="1130"/>
        <item x="194"/>
        <item x="96"/>
        <item m="1" x="1115"/>
        <item x="166"/>
        <item x="212"/>
        <item x="318"/>
        <item x="46"/>
        <item m="1" x="1117"/>
        <item x="368"/>
        <item x="287"/>
        <item x="267"/>
        <item x="421"/>
        <item m="1" x="1153"/>
        <item x="348"/>
        <item m="1" x="1171"/>
        <item x="471"/>
        <item x="482"/>
        <item x="182"/>
        <item x="406"/>
        <item x="192"/>
        <item x="34"/>
        <item m="1" x="1199"/>
        <item x="237"/>
        <item x="472"/>
        <item x="200"/>
        <item x="175"/>
        <item x="423"/>
        <item x="201"/>
        <item x="378"/>
        <item x="150"/>
        <item m="1" x="1181"/>
        <item x="292"/>
        <item x="466"/>
        <item x="490"/>
        <item x="352"/>
        <item x="455"/>
        <item x="191"/>
        <item x="329"/>
        <item x="443"/>
        <item m="1" x="1103"/>
        <item x="314"/>
        <item x="80"/>
        <item m="1" x="1093"/>
        <item x="344"/>
        <item m="1" x="1082"/>
        <item x="424"/>
        <item x="418"/>
        <item x="277"/>
        <item x="172"/>
        <item x="451"/>
        <item x="258"/>
        <item m="1" x="1135"/>
        <item x="157"/>
        <item x="10"/>
        <item m="1" x="1099"/>
        <item x="133"/>
        <item x="253"/>
        <item x="12"/>
        <item m="1" x="1190"/>
        <item x="412"/>
        <item x="202"/>
        <item x="322"/>
        <item x="81"/>
        <item m="1" x="1134"/>
        <item x="450"/>
        <item x="74"/>
        <item m="1" x="1112"/>
        <item x="363"/>
        <item x="473"/>
        <item x="401"/>
        <item x="338"/>
        <item x="438"/>
        <item x="20"/>
        <item m="1" x="1144"/>
        <item m="1" x="1188"/>
        <item x="130"/>
        <item m="1" x="1150"/>
        <item x="374"/>
        <item x="316"/>
        <item x="117"/>
        <item m="1" x="1164"/>
        <item m="1" x="1177"/>
        <item m="1" x="1081"/>
        <item x="270"/>
        <item x="461"/>
        <item x="147"/>
        <item x="284"/>
        <item x="230"/>
        <item x="27"/>
        <item m="1" x="1172"/>
        <item m="1" x="1109"/>
        <item x="294"/>
        <item m="1" x="1154"/>
        <item x="19"/>
        <item m="1" x="1107"/>
        <item x="38"/>
        <item m="1" x="1070"/>
        <item m="1" x="1142"/>
        <item x="170"/>
        <item m="1" x="1165"/>
        <item x="165"/>
        <item x="420"/>
        <item x="313"/>
        <item x="0"/>
        <item m="1" x="1122"/>
        <item x="389"/>
        <item x="193"/>
        <item x="188"/>
        <item x="355"/>
        <item x="256"/>
        <item x="22"/>
        <item m="1" x="1157"/>
        <item x="405"/>
        <item x="370"/>
        <item x="99"/>
        <item m="1" x="1145"/>
        <item m="1" x="1183"/>
        <item x="345"/>
        <item x="376"/>
        <item x="498"/>
        <item x="386"/>
        <item x="8"/>
        <item m="1" x="1096"/>
        <item x="323"/>
        <item x="402"/>
        <item x="250"/>
        <item x="98"/>
        <item m="1" x="1197"/>
        <item m="1" x="1073"/>
        <item m="1" x="1074"/>
        <item x="144"/>
        <item x="506"/>
        <item m="1" x="1113"/>
        <item x="388"/>
        <item x="504"/>
        <item x="346"/>
        <item m="1" x="1125"/>
        <item x="436"/>
        <item x="40"/>
        <item m="1" x="1141"/>
        <item x="72"/>
        <item m="1" x="1090"/>
        <item x="274"/>
        <item x="361"/>
        <item x="84"/>
        <item m="1" x="1116"/>
        <item x="484"/>
        <item m="1" x="1128"/>
        <item x="350"/>
        <item x="310"/>
        <item m="1" x="1083"/>
        <item x="131"/>
        <item x="360"/>
        <item x="483"/>
        <item x="380"/>
        <item m="1" x="1168"/>
        <item x="477"/>
        <item m="1" x="1075"/>
        <item m="1" x="1095"/>
        <item x="167"/>
        <item x="243"/>
        <item x="453"/>
        <item x="334"/>
        <item x="444"/>
        <item x="51"/>
        <item m="1" x="111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49"/>
        <item x="63"/>
        <item m="1" x="107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0"/>
        <item x="474"/>
        <item x="286"/>
        <item x="1"/>
        <item m="1" x="1189"/>
        <item x="152"/>
        <item x="224"/>
        <item x="213"/>
        <item x="272"/>
        <item x="190"/>
        <item x="486"/>
        <item x="109"/>
        <item m="1" x="1102"/>
        <item x="324"/>
        <item x="273"/>
        <item x="196"/>
        <item x="367"/>
        <item x="69"/>
        <item m="1" x="1124"/>
        <item x="425"/>
        <item m="1" x="1158"/>
        <item x="433"/>
        <item x="306"/>
        <item x="356"/>
        <item x="151"/>
        <item x="110"/>
        <item m="1" x="1127"/>
        <item x="340"/>
        <item x="138"/>
        <item x="156"/>
        <item x="234"/>
        <item x="478"/>
        <item x="177"/>
        <item m="1" x="1174"/>
        <item x="221"/>
        <item x="220"/>
        <item x="104"/>
        <item m="1" x="1178"/>
        <item x="261"/>
        <item x="236"/>
        <item x="456"/>
        <item x="381"/>
        <item x="434"/>
        <item x="67"/>
        <item m="1" x="1118"/>
        <item x="328"/>
        <item x="262"/>
        <item x="468"/>
        <item m="1" x="1166"/>
        <item x="85"/>
        <item m="1" x="1079"/>
        <item x="297"/>
        <item x="365"/>
        <item x="290"/>
        <item x="373"/>
        <item x="416"/>
        <item x="463"/>
        <item x="149"/>
        <item x="115"/>
        <item m="1" x="1098"/>
        <item x="223"/>
        <item x="440"/>
        <item x="459"/>
        <item x="158"/>
        <item x="216"/>
        <item x="275"/>
        <item m="1" x="1175"/>
        <item x="333"/>
        <item x="71"/>
        <item m="1" x="1169"/>
        <item x="5"/>
        <item m="1" x="1084"/>
        <item m="1" x="1152"/>
        <item x="137"/>
        <item x="399"/>
        <item m="1" x="1193"/>
        <item x="113"/>
        <item m="1" x="1185"/>
        <item x="499"/>
        <item m="1" x="1110"/>
        <item x="231"/>
        <item x="120"/>
        <item m="1" x="1132"/>
        <item x="56"/>
        <item m="1" x="1078"/>
        <item x="271"/>
        <item x="176"/>
        <item x="326"/>
        <item x="409"/>
        <item x="249"/>
        <item x="364"/>
        <item m="1" x="115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0"/>
        <item m="1" x="1148"/>
        <item x="259"/>
        <item x="195"/>
        <item m="1" x="1179"/>
        <item x="155"/>
        <item x="225"/>
        <item x="428"/>
        <item x="125"/>
        <item m="1" x="1184"/>
        <item x="385"/>
        <item x="129"/>
        <item x="330"/>
        <item x="228"/>
        <item x="247"/>
        <item x="414"/>
        <item x="283"/>
        <item x="457"/>
        <item x="281"/>
        <item m="1" x="1151"/>
        <item x="255"/>
        <item m="1" x="1087"/>
        <item x="321"/>
        <item x="199"/>
        <item x="476"/>
        <item x="366"/>
        <item x="265"/>
        <item x="429"/>
        <item x="342"/>
        <item x="148"/>
        <item x="11"/>
        <item m="1" x="107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6"/>
        <item x="173"/>
        <item m="1" x="1176"/>
        <item x="134"/>
        <item m="1" x="1182"/>
        <item x="407"/>
        <item x="442"/>
        <item x="305"/>
        <item m="1" x="1186"/>
        <item m="1" x="1198"/>
        <item m="1" x="1194"/>
        <item x="408"/>
        <item x="90"/>
        <item m="1" x="1119"/>
        <item x="141"/>
        <item x="227"/>
        <item x="209"/>
        <item x="3"/>
        <item m="1" x="1086"/>
        <item m="1" x="1076"/>
        <item x="293"/>
        <item x="112"/>
        <item m="1" x="1120"/>
        <item m="1" x="1155"/>
        <item x="180"/>
        <item x="369"/>
        <item x="186"/>
        <item x="13"/>
        <item m="1" x="1089"/>
        <item x="107"/>
        <item m="1" x="1163"/>
        <item x="384"/>
        <item x="226"/>
        <item x="118"/>
        <item m="1" x="1167"/>
        <item m="1" x="1085"/>
        <item m="1" x="1160"/>
        <item x="52"/>
        <item m="1" x="1170"/>
        <item x="43"/>
        <item m="1" x="1100"/>
        <item x="204"/>
        <item x="206"/>
        <item x="211"/>
        <item x="341"/>
        <item x="426"/>
        <item x="454"/>
        <item m="1" x="1101"/>
        <item x="439"/>
        <item x="4"/>
        <item m="1" x="1108"/>
        <item x="312"/>
        <item x="254"/>
        <item x="214"/>
        <item m="1" x="1131"/>
        <item x="235"/>
        <item x="449"/>
        <item x="415"/>
        <item x="25"/>
        <item m="1" x="1072"/>
        <item x="203"/>
        <item x="207"/>
        <item x="164"/>
        <item x="300"/>
        <item x="140"/>
        <item x="339"/>
        <item x="391"/>
        <item m="1" x="1129"/>
        <item x="452"/>
        <item x="251"/>
        <item x="403"/>
        <item x="260"/>
        <item x="446"/>
        <item x="288"/>
        <item x="503"/>
        <item x="241"/>
        <item x="301"/>
        <item m="1" x="1147"/>
        <item x="371"/>
        <item x="257"/>
        <item x="210"/>
        <item m="1" x="1088"/>
        <item x="266"/>
        <item x="445"/>
        <item x="58"/>
        <item m="1" x="1143"/>
        <item x="161"/>
        <item x="248"/>
        <item x="470"/>
        <item x="14"/>
        <item m="1" x="1137"/>
        <item x="47"/>
        <item m="1" x="1195"/>
        <item x="448"/>
        <item x="404"/>
        <item x="48"/>
        <item m="1" x="118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t="default"/>
      </items>
    </pivotField>
    <pivotField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671">
      <pivotArea type="all" dataOnly="0" outline="0" fieldPosition="0"/>
    </format>
    <format dxfId="670">
      <pivotArea field="7" type="button" dataOnly="0" labelOnly="1" outline="0"/>
    </format>
    <format dxfId="669">
      <pivotArea dataOnly="0" labelOnly="1" grandRow="1" outline="0" fieldPosition="0"/>
    </format>
    <format dxfId="668">
      <pivotArea type="all" dataOnly="0" outline="0" fieldPosition="0"/>
    </format>
    <format dxfId="667">
      <pivotArea field="7" type="button" dataOnly="0" labelOnly="1" outline="0"/>
    </format>
    <format dxfId="666">
      <pivotArea dataOnly="0" labelOnly="1" grandRow="1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7" type="button" dataOnly="0" labelOnly="1" outline="0"/>
    </format>
    <format dxfId="662">
      <pivotArea dataOnly="0" labelOnly="1" outline="0" axis="axisValues" fieldPosition="0"/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7" type="button" dataOnly="0" labelOnly="1" outline="0"/>
    </format>
    <format dxfId="656">
      <pivotArea dataOnly="0" labelOnly="1" outline="0" axis="axisValues" fieldPosition="0"/>
    </format>
    <format dxfId="655">
      <pivotArea dataOnly="0" labelOnly="1" grandRow="1" outline="0" fieldPosition="0"/>
    </format>
    <format dxfId="654">
      <pivotArea dataOnly="0" labelOnly="1" outline="0" axis="axisValues" fieldPosition="0"/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7" type="button" dataOnly="0" labelOnly="1" outline="0"/>
    </format>
    <format dxfId="650">
      <pivotArea dataOnly="0" labelOnly="1" outline="0" axis="axisValues" fieldPosition="0"/>
    </format>
    <format dxfId="649">
      <pivotArea dataOnly="0" labelOnly="1" grandRow="1" outline="0" fieldPosition="0"/>
    </format>
    <format dxfId="648">
      <pivotArea dataOnly="0" labelOnly="1" outline="0" axis="axisValues" fieldPosition="0"/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7" type="button" dataOnly="0" labelOnly="1" outline="0"/>
    </format>
    <format dxfId="644">
      <pivotArea dataOnly="0" labelOnly="1" outline="0" axis="axisValues" fieldPosition="0"/>
    </format>
    <format dxfId="643">
      <pivotArea dataOnly="0" labelOnly="1" grandRow="1" outline="0" fieldPosition="0"/>
    </format>
    <format dxfId="642">
      <pivotArea dataOnly="0" labelOnly="1" outline="0" axis="axisValues" fieldPosition="0"/>
    </format>
    <format dxfId="641">
      <pivotArea type="all" dataOnly="0" outline="0" fieldPosition="0"/>
    </format>
    <format dxfId="640">
      <pivotArea outline="0" collapsedLevelsAreSubtotals="1" fieldPosition="0"/>
    </format>
    <format dxfId="639">
      <pivotArea field="7" type="button" dataOnly="0" labelOnly="1" outline="0"/>
    </format>
    <format dxfId="638">
      <pivotArea dataOnly="0" labelOnly="1" outline="0" axis="axisValues" fieldPosition="0"/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outline="0" collapsedLevelsAreSubtotals="1" fieldPosition="0"/>
    </format>
    <format dxfId="634">
      <pivotArea type="all" dataOnly="0" outline="0" fieldPosition="0"/>
    </format>
    <format dxfId="633">
      <pivotArea outline="0" collapsedLevelsAreSubtotals="1" fieldPosition="0"/>
    </format>
    <format dxfId="632">
      <pivotArea type="origin" dataOnly="0" labelOnly="1" outline="0" fieldPosition="0"/>
    </format>
    <format dxfId="631">
      <pivotArea field="7" type="button" dataOnly="0" labelOnly="1" outline="0"/>
    </format>
    <format dxfId="630">
      <pivotArea field="-2" type="button" dataOnly="0" labelOnly="1" outline="0" axis="axisCol" fieldPosition="0"/>
    </format>
    <format dxfId="629">
      <pivotArea type="topRight" dataOnly="0" labelOnly="1" outline="0" fieldPosition="0"/>
    </format>
    <format dxfId="628">
      <pivotArea field="16" type="button" dataOnly="0" labelOnly="1" outline="0"/>
    </format>
    <format dxfId="627">
      <pivotArea dataOnly="0" labelOnly="1" grandRow="1" outline="0" fieldPosition="0"/>
    </format>
    <format dxfId="626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625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_Mensal" cacheId="6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372">
      <pivotArea outline="0" collapsedLevelsAreSubtotals="1" fieldPosition="0"/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dataOnly="0" labelOnly="1" outline="0" axis="axisValues" fieldPosition="0"/>
    </format>
    <format dxfId="367">
      <pivotArea dataOnly="0" labelOnly="1" fieldPosition="0">
        <references count="1">
          <reference field="0" count="0"/>
        </references>
      </pivotArea>
    </format>
    <format dxfId="366">
      <pivotArea dataOnly="0" labelOnly="1" grandRow="1" outline="0" fieldPosition="0"/>
    </format>
    <format dxfId="365">
      <pivotArea dataOnly="0" labelOnly="1" outline="0" axis="axisValues" fieldPosition="0"/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0" type="button" dataOnly="0" labelOnly="1" outline="0" axis="axisRow" fieldPosition="0"/>
    </format>
    <format dxfId="361">
      <pivotArea dataOnly="0" labelOnly="1" outline="0" axis="axisValues" fieldPosition="0"/>
    </format>
    <format dxfId="360">
      <pivotArea dataOnly="0" labelOnly="1" fieldPosition="0">
        <references count="1">
          <reference field="0" count="0"/>
        </references>
      </pivotArea>
    </format>
    <format dxfId="359">
      <pivotArea dataOnly="0" labelOnly="1" grandRow="1" outline="0" fieldPosition="0"/>
    </format>
    <format dxfId="358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Acumulado" cacheId="2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401">
      <pivotArea outline="0" collapsedLevelsAreSubtotals="1" fieldPosition="0"/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field="1" type="button" dataOnly="0" labelOnly="1" outline="0" axis="axisRow" fieldPosition="0"/>
    </format>
    <format dxfId="397">
      <pivotArea dataOnly="0" labelOnly="1" outline="0" axis="axisValues" fieldPosition="0"/>
    </format>
    <format dxfId="396">
      <pivotArea dataOnly="0" labelOnly="1" fieldPosition="0">
        <references count="1">
          <reference field="1" count="0"/>
        </references>
      </pivotArea>
    </format>
    <format dxfId="395">
      <pivotArea dataOnly="0" labelOnly="1" grandRow="1" outline="0" fieldPosition="0"/>
    </format>
    <format dxfId="394">
      <pivotArea dataOnly="0" labelOnly="1" outline="0" axis="axisValues" fieldPosition="0"/>
    </format>
    <format dxfId="393">
      <pivotArea type="all" dataOnly="0" outline="0" fieldPosition="0"/>
    </format>
    <format dxfId="392">
      <pivotArea outline="0" collapsedLevelsAreSubtotals="1" fieldPosition="0"/>
    </format>
    <format dxfId="391">
      <pivotArea field="1" type="button" dataOnly="0" labelOnly="1" outline="0" axis="axisRow" fieldPosition="0"/>
    </format>
    <format dxfId="390">
      <pivotArea dataOnly="0" labelOnly="1" outline="0" axis="axisValues" fieldPosition="0"/>
    </format>
    <format dxfId="389">
      <pivotArea dataOnly="0" labelOnly="1" fieldPosition="0">
        <references count="1">
          <reference field="1" count="0"/>
        </references>
      </pivotArea>
    </format>
    <format dxfId="388">
      <pivotArea dataOnly="0" labelOnly="1" grandRow="1" outline="0" fieldPosition="0"/>
    </format>
    <format dxfId="387">
      <pivotArea dataOnly="0" labelOnly="1" outline="0" axis="axisValues" fieldPosition="0"/>
    </format>
    <format dxfId="386">
      <pivotArea type="all" dataOnly="0" outline="0" fieldPosition="0"/>
    </format>
    <format dxfId="385">
      <pivotArea outline="0" collapsedLevelsAreSubtotals="1" fieldPosition="0"/>
    </format>
    <format dxfId="384">
      <pivotArea field="1" type="button" dataOnly="0" labelOnly="1" outline="0" axis="axisRow" fieldPosition="0"/>
    </format>
    <format dxfId="383">
      <pivotArea dataOnly="0" labelOnly="1" outline="0" axis="axisValues" fieldPosition="0"/>
    </format>
    <format dxfId="382">
      <pivotArea dataOnly="0" labelOnly="1" fieldPosition="0">
        <references count="1">
          <reference field="1" count="0"/>
        </references>
      </pivotArea>
    </format>
    <format dxfId="381">
      <pivotArea dataOnly="0" labelOnly="1" grandRow="1" outline="0" fieldPosition="0"/>
    </format>
    <format dxfId="380">
      <pivotArea dataOnly="0" labelOnly="1" outline="0" axis="axisValues" fieldPosition="0"/>
    </format>
    <format dxfId="379">
      <pivotArea type="all" dataOnly="0" outline="0" fieldPosition="0"/>
    </format>
    <format dxfId="378">
      <pivotArea outline="0" collapsedLevelsAreSubtotals="1" fieldPosition="0"/>
    </format>
    <format dxfId="377">
      <pivotArea field="1" type="button" dataOnly="0" labelOnly="1" outline="0" axis="axisRow" fieldPosition="0"/>
    </format>
    <format dxfId="376">
      <pivotArea dataOnly="0" labelOnly="1" outline="0" axis="axisValues" fieldPosition="0"/>
    </format>
    <format dxfId="375">
      <pivotArea dataOnly="0" labelOnly="1" fieldPosition="0">
        <references count="1">
          <reference field="1" count="0"/>
        </references>
      </pivotArea>
    </format>
    <format dxfId="374">
      <pivotArea dataOnly="0" labelOnly="1" grandRow="1" outline="0" fieldPosition="0"/>
    </format>
    <format dxfId="373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Mensal" cacheId="5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426">
      <pivotArea outline="0" collapsedLevelsAreSubtotals="1" fieldPosition="0"/>
    </format>
    <format dxfId="425">
      <pivotArea type="all" dataOnly="0" outline="0" fieldPosition="0"/>
    </format>
    <format dxfId="424">
      <pivotArea outline="0" collapsedLevelsAreSubtotals="1" fieldPosition="0"/>
    </format>
    <format dxfId="423">
      <pivotArea dataOnly="0" labelOnly="1" outline="0" axis="axisValues" fieldPosition="0"/>
    </format>
    <format dxfId="422">
      <pivotArea dataOnly="0" labelOnly="1" grandRow="1" outline="0" fieldPosition="0"/>
    </format>
    <format dxfId="421">
      <pivotArea dataOnly="0" labelOnly="1" outline="0" axis="axisValues" fieldPosition="0"/>
    </format>
    <format dxfId="420">
      <pivotArea type="all" dataOnly="0" outline="0" fieldPosition="0"/>
    </format>
    <format dxfId="419">
      <pivotArea outline="0" collapsedLevelsAreSubtotals="1" fieldPosition="0"/>
    </format>
    <format dxfId="418">
      <pivotArea dataOnly="0" labelOnly="1" outline="0" axis="axisValues" fieldPosition="0"/>
    </format>
    <format dxfId="417">
      <pivotArea dataOnly="0" labelOnly="1" grandRow="1" outline="0" fieldPosition="0"/>
    </format>
    <format dxfId="416">
      <pivotArea dataOnly="0" labelOnly="1" outline="0" axis="axisValues" fieldPosition="0"/>
    </format>
    <format dxfId="415">
      <pivotArea type="all" dataOnly="0" outline="0" fieldPosition="0"/>
    </format>
    <format dxfId="414">
      <pivotArea outline="0" collapsedLevelsAreSubtotals="1" fieldPosition="0"/>
    </format>
    <format dxfId="413">
      <pivotArea field="1" type="button" dataOnly="0" labelOnly="1" outline="0" axis="axisRow" fieldPosition="0"/>
    </format>
    <format dxfId="412">
      <pivotArea dataOnly="0" labelOnly="1" outline="0" axis="axisValues" fieldPosition="0"/>
    </format>
    <format dxfId="411">
      <pivotArea dataOnly="0" labelOnly="1" fieldPosition="0">
        <references count="1">
          <reference field="1" count="0"/>
        </references>
      </pivotArea>
    </format>
    <format dxfId="410">
      <pivotArea dataOnly="0" labelOnly="1" grandRow="1" outline="0" fieldPosition="0"/>
    </format>
    <format dxfId="409">
      <pivotArea dataOnly="0" labelOnly="1" outline="0" axis="axisValues" fieldPosition="0"/>
    </format>
    <format dxfId="408">
      <pivotArea type="all" dataOnly="0" outline="0" fieldPosition="0"/>
    </format>
    <format dxfId="407">
      <pivotArea outline="0" collapsedLevelsAreSubtotals="1" fieldPosition="0"/>
    </format>
    <format dxfId="406">
      <pivotArea field="1" type="button" dataOnly="0" labelOnly="1" outline="0" axis="axisRow" fieldPosition="0"/>
    </format>
    <format dxfId="405">
      <pivotArea dataOnly="0" labelOnly="1" outline="0" axis="axisValues" fieldPosition="0"/>
    </format>
    <format dxfId="404">
      <pivotArea dataOnly="0" labelOnly="1" fieldPosition="0">
        <references count="1">
          <reference field="1" count="0"/>
        </references>
      </pivotArea>
    </format>
    <format dxfId="403">
      <pivotArea dataOnly="0" labelOnly="1" grandRow="1" outline="0" fieldPosition="0"/>
    </format>
    <format dxfId="402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Placar_Mensal" cacheId="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443">
      <pivotArea outline="0" collapsedLevelsAreSubtotals="1" fieldPosition="0"/>
    </format>
    <format dxfId="442">
      <pivotArea type="all" dataOnly="0" outline="0" fieldPosition="0"/>
    </format>
    <format dxfId="441">
      <pivotArea outline="0" collapsedLevelsAreSubtotals="1" fieldPosition="0"/>
    </format>
    <format dxfId="440">
      <pivotArea field="0" type="button" dataOnly="0" labelOnly="1" outline="0" axis="axisRow" fieldPosition="0"/>
    </format>
    <format dxfId="439">
      <pivotArea dataOnly="0" labelOnly="1" outline="0" axis="axisValues" fieldPosition="0"/>
    </format>
    <format dxfId="438">
      <pivotArea dataOnly="0" labelOnly="1" fieldPosition="0">
        <references count="1">
          <reference field="0" count="0"/>
        </references>
      </pivotArea>
    </format>
    <format dxfId="437">
      <pivotArea dataOnly="0" labelOnly="1" grandRow="1" outline="0" fieldPosition="0"/>
    </format>
    <format dxfId="436">
      <pivotArea dataOnly="0" labelOnly="1" fieldPosition="0">
        <references count="2">
          <reference field="0" count="0" selected="0"/>
          <reference field="2" count="0"/>
        </references>
      </pivotArea>
    </format>
    <format dxfId="435">
      <pivotArea dataOnly="0" labelOnly="1" outline="0" axis="axisValues" fieldPosition="0"/>
    </format>
    <format dxfId="434">
      <pivotArea type="all" dataOnly="0" outline="0" fieldPosition="0"/>
    </format>
    <format dxfId="433">
      <pivotArea outline="0" collapsedLevelsAreSubtotals="1" fieldPosition="0"/>
    </format>
    <format dxfId="432">
      <pivotArea field="0" type="button" dataOnly="0" labelOnly="1" outline="0" axis="axisRow" fieldPosition="0"/>
    </format>
    <format dxfId="431">
      <pivotArea dataOnly="0" labelOnly="1" outline="0" axis="axisValues" fieldPosition="0"/>
    </format>
    <format dxfId="430">
      <pivotArea dataOnly="0" labelOnly="1" fieldPosition="0">
        <references count="1">
          <reference field="0" count="0"/>
        </references>
      </pivotArea>
    </format>
    <format dxfId="429">
      <pivotArea dataOnly="0" labelOnly="1" grandRow="1" outline="0" fieldPosition="0"/>
    </format>
    <format dxfId="428">
      <pivotArea dataOnly="0" labelOnly="1" fieldPosition="0">
        <references count="2">
          <reference field="0" count="0" selected="0"/>
          <reference field="2" count="0"/>
        </references>
      </pivotArea>
    </format>
    <format dxfId="427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4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Metodo" cacheId="3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1" firstHeaderRow="1" firstDataRow="1" firstDataCol="1"/>
  <pivotFields count="3">
    <pivotField dataField="1" showAll="0"/>
    <pivotField axis="axisRow" allDrilled="1" showAll="0" sortType="descending" dataSourceSort="1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19">
    <i>
      <x v="17"/>
    </i>
    <i>
      <x v="10"/>
    </i>
    <i>
      <x v="4"/>
    </i>
    <i>
      <x v="13"/>
    </i>
    <i>
      <x/>
    </i>
    <i>
      <x v="15"/>
    </i>
    <i>
      <x v="12"/>
    </i>
    <i>
      <x v="7"/>
    </i>
    <i>
      <x v="16"/>
    </i>
    <i>
      <x v="3"/>
    </i>
    <i>
      <x v="8"/>
    </i>
    <i>
      <x v="1"/>
    </i>
    <i>
      <x v="9"/>
    </i>
    <i>
      <x v="2"/>
    </i>
    <i>
      <x v="11"/>
    </i>
    <i>
      <x v="6"/>
    </i>
    <i>
      <x v="14"/>
    </i>
    <i>
      <x v="5"/>
    </i>
    <i t="grand">
      <x/>
    </i>
  </rowItems>
  <colItems count="1">
    <i/>
  </colItems>
  <dataFields count="1">
    <dataField name="Soma de L/P Líquido" fld="0" baseField="0" baseItem="0"/>
  </dataFields>
  <formats count="25">
    <format dxfId="468">
      <pivotArea outline="0" collapsedLevelsAreSubtotals="1" fieldPosition="0"/>
    </format>
    <format dxfId="467">
      <pivotArea type="all" dataOnly="0" outline="0" fieldPosition="0"/>
    </format>
    <format dxfId="466">
      <pivotArea outline="0" collapsedLevelsAreSubtotals="1" fieldPosition="0"/>
    </format>
    <format dxfId="465">
      <pivotArea dataOnly="0" labelOnly="1" outline="0" axis="axisValues" fieldPosition="0"/>
    </format>
    <format dxfId="464">
      <pivotArea dataOnly="0" labelOnly="1" grandRow="1" outline="0" fieldPosition="0"/>
    </format>
    <format dxfId="463">
      <pivotArea dataOnly="0" labelOnly="1" outline="0" axis="axisValues" fieldPosition="0"/>
    </format>
    <format dxfId="462">
      <pivotArea type="all" dataOnly="0" outline="0" fieldPosition="0"/>
    </format>
    <format dxfId="461">
      <pivotArea outline="0" collapsedLevelsAreSubtotals="1" fieldPosition="0"/>
    </format>
    <format dxfId="460">
      <pivotArea dataOnly="0" labelOnly="1" outline="0" axis="axisValues" fieldPosition="0"/>
    </format>
    <format dxfId="459">
      <pivotArea dataOnly="0" labelOnly="1" grandRow="1" outline="0" fieldPosition="0"/>
    </format>
    <format dxfId="458">
      <pivotArea dataOnly="0" labelOnly="1" outline="0" axis="axisValues" fieldPosition="0"/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1" type="button" dataOnly="0" labelOnly="1" outline="0" axis="axisRow" fieldPosition="0"/>
    </format>
    <format dxfId="454">
      <pivotArea dataOnly="0" labelOnly="1" outline="0" axis="axisValues" fieldPosition="0"/>
    </format>
    <format dxfId="453">
      <pivotArea dataOnly="0" labelOnly="1" fieldPosition="0">
        <references count="1">
          <reference field="1" count="0"/>
        </references>
      </pivotArea>
    </format>
    <format dxfId="452">
      <pivotArea dataOnly="0" labelOnly="1" grandRow="1" outline="0" fieldPosition="0"/>
    </format>
    <format dxfId="451">
      <pivotArea dataOnly="0" labelOnly="1" outline="0" axis="axisValues" fieldPosition="0"/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field="1" type="button" dataOnly="0" labelOnly="1" outline="0" axis="axisRow" fieldPosition="0"/>
    </format>
    <format dxfId="447">
      <pivotArea dataOnly="0" labelOnly="1" outline="0" axis="axisValues" fieldPosition="0"/>
    </format>
    <format dxfId="446">
      <pivotArea dataOnly="0" labelOnly="1" fieldPosition="0">
        <references count="1">
          <reference field="1" count="0"/>
        </references>
      </pivotArea>
    </format>
    <format dxfId="445">
      <pivotArea dataOnly="0" labelOnly="1" grandRow="1" outline="0" fieldPosition="0"/>
    </format>
    <format dxfId="444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Placar" cacheId="1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2"/>
    </i>
    <i>
      <x v="36"/>
    </i>
    <i>
      <x v="2"/>
    </i>
    <i>
      <x v="14"/>
    </i>
    <i>
      <x v="38"/>
    </i>
    <i>
      <x v="32"/>
    </i>
    <i>
      <x v="30"/>
    </i>
    <i>
      <x v="10"/>
    </i>
    <i>
      <x v="35"/>
    </i>
    <i>
      <x v="18"/>
    </i>
    <i>
      <x v="25"/>
    </i>
    <i>
      <x v="37"/>
    </i>
    <i>
      <x v="41"/>
    </i>
    <i>
      <x v="21"/>
    </i>
    <i>
      <x v="12"/>
    </i>
    <i>
      <x v="16"/>
    </i>
    <i>
      <x v="15"/>
    </i>
    <i>
      <x v="11"/>
    </i>
    <i>
      <x v="28"/>
    </i>
    <i>
      <x v="40"/>
    </i>
    <i>
      <x v="44"/>
    </i>
    <i>
      <x v="24"/>
    </i>
    <i>
      <x v="33"/>
    </i>
    <i>
      <x v="13"/>
    </i>
    <i>
      <x v="20"/>
    </i>
    <i>
      <x v="5"/>
    </i>
    <i>
      <x v="19"/>
    </i>
    <i>
      <x v="23"/>
    </i>
    <i>
      <x v="34"/>
    </i>
    <i>
      <x v="22"/>
    </i>
    <i>
      <x v="17"/>
    </i>
    <i>
      <x v="39"/>
    </i>
    <i>
      <x v="9"/>
    </i>
    <i>
      <x v="1"/>
    </i>
    <i>
      <x v="43"/>
    </i>
    <i>
      <x v="8"/>
    </i>
    <i>
      <x v="26"/>
    </i>
    <i>
      <x v="31"/>
    </i>
    <i>
      <x v="29"/>
    </i>
    <i>
      <x/>
    </i>
    <i>
      <x v="27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483">
      <pivotArea outline="0" collapsedLevelsAreSubtotals="1" fieldPosition="0"/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field="1" type="button" dataOnly="0" labelOnly="1" outline="0" axis="axisRow" fieldPosition="0"/>
    </format>
    <format dxfId="479">
      <pivotArea dataOnly="0" labelOnly="1" outline="0" axis="axisValues" fieldPosition="0"/>
    </format>
    <format dxfId="478">
      <pivotArea dataOnly="0" labelOnly="1" fieldPosition="0">
        <references count="1">
          <reference field="1" count="0"/>
        </references>
      </pivotArea>
    </format>
    <format dxfId="477">
      <pivotArea dataOnly="0" labelOnly="1" grandRow="1" outline="0" fieldPosition="0"/>
    </format>
    <format dxfId="476">
      <pivotArea dataOnly="0" labelOnly="1" outline="0" axis="axisValues" fieldPosition="0"/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1" type="button" dataOnly="0" labelOnly="1" outline="0" axis="axisRow" fieldPosition="0"/>
    </format>
    <format dxfId="472">
      <pivotArea dataOnly="0" labelOnly="1" outline="0" axis="axisValues" fieldPosition="0"/>
    </format>
    <format dxfId="471">
      <pivotArea dataOnly="0" labelOnly="1" fieldPosition="0">
        <references count="1">
          <reference field="1" count="0"/>
        </references>
      </pivotArea>
    </format>
    <format dxfId="470">
      <pivotArea dataOnly="0" labelOnly="1" grandRow="1" outline="0" fieldPosition="0"/>
    </format>
    <format dxfId="469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WR_Odds" cacheId="4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4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2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 r="1">
      <x v="6"/>
    </i>
    <i>
      <x v="2"/>
    </i>
    <i r="1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517">
      <pivotArea outline="0" collapsedLevelsAreSubtotals="1" fieldPosition="0"/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dataOnly="0" labelOnly="1" outline="0" axis="axisValues" fieldPosition="0"/>
    </format>
    <format dxfId="513">
      <pivotArea dataOnly="0" labelOnly="1" grandRow="1" outline="0" fieldPosition="0"/>
    </format>
    <format dxfId="512">
      <pivotArea dataOnly="0" labelOnly="1" outline="0" axis="axisValues" fieldPosition="0"/>
    </format>
    <format dxfId="511">
      <pivotArea type="all" dataOnly="0" outline="0" fieldPosition="0"/>
    </format>
    <format dxfId="510">
      <pivotArea outline="0" collapsedLevelsAreSubtotals="1" fieldPosition="0"/>
    </format>
    <format dxfId="509">
      <pivotArea dataOnly="0" labelOnly="1" outline="0" axis="axisValues" fieldPosition="0"/>
    </format>
    <format dxfId="508">
      <pivotArea dataOnly="0" labelOnly="1" grandRow="1" outline="0" fieldPosition="0"/>
    </format>
    <format dxfId="507">
      <pivotArea dataOnly="0" labelOnly="1" outline="0" axis="axisValues" fieldPosition="0"/>
    </format>
    <format dxfId="506">
      <pivotArea outline="0" collapsedLevelsAreSubtotals="1" fieldPosition="0"/>
    </format>
    <format dxfId="505">
      <pivotArea outline="0" collapsedLevelsAreSubtotals="1" fieldPosition="0"/>
    </format>
    <format dxfId="504">
      <pivotArea outline="0" collapsedLevelsAreSubtotals="1" fieldPosition="0"/>
    </format>
    <format dxfId="5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0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1">
      <pivotArea type="all" dataOnly="0" outline="0" fieldPosition="0"/>
    </format>
    <format dxfId="500">
      <pivotArea outline="0" collapsedLevelsAreSubtotals="1" fieldPosition="0"/>
    </format>
    <format dxfId="499">
      <pivotArea field="0" type="button" dataOnly="0" labelOnly="1" outline="0" axis="axisRow" fieldPosition="0"/>
    </format>
    <format dxfId="49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97">
      <pivotArea dataOnly="0" labelOnly="1" grandRow="1" outline="0" fieldPosition="0"/>
    </format>
    <format dxfId="49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95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49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4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0" type="button" dataOnly="0" labelOnly="1" outline="0" axis="axisRow" fieldPosition="0"/>
    </format>
    <format dxfId="48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88">
      <pivotArea dataOnly="0" labelOnly="1" grandRow="1" outline="0" fieldPosition="0"/>
    </format>
    <format dxfId="48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86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48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48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4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69">
      <pivotArea type="all" dataOnly="0" outline="0" fieldPosition="0"/>
    </format>
    <format dxfId="168">
      <pivotArea outline="0" collapsedLevelsAreSubtotals="1" fieldPosition="0"/>
    </format>
    <format dxfId="167">
      <pivotArea field="3" type="button" dataOnly="0" labelOnly="1" outline="0"/>
    </format>
    <format dxfId="166">
      <pivotArea dataOnly="0" labelOnly="1" outline="0" axis="axisValues" fieldPosition="0"/>
    </format>
    <format dxfId="165">
      <pivotArea dataOnly="0" labelOnly="1" grandRow="1" outline="0" fieldPosition="0"/>
    </format>
    <format dxfId="164">
      <pivotArea dataOnly="0" labelOnly="1" outline="0" axis="axisValues" fieldPosition="0"/>
    </format>
    <format dxfId="163">
      <pivotArea type="all" dataOnly="0" outline="0" fieldPosition="0"/>
    </format>
    <format dxfId="162">
      <pivotArea outline="0" collapsedLevelsAreSubtotals="1" fieldPosition="0"/>
    </format>
    <format dxfId="161">
      <pivotArea field="3" type="button" dataOnly="0" labelOnly="1" outline="0"/>
    </format>
    <format dxfId="160">
      <pivotArea dataOnly="0" labelOnly="1" outline="0" axis="axisValues" fieldPosition="0"/>
    </format>
    <format dxfId="159">
      <pivotArea dataOnly="0" labelOnly="1" grandRow="1" outline="0" fieldPosition="0"/>
    </format>
    <format dxfId="158">
      <pivotArea dataOnly="0" labelOnly="1" outline="0" axis="axisValues" fieldPosition="0"/>
    </format>
    <format dxfId="157">
      <pivotArea outline="0" collapsedLevelsAreSubtotals="1" fieldPosition="0"/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field="3" type="button" dataOnly="0" labelOnly="1" outline="0"/>
    </format>
    <format dxfId="153">
      <pivotArea dataOnly="0" labelOnly="1" outline="0" axis="axisValues" fieldPosition="0"/>
    </format>
    <format dxfId="152">
      <pivotArea dataOnly="0" labelOnly="1" grandRow="1" outline="0" fieldPosition="0"/>
    </format>
    <format dxfId="151">
      <pivotArea dataOnly="0" labelOnly="1" outline="0" axis="axisValues" fieldPosition="0"/>
    </format>
    <format dxfId="15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8">
      <pivotArea type="all" dataOnly="0" outline="0" fieldPosition="0"/>
    </format>
    <format dxfId="147">
      <pivotArea outline="0" collapsedLevelsAreSubtotals="1" fieldPosition="0"/>
    </format>
    <format dxfId="146">
      <pivotArea field="9" type="button" dataOnly="0" labelOnly="1" outline="0" axis="axisRow" fieldPosition="0"/>
    </format>
    <format dxfId="145">
      <pivotArea dataOnly="0" labelOnly="1" fieldPosition="0">
        <references count="1">
          <reference field="9" count="0"/>
        </references>
      </pivotArea>
    </format>
    <format dxfId="144">
      <pivotArea dataOnly="0" labelOnly="1" grandRow="1" outline="0" fieldPosition="0"/>
    </format>
    <format dxfId="1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field="9" type="button" dataOnly="0" labelOnly="1" outline="0" axis="axisRow" fieldPosition="0"/>
    </format>
    <format dxfId="139">
      <pivotArea dataOnly="0" labelOnly="1" fieldPosition="0">
        <references count="1">
          <reference field="9" count="0"/>
        </references>
      </pivotArea>
    </format>
    <format dxfId="138">
      <pivotArea dataOnly="0" labelOnly="1" grandRow="1" outline="0" fieldPosition="0"/>
    </format>
    <format dxfId="1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3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02">
      <pivotArea type="all" dataOnly="0" outline="0" fieldPosition="0"/>
    </format>
    <format dxfId="201">
      <pivotArea outline="0" collapsedLevelsAreSubtotals="1" fieldPosition="0"/>
    </format>
    <format dxfId="200">
      <pivotArea field="3" type="button" dataOnly="0" labelOnly="1" outline="0"/>
    </format>
    <format dxfId="199">
      <pivotArea dataOnly="0" labelOnly="1" outline="0" axis="axisValues" fieldPosition="0"/>
    </format>
    <format dxfId="198">
      <pivotArea dataOnly="0" labelOnly="1" grandRow="1" outline="0" fieldPosition="0"/>
    </format>
    <format dxfId="197">
      <pivotArea dataOnly="0" labelOnly="1" outline="0" axis="axisValues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3" type="button" dataOnly="0" labelOnly="1" outline="0"/>
    </format>
    <format dxfId="193">
      <pivotArea dataOnly="0" labelOnly="1" outline="0" axis="axisValues" fieldPosition="0"/>
    </format>
    <format dxfId="192">
      <pivotArea dataOnly="0" labelOnly="1" grandRow="1" outline="0" fieldPosition="0"/>
    </format>
    <format dxfId="191">
      <pivotArea dataOnly="0" labelOnly="1" outline="0" axis="axisValues" fieldPosition="0"/>
    </format>
    <format dxfId="190">
      <pivotArea outline="0" collapsedLevelsAreSubtotals="1" fieldPosition="0"/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field="3" type="button" dataOnly="0" labelOnly="1" outline="0"/>
    </format>
    <format dxfId="186">
      <pivotArea dataOnly="0" labelOnly="1" outline="0" axis="axisValues" fieldPosition="0"/>
    </format>
    <format dxfId="185">
      <pivotArea dataOnly="0" labelOnly="1" grandRow="1" outline="0" fieldPosition="0"/>
    </format>
    <format dxfId="184">
      <pivotArea dataOnly="0" labelOnly="1" outline="0" axis="axisValues" fieldPosition="0"/>
    </format>
    <format dxfId="1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field="7" type="button" dataOnly="0" labelOnly="1" outline="0" axis="axisRow" fieldPosition="0"/>
    </format>
    <format dxfId="178">
      <pivotArea dataOnly="0" labelOnly="1" fieldPosition="0">
        <references count="1">
          <reference field="7" count="0"/>
        </references>
      </pivotArea>
    </format>
    <format dxfId="177">
      <pivotArea dataOnly="0" labelOnly="1" grandRow="1" outline="0" fieldPosition="0"/>
    </format>
    <format dxfId="17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field="7" type="button" dataOnly="0" labelOnly="1" outline="0" axis="axisRow" fieldPosition="0"/>
    </format>
    <format dxfId="172">
      <pivotArea dataOnly="0" labelOnly="1" fieldPosition="0">
        <references count="1">
          <reference field="7" count="0"/>
        </references>
      </pivotArea>
    </format>
    <format dxfId="171">
      <pivotArea dataOnly="0" labelOnly="1" grandRow="1" outline="0" fieldPosition="0"/>
    </format>
    <format dxfId="1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2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239">
      <pivotArea type="all" dataOnly="0" outline="0" fieldPosition="0"/>
    </format>
    <format dxfId="238">
      <pivotArea outline="0" collapsedLevelsAreSubtotals="1" fieldPosition="0"/>
    </format>
    <format dxfId="237">
      <pivotArea field="3" type="button" dataOnly="0" labelOnly="1" outline="0" axis="axisRow" fieldPosition="1"/>
    </format>
    <format dxfId="236">
      <pivotArea dataOnly="0" labelOnly="1" outline="0" axis="axisValues" fieldPosition="0"/>
    </format>
    <format dxfId="235">
      <pivotArea dataOnly="0" labelOnly="1" grandRow="1" outline="0" fieldPosition="0"/>
    </format>
    <format dxfId="234">
      <pivotArea dataOnly="0" labelOnly="1" outline="0" axis="axisValues" fieldPosition="0"/>
    </format>
    <format dxfId="233">
      <pivotArea type="all" dataOnly="0" outline="0" fieldPosition="0"/>
    </format>
    <format dxfId="232">
      <pivotArea outline="0" collapsedLevelsAreSubtotals="1" fieldPosition="0"/>
    </format>
    <format dxfId="231">
      <pivotArea field="3" type="button" dataOnly="0" labelOnly="1" outline="0" axis="axisRow" fieldPosition="1"/>
    </format>
    <format dxfId="230">
      <pivotArea dataOnly="0" labelOnly="1" outline="0" axis="axisValues" fieldPosition="0"/>
    </format>
    <format dxfId="229">
      <pivotArea dataOnly="0" labelOnly="1" grandRow="1" outline="0" fieldPosition="0"/>
    </format>
    <format dxfId="228">
      <pivotArea dataOnly="0" labelOnly="1" outline="0" axis="axisValues" fieldPosition="0"/>
    </format>
    <format dxfId="227">
      <pivotArea outline="0" collapsedLevelsAreSubtotals="1" fieldPosition="0"/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field="3" type="button" dataOnly="0" labelOnly="1" outline="0" axis="axisRow" fieldPosition="1"/>
    </format>
    <format dxfId="223">
      <pivotArea dataOnly="0" labelOnly="1" outline="0" axis="axisValues" fieldPosition="0"/>
    </format>
    <format dxfId="222">
      <pivotArea dataOnly="0" labelOnly="1" grandRow="1" outline="0" fieldPosition="0"/>
    </format>
    <format dxfId="221">
      <pivotArea dataOnly="0" labelOnly="1" outline="0" axis="axisValues" fieldPosition="0"/>
    </format>
    <format dxfId="220">
      <pivotArea type="all" dataOnly="0" outline="0" fieldPosition="0"/>
    </format>
    <format dxfId="219">
      <pivotArea outline="0" collapsedLevelsAreSubtotals="1" fieldPosition="0"/>
    </format>
    <format dxfId="218">
      <pivotArea field="7" type="button" dataOnly="0" labelOnly="1" outline="0" axis="axisRow" fieldPosition="0"/>
    </format>
    <format dxfId="217">
      <pivotArea dataOnly="0" labelOnly="1" outline="0" axis="axisValues" fieldPosition="0"/>
    </format>
    <format dxfId="216">
      <pivotArea dataOnly="0" labelOnly="1" fieldPosition="0">
        <references count="1">
          <reference field="7" count="0"/>
        </references>
      </pivotArea>
    </format>
    <format dxfId="215">
      <pivotArea dataOnly="0" labelOnly="1" grandRow="1" outline="0" fieldPosition="0"/>
    </format>
    <format dxfId="214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13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12">
      <pivotArea dataOnly="0" labelOnly="1" outline="0" axis="axisValues" fieldPosition="0"/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field="7" type="button" dataOnly="0" labelOnly="1" outline="0" axis="axisRow" fieldPosition="0"/>
    </format>
    <format dxfId="208">
      <pivotArea dataOnly="0" labelOnly="1" outline="0" axis="axisValues" fieldPosition="0"/>
    </format>
    <format dxfId="207">
      <pivotArea dataOnly="0" labelOnly="1" fieldPosition="0">
        <references count="1">
          <reference field="7" count="0"/>
        </references>
      </pivotArea>
    </format>
    <format dxfId="206">
      <pivotArea dataOnly="0" labelOnly="1" grandRow="1" outline="0" fieldPosition="0"/>
    </format>
    <format dxfId="205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04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0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9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72">
      <pivotArea type="all" dataOnly="0" outline="0" fieldPosition="0"/>
    </format>
    <format dxfId="271">
      <pivotArea outline="0" collapsedLevelsAreSubtotals="1" fieldPosition="0"/>
    </format>
    <format dxfId="270">
      <pivotArea field="3" type="button" dataOnly="0" labelOnly="1" outline="0"/>
    </format>
    <format dxfId="269">
      <pivotArea dataOnly="0" labelOnly="1" outline="0" axis="axisValues" fieldPosition="0"/>
    </format>
    <format dxfId="268">
      <pivotArea dataOnly="0" labelOnly="1" grandRow="1" outline="0" fieldPosition="0"/>
    </format>
    <format dxfId="267">
      <pivotArea dataOnly="0" labelOnly="1" outline="0" axis="axisValues" fieldPosition="0"/>
    </format>
    <format dxfId="266">
      <pivotArea type="all" dataOnly="0" outline="0" fieldPosition="0"/>
    </format>
    <format dxfId="265">
      <pivotArea outline="0" collapsedLevelsAreSubtotals="1" fieldPosition="0"/>
    </format>
    <format dxfId="264">
      <pivotArea field="3" type="button" dataOnly="0" labelOnly="1" outline="0"/>
    </format>
    <format dxfId="263">
      <pivotArea dataOnly="0" labelOnly="1" outline="0" axis="axisValues" fieldPosition="0"/>
    </format>
    <format dxfId="262">
      <pivotArea dataOnly="0" labelOnly="1" grandRow="1" outline="0" fieldPosition="0"/>
    </format>
    <format dxfId="261">
      <pivotArea dataOnly="0" labelOnly="1" outline="0" axis="axisValues" fieldPosition="0"/>
    </format>
    <format dxfId="260">
      <pivotArea outline="0" collapsedLevelsAreSubtotals="1" fieldPosition="0"/>
    </format>
    <format dxfId="259">
      <pivotArea type="all" dataOnly="0" outline="0" fieldPosition="0"/>
    </format>
    <format dxfId="258">
      <pivotArea outline="0" collapsedLevelsAreSubtotals="1" fieldPosition="0"/>
    </format>
    <format dxfId="257">
      <pivotArea field="3" type="button" dataOnly="0" labelOnly="1" outline="0"/>
    </format>
    <format dxfId="256">
      <pivotArea dataOnly="0" labelOnly="1" outline="0" axis="axisValues" fieldPosition="0"/>
    </format>
    <format dxfId="255">
      <pivotArea dataOnly="0" labelOnly="1" grandRow="1" outline="0" fieldPosition="0"/>
    </format>
    <format dxfId="254">
      <pivotArea dataOnly="0" labelOnly="1" outline="0" axis="axisValues" fieldPosition="0"/>
    </format>
    <format dxfId="25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51">
      <pivotArea type="all" dataOnly="0" outline="0" fieldPosition="0"/>
    </format>
    <format dxfId="250">
      <pivotArea outline="0" collapsedLevelsAreSubtotals="1" fieldPosition="0"/>
    </format>
    <format dxfId="249">
      <pivotArea field="7" type="button" dataOnly="0" labelOnly="1" outline="0" axis="axisPage" fieldPosition="0"/>
    </format>
    <format dxfId="248">
      <pivotArea dataOnly="0" labelOnly="1" fieldPosition="0">
        <references count="1">
          <reference field="7" count="0"/>
        </references>
      </pivotArea>
    </format>
    <format dxfId="247">
      <pivotArea dataOnly="0" labelOnly="1" grandRow="1" outline="0" fieldPosition="0"/>
    </format>
    <format dxfId="24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5">
      <pivotArea type="all" dataOnly="0" outline="0" fieldPosition="0"/>
    </format>
    <format dxfId="244">
      <pivotArea outline="0" collapsedLevelsAreSubtotals="1" fieldPosition="0"/>
    </format>
    <format dxfId="243">
      <pivotArea field="7" type="button" dataOnly="0" labelOnly="1" outline="0" axis="axisPage" fieldPosition="0"/>
    </format>
    <format dxfId="242">
      <pivotArea dataOnly="0" labelOnly="1" fieldPosition="0">
        <references count="1">
          <reference field="7" count="0"/>
        </references>
      </pivotArea>
    </format>
    <format dxfId="241">
      <pivotArea dataOnly="0" labelOnly="1" grandRow="1" outline="0" fieldPosition="0"/>
    </format>
    <format dxfId="2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7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05">
      <pivotArea type="all" dataOnly="0" outline="0" fieldPosition="0"/>
    </format>
    <format dxfId="304">
      <pivotArea outline="0" collapsedLevelsAreSubtotals="1" fieldPosition="0"/>
    </format>
    <format dxfId="303">
      <pivotArea field="3" type="button" dataOnly="0" labelOnly="1" outline="0"/>
    </format>
    <format dxfId="302">
      <pivotArea dataOnly="0" labelOnly="1" outline="0" axis="axisValues" fieldPosition="0"/>
    </format>
    <format dxfId="301">
      <pivotArea dataOnly="0" labelOnly="1" grandRow="1" outline="0" fieldPosition="0"/>
    </format>
    <format dxfId="300">
      <pivotArea dataOnly="0" labelOnly="1" outline="0" axis="axisValues" fieldPosition="0"/>
    </format>
    <format dxfId="299">
      <pivotArea type="all" dataOnly="0" outline="0" fieldPosition="0"/>
    </format>
    <format dxfId="298">
      <pivotArea outline="0" collapsedLevelsAreSubtotals="1" fieldPosition="0"/>
    </format>
    <format dxfId="297">
      <pivotArea field="3" type="button" dataOnly="0" labelOnly="1" outline="0"/>
    </format>
    <format dxfId="296">
      <pivotArea dataOnly="0" labelOnly="1" outline="0" axis="axisValues" fieldPosition="0"/>
    </format>
    <format dxfId="295">
      <pivotArea dataOnly="0" labelOnly="1" grandRow="1" outline="0" fieldPosition="0"/>
    </format>
    <format dxfId="294">
      <pivotArea dataOnly="0" labelOnly="1" outline="0" axis="axisValues" fieldPosition="0"/>
    </format>
    <format dxfId="293">
      <pivotArea outline="0" collapsedLevelsAreSubtotals="1" fieldPosition="0"/>
    </format>
    <format dxfId="292">
      <pivotArea type="all" dataOnly="0" outline="0" fieldPosition="0"/>
    </format>
    <format dxfId="291">
      <pivotArea outline="0" collapsedLevelsAreSubtotals="1" fieldPosition="0"/>
    </format>
    <format dxfId="290">
      <pivotArea field="3" type="button" dataOnly="0" labelOnly="1" outline="0"/>
    </format>
    <format dxfId="289">
      <pivotArea dataOnly="0" labelOnly="1" outline="0" axis="axisValues" fieldPosition="0"/>
    </format>
    <format dxfId="288">
      <pivotArea dataOnly="0" labelOnly="1" grandRow="1" outline="0" fieldPosition="0"/>
    </format>
    <format dxfId="287">
      <pivotArea dataOnly="0" labelOnly="1" outline="0" axis="axisValues" fieldPosition="0"/>
    </format>
    <format dxfId="28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4">
      <pivotArea type="all" dataOnly="0" outline="0" fieldPosition="0"/>
    </format>
    <format dxfId="283">
      <pivotArea outline="0" collapsedLevelsAreSubtotals="1" fieldPosition="0"/>
    </format>
    <format dxfId="282">
      <pivotArea field="6" type="button" dataOnly="0" labelOnly="1" outline="0" axis="axisRow" fieldPosition="0"/>
    </format>
    <format dxfId="281">
      <pivotArea dataOnly="0" labelOnly="1" fieldPosition="0">
        <references count="1">
          <reference field="6" count="0"/>
        </references>
      </pivotArea>
    </format>
    <format dxfId="280">
      <pivotArea dataOnly="0" labelOnly="1" grandRow="1" outline="0" fieldPosition="0"/>
    </format>
    <format dxfId="2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6" type="button" dataOnly="0" labelOnly="1" outline="0" axis="axisRow" fieldPosition="0"/>
    </format>
    <format dxfId="275">
      <pivotArea dataOnly="0" labelOnly="1" fieldPosition="0">
        <references count="1">
          <reference field="6" count="0"/>
        </references>
      </pivotArea>
    </format>
    <format dxfId="274">
      <pivotArea dataOnly="0" labelOnly="1" grandRow="1" outline="0" fieldPosition="0"/>
    </format>
    <format dxfId="2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6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38">
      <pivotArea type="all" dataOnly="0" outline="0" fieldPosition="0"/>
    </format>
    <format dxfId="337">
      <pivotArea outline="0" collapsedLevelsAreSubtotals="1" fieldPosition="0"/>
    </format>
    <format dxfId="336">
      <pivotArea field="3" type="button" dataOnly="0" labelOnly="1" outline="0"/>
    </format>
    <format dxfId="335">
      <pivotArea dataOnly="0" labelOnly="1" outline="0" axis="axisValues" fieldPosition="0"/>
    </format>
    <format dxfId="334">
      <pivotArea dataOnly="0" labelOnly="1" grandRow="1" outline="0" fieldPosition="0"/>
    </format>
    <format dxfId="333">
      <pivotArea dataOnly="0" labelOnly="1" outline="0" axis="axisValues" fieldPosition="0"/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field="3" type="button" dataOnly="0" labelOnly="1" outline="0"/>
    </format>
    <format dxfId="329">
      <pivotArea dataOnly="0" labelOnly="1" outline="0" axis="axisValues" fieldPosition="0"/>
    </format>
    <format dxfId="328">
      <pivotArea dataOnly="0" labelOnly="1" grandRow="1" outline="0" fieldPosition="0"/>
    </format>
    <format dxfId="327">
      <pivotArea dataOnly="0" labelOnly="1" outline="0" axis="axisValues" fieldPosition="0"/>
    </format>
    <format dxfId="326">
      <pivotArea outline="0" collapsedLevelsAreSubtotals="1" fieldPosition="0"/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field="3" type="button" dataOnly="0" labelOnly="1" outline="0"/>
    </format>
    <format dxfId="322">
      <pivotArea dataOnly="0" labelOnly="1" outline="0" axis="axisValues" fieldPosition="0"/>
    </format>
    <format dxfId="321">
      <pivotArea dataOnly="0" labelOnly="1" grandRow="1" outline="0" fieldPosition="0"/>
    </format>
    <format dxfId="320">
      <pivotArea dataOnly="0" labelOnly="1" outline="0" axis="axisValues" fieldPosition="0"/>
    </format>
    <format dxfId="31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7">
      <pivotArea type="all" dataOnly="0" outline="0" fieldPosition="0"/>
    </format>
    <format dxfId="316">
      <pivotArea outline="0" collapsedLevelsAreSubtotals="1" fieldPosition="0"/>
    </format>
    <format dxfId="315">
      <pivotArea field="10" type="button" dataOnly="0" labelOnly="1" outline="0" axis="axisRow" fieldPosition="0"/>
    </format>
    <format dxfId="314">
      <pivotArea dataOnly="0" labelOnly="1" fieldPosition="0">
        <references count="1">
          <reference field="10" count="0"/>
        </references>
      </pivotArea>
    </format>
    <format dxfId="313">
      <pivotArea dataOnly="0" labelOnly="1" grandRow="1" outline="0" fieldPosition="0"/>
    </format>
    <format dxfId="3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field="10" type="button" dataOnly="0" labelOnly="1" outline="0" axis="axisRow" fieldPosition="0"/>
    </format>
    <format dxfId="308">
      <pivotArea dataOnly="0" labelOnly="1" fieldPosition="0">
        <references count="1">
          <reference field="10" count="0"/>
        </references>
      </pivotArea>
    </format>
    <format dxfId="307">
      <pivotArea dataOnly="0" labelOnly="1" grandRow="1" outline="0" fieldPosition="0"/>
    </format>
    <format dxfId="30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50">
      <pivotArea outline="0" collapsedLevelsAreSubtotals="1" fieldPosition="0"/>
    </format>
    <format dxfId="49">
      <pivotArea outline="0" collapsedLevelsAreSubtotals="1" fieldPosition="0"/>
    </format>
    <format dxfId="4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1" type="button" dataOnly="0" labelOnly="1" outline="0" axis="axisRow" fieldPosition="0"/>
    </format>
    <format dxfId="4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0">
      <pivotArea dataOnly="0" labelOnly="1" grandRow="1" outline="0" fieldPosition="0"/>
    </format>
    <format dxfId="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field="1" type="button" dataOnly="0" labelOnly="1" outline="0" axis="axisRow" fieldPosition="0"/>
    </format>
    <format dxfId="3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4">
      <pivotArea dataOnly="0" labelOnly="1" grandRow="1" outline="0" fieldPosition="0"/>
    </format>
    <format dxfId="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2">
      <pivotArea type="all" dataOnly="0" outline="0" fieldPosition="0"/>
    </format>
    <format dxfId="31">
      <pivotArea outline="0" collapsedLevelsAreSubtotals="1" fieldPosition="0"/>
    </format>
    <format dxfId="30">
      <pivotArea field="1" type="button" dataOnly="0" labelOnly="1" outline="0" axis="axisRow" fieldPosition="0"/>
    </format>
    <format dxfId="2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">
      <pivotArea type="all" dataOnly="0" outline="0" fieldPosition="0"/>
    </format>
    <format dxfId="25">
      <pivotArea outline="0" collapsedLevelsAreSubtotals="1" fieldPosition="0"/>
    </format>
    <format dxfId="24">
      <pivotArea field="1" type="button" dataOnly="0" labelOnly="1" outline="0" axis="axisRow" fieldPosition="0"/>
    </format>
    <format dxfId="2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2">
      <pivotArea dataOnly="0" labelOnly="1" grandRow="1" outline="0" fieldPosition="0"/>
    </format>
    <format dxfId="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1" type="button" dataOnly="0" labelOnly="1" outline="0" axis="axisRow" fieldPosition="0"/>
    </format>
    <format dxfId="1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">
      <pivotArea dataOnly="0" labelOnly="1" grandRow="1" outline="0" fieldPosition="0"/>
    </format>
    <format dxfId="1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" type="button" dataOnly="0" labelOnly="1" outline="0" axis="axisRow" fieldPosition="0"/>
    </format>
    <format dxfId="1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0">
      <pivotArea dataOnly="0" labelOnly="1" grandRow="1" outline="0" fieldPosition="0"/>
    </format>
    <format dxfId="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79">
      <pivotArea outline="0" collapsedLevelsAreSubtotals="1" fieldPosition="0"/>
    </format>
    <format dxfId="78">
      <pivotArea type="all" dataOnly="0" outline="0" fieldPosition="0"/>
    </format>
    <format dxfId="77">
      <pivotArea outline="0" collapsedLevelsAreSubtotals="1" fieldPosition="0"/>
    </format>
    <format dxfId="76">
      <pivotArea field="1" type="button" dataOnly="0" labelOnly="1" outline="0" axis="axisRow" fieldPosition="0"/>
    </format>
    <format dxfId="75">
      <pivotArea dataOnly="0" labelOnly="1" outline="0" axis="axisValues" fieldPosition="0"/>
    </format>
    <format dxfId="74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3">
      <pivotArea dataOnly="0" labelOnly="1" grandRow="1" outline="0" fieldPosition="0"/>
    </format>
    <format dxfId="72">
      <pivotArea dataOnly="0" labelOnly="1" outline="0" axis="axisValues" fieldPosition="0"/>
    </format>
    <format dxfId="71">
      <pivotArea type="all" dataOnly="0" outline="0" fieldPosition="0"/>
    </format>
    <format dxfId="70">
      <pivotArea outline="0" collapsedLevelsAreSubtotals="1" fieldPosition="0"/>
    </format>
    <format dxfId="69">
      <pivotArea field="1" type="button" dataOnly="0" labelOnly="1" outline="0" axis="axisRow" fieldPosition="0"/>
    </format>
    <format dxfId="68">
      <pivotArea dataOnly="0" labelOnly="1" outline="0" axis="axisValues" fieldPosition="0"/>
    </format>
    <format dxfId="67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66">
      <pivotArea dataOnly="0" labelOnly="1" grandRow="1" outline="0" fieldPosition="0"/>
    </format>
    <format dxfId="65">
      <pivotArea dataOnly="0" labelOnly="1" outline="0" axis="axisValues" fieldPosition="0"/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1" type="button" dataOnly="0" labelOnly="1" outline="0" axis="axisRow" fieldPosition="0"/>
    </format>
    <format dxfId="61">
      <pivotArea dataOnly="0" labelOnly="1" outline="0" axis="axisValues" fieldPosition="0"/>
    </format>
    <format dxfId="6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9">
      <pivotArea dataOnly="0" labelOnly="1" grandRow="1" outline="0" fieldPosition="0"/>
    </format>
    <format dxfId="58">
      <pivotArea dataOnly="0" labelOnly="1" outline="0" axis="axisValues" fieldPosition="0"/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field="1" type="button" dataOnly="0" labelOnly="1" outline="0" axis="axisRow" fieldPosition="0"/>
    </format>
    <format dxfId="54">
      <pivotArea dataOnly="0" labelOnly="1" outline="0" axis="axisValues" fieldPosition="0"/>
    </format>
    <format dxfId="53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2">
      <pivotArea dataOnly="0" labelOnly="1" grandRow="1" outline="0" fieldPosition="0"/>
    </format>
    <format dxfId="51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33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" c="(vazio)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0">
        <i x="13"/>
        <i x="22"/>
        <i x="28"/>
        <i x="10"/>
        <i x="16"/>
        <i x="9"/>
        <i x="11"/>
        <i x="27"/>
        <i x="1"/>
        <i x="23"/>
        <i x="3" s="1"/>
        <i x="26"/>
        <i x="24"/>
        <i x="8"/>
        <i x="17"/>
        <i x="15"/>
        <i x="2"/>
        <i x="18"/>
        <i x="25"/>
        <i x="14"/>
        <i x="6"/>
        <i x="20"/>
        <i x="21"/>
        <i x="5"/>
        <i x="29"/>
        <i x="19"/>
        <i x="12"/>
        <i x="4" nd="1"/>
        <i x="36" nd="1"/>
        <i x="35" nd="1"/>
        <i x="38" nd="1"/>
        <i x="30" nd="1"/>
        <i x="0" nd="1"/>
        <i x="32" nd="1"/>
        <i x="34" nd="1"/>
        <i x="31" nd="1"/>
        <i x="39" nd="1"/>
        <i x="7" nd="1"/>
        <i x="37" nd="1"/>
        <i x="33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89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9" s="1"/>
        <i x="37" s="1"/>
        <i x="19" s="1"/>
        <i x="38" s="1"/>
        <i x="42" s="1"/>
        <i x="22" s="1"/>
        <i x="33" s="1"/>
        <i x="3" s="1"/>
        <i x="152" s="1"/>
        <i x="365" s="1"/>
        <i x="89" s="1"/>
        <i x="13" s="1"/>
        <i x="280" s="1"/>
        <i x="14" s="1"/>
        <i x="31" s="1"/>
        <i x="23" s="1"/>
        <i x="2" s="1"/>
        <i x="12" s="1"/>
        <i x="5" s="1"/>
        <i x="16" s="1"/>
        <i x="194" s="1"/>
        <i x="8" s="1"/>
        <i x="17" s="1"/>
        <i x="15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107" s="1" nd="1"/>
        <i x="342" s="1" nd="1"/>
        <i x="315" s="1" nd="1"/>
        <i x="256" s="1" nd="1"/>
        <i x="0" s="1" nd="1"/>
        <i x="136" s="1" nd="1"/>
        <i x="168" s="1" nd="1"/>
        <i x="39" s="1" nd="1"/>
        <i x="179" s="1" nd="1"/>
        <i x="260" s="1" nd="1"/>
        <i x="373" s="1" nd="1"/>
        <i x="345" s="1" nd="1"/>
        <i x="114" s="1" nd="1"/>
        <i x="190" s="1" nd="1"/>
        <i x="289" s="1" nd="1"/>
        <i x="191" s="1" nd="1"/>
        <i x="338" s="1" nd="1"/>
        <i x="322" s="1" nd="1"/>
        <i x="377" s="1" nd="1"/>
        <i x="319" s="1" nd="1"/>
        <i x="195" s="1" nd="1"/>
        <i x="258" s="1" nd="1"/>
        <i x="353" s="1" nd="1"/>
        <i x="309" s="1" nd="1"/>
        <i x="30" s="1" nd="1"/>
        <i x="20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46" s="1" nd="1"/>
        <i x="363" s="1" nd="1"/>
        <i x="386" s="1" nd="1"/>
        <i x="387" s="1" nd="1"/>
        <i x="388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0">
        <i x="28"/>
        <i x="1" s="1"/>
        <i x="15"/>
        <i x="2"/>
        <i x="19"/>
        <i x="4" nd="1"/>
        <i x="13" nd="1"/>
        <i x="22" nd="1"/>
        <i x="10" nd="1"/>
        <i x="36" nd="1"/>
        <i x="35" nd="1"/>
        <i x="16" nd="1"/>
        <i x="9" nd="1"/>
        <i x="38" nd="1"/>
        <i x="11" nd="1"/>
        <i x="27" nd="1"/>
        <i x="23" nd="1"/>
        <i x="3" nd="1"/>
        <i x="30" nd="1"/>
        <i x="26" nd="1"/>
        <i x="24" nd="1"/>
        <i x="8" nd="1"/>
        <i x="17" nd="1"/>
        <i x="0" nd="1"/>
        <i x="18" nd="1"/>
        <i x="25" nd="1"/>
        <i x="32" nd="1"/>
        <i x="34" nd="1"/>
        <i x="14" nd="1"/>
        <i x="6" nd="1"/>
        <i x="20" nd="1"/>
        <i x="31" nd="1"/>
        <i x="39" nd="1"/>
        <i x="21" nd="1"/>
        <i x="7" nd="1"/>
        <i x="5" nd="1"/>
        <i x="29" nd="1"/>
        <i x="37" nd="1"/>
        <i x="12" nd="1"/>
        <i x="33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98">
        <i x="4"/>
        <i x="2"/>
        <i x="5" s="1"/>
        <i x="3"/>
        <i x="6"/>
        <i x="25"/>
        <i x="30"/>
        <i x="0" nd="1"/>
        <i x="74" nd="1"/>
        <i x="79" nd="1"/>
        <i x="1" nd="1"/>
        <i x="66" nd="1"/>
        <i x="63" nd="1"/>
        <i x="64" nd="1"/>
        <i x="83" nd="1"/>
        <i x="47" nd="1"/>
        <i x="51" nd="1"/>
        <i x="97" nd="1"/>
        <i x="69" nd="1"/>
        <i x="71" nd="1"/>
        <i x="40" nd="1"/>
        <i x="9" nd="1"/>
        <i x="73" nd="1"/>
        <i x="72" nd="1"/>
        <i x="45" nd="1"/>
        <i x="39" nd="1"/>
        <i x="11" nd="1"/>
        <i x="14" nd="1"/>
        <i x="59" nd="1"/>
        <i x="49" nd="1"/>
        <i x="84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7" nd="1"/>
        <i x="24" nd="1"/>
        <i x="85" nd="1"/>
        <i x="29" nd="1"/>
        <i x="96" nd="1"/>
        <i x="36" nd="1"/>
        <i x="54" nd="1"/>
        <i x="55" nd="1"/>
        <i x="44" nd="1"/>
        <i x="93" nd="1"/>
        <i x="90" nd="1"/>
        <i x="91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2" nd="1"/>
        <i x="23" nd="1"/>
        <i x="13" nd="1"/>
        <i x="12" nd="1"/>
        <i x="22" nd="1"/>
        <i x="95" nd="1"/>
        <i x="80" nd="1"/>
        <i x="43" nd="1"/>
        <i x="88" nd="1"/>
        <i x="87" nd="1"/>
        <i x="38" nd="1"/>
        <i x="89" nd="1"/>
        <i x="86" nd="1"/>
        <i x="78" nd="1"/>
        <i x="41" nd="1"/>
        <i x="94" nd="1"/>
        <i x="33" nd="1"/>
        <i x="35" nd="1"/>
        <i x="70" nd="1"/>
        <i x="42" nd="1"/>
        <i x="19" nd="1"/>
        <i x="28" nd="1"/>
        <i x="10" nd="1"/>
        <i x="17" nd="1"/>
        <i x="81" nd="1"/>
        <i x="92" nd="1"/>
        <i x="76" nd="1"/>
        <i x="75" nd="1"/>
        <i x="7" nd="1"/>
        <i x="48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690" totalsRowShown="0" headerRowDxfId="357" dataDxfId="356">
  <autoFilter ref="B2:T3690"/>
  <sortState ref="B3:R3093">
    <sortCondition ref="D3:D3093"/>
  </sortState>
  <tableColumns count="19">
    <tableColumn id="1" name="Evento / Mercado" dataDxfId="355"/>
    <tableColumn id="17" name="Exchange" dataDxfId="354"/>
    <tableColumn id="3" name="Data de liquidação" dataDxfId="2"/>
    <tableColumn id="4" name="L/P Líquido" dataDxfId="353"/>
    <tableColumn id="5" name="Comissão%" dataDxfId="352"/>
    <tableColumn id="6" name="L/P Bruto" dataDxfId="351">
      <calculatedColumnFormula>IF(E3&gt;0,E3/(1-F3),E3)</calculatedColumnFormula>
    </tableColumn>
    <tableColumn id="2" name="Método" dataDxfId="350"/>
    <tableColumn id="7" name="Placar" dataDxfId="349"/>
    <tableColumn id="8" name="Odd" dataDxfId="348"/>
    <tableColumn id="9" name="Stake/Responsabilidade" dataDxfId="347"/>
    <tableColumn id="10" name="Data" dataDxfId="346">
      <calculatedColumnFormula>INT(base[[#This Row],[Data de liquidação]])</calculatedColumnFormula>
    </tableColumn>
    <tableColumn id="11" name="ComissãoR$" dataDxfId="345">
      <calculatedColumnFormula>base[[#This Row],[L/P Bruto]]-base[[#This Row],[L/P Líquido]]</calculatedColumnFormula>
    </tableColumn>
    <tableColumn id="13" name="Stakes" dataDxfId="344">
      <calculatedColumnFormula>base[[#This Row],[L/P Líquido]]/base[[#This Row],[Stake/Responsabilidade]]</calculatedColumnFormula>
    </tableColumn>
    <tableColumn id="12" name="Resultado_Binario" dataDxfId="343">
      <calculatedColumnFormula>IF(base[[#This Row],[L/P Líquido]]&gt;0,1,0)</calculatedColumnFormula>
    </tableColumn>
    <tableColumn id="16" name="Campeonato" dataDxfId="342"/>
    <tableColumn id="14" name="Casa" dataDxfId="341">
      <calculatedColumnFormula>LEFT(base[[#This Row],[Evento / Mercado]],FIND("vs",base[[#This Row],[Evento / Mercado]])-2)</calculatedColumnFormula>
    </tableColumn>
    <tableColumn id="15" name="Visitante" dataDxfId="340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9">
      <calculatedColumnFormula>LEFT(base[[#This Row],[Evento / Mercado]],FIND("/",base[[#This Row],[Evento / Mercado]])-2)</calculatedColumnFormula>
    </tableColumn>
    <tableColumn id="19" name="Horário" dataDxfId="0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6" dataDxfId="135">
  <autoFilter ref="B7:P248"/>
  <tableColumns count="15">
    <tableColumn id="1" name="Data" dataDxfId="134"/>
    <tableColumn id="2" name="Jogo" dataDxfId="133"/>
    <tableColumn id="3" name="Odd Casa Ataque" dataDxfId="132"/>
    <tableColumn id="4" name="Stake Casa Ataque" dataDxfId="131"/>
    <tableColumn id="5" name="Odd Fulltbet" dataDxfId="130"/>
    <tableColumn id="6" name="Stake Fulltbet" dataDxfId="129"/>
    <tableColumn id="7" name="Resultado Fulltbet" dataDxfId="128"/>
    <tableColumn id="8" name="Casa Ataque" dataDxfId="127"/>
    <tableColumn id="9" name="Lucro Fulltbet" dataDxfId="126">
      <calculatedColumnFormula>IF(H8="Ganhou",(F8-1)*G8,-G8)</calculatedColumnFormula>
    </tableColumn>
    <tableColumn id="10" name="Lucro Casa Ataque" dataDxfId="125">
      <calculatedColumnFormula>IF(H8="Perdeu",(D8-1)*E8,-E8)</calculatedColumnFormula>
    </tableColumn>
    <tableColumn id="11" name="Comissão Casa Ataque" dataDxfId="124">
      <calculatedColumnFormula>IF(H8="Perdeu",-K8*0.028,0)</calculatedColumnFormula>
    </tableColumn>
    <tableColumn id="12" name="Lucro Líquido Casa Ataque" dataDxfId="123">
      <calculatedColumnFormula>SUM(K8:L8)</calculatedColumnFormula>
    </tableColumn>
    <tableColumn id="13" name="Resultado" dataDxfId="122">
      <calculatedColumnFormula>SUM(J8:L8)</calculatedColumnFormula>
    </tableColumn>
    <tableColumn id="14" name="ROI" dataDxfId="121" dataCellStyle="Porcentagem">
      <calculatedColumnFormula>IFERROR(N8/SUM(G8,E8),"")</calculatedColumnFormula>
    </tableColumn>
    <tableColumn id="15" name="Proporção Stakes" dataDxfId="120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9" dataDxfId="118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7"/>
    <tableColumn id="14" name="Horário" dataDxfId="116"/>
    <tableColumn id="2" name="Time 1" dataDxfId="115"/>
    <tableColumn id="3" name="Time 2" dataDxfId="114"/>
    <tableColumn id="4" name="Surebet / Simples" dataDxfId="113"/>
    <tableColumn id="5" name="Casa 1" dataDxfId="112"/>
    <tableColumn id="6" name="Odd 1" dataDxfId="111"/>
    <tableColumn id="7" name="Valor Casa 1" dataDxfId="110"/>
    <tableColumn id="17" name="Resultado Casa 1" dataDxfId="109"/>
    <tableColumn id="19" name="L/P Casa 1" dataDxfId="108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7"/>
    <tableColumn id="9" name="Odd 2" dataDxfId="106"/>
    <tableColumn id="10" name="Valor Casa 2" dataDxfId="105"/>
    <tableColumn id="18" name="Resultado Casa 2" dataDxfId="104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3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102"/>
    <tableColumn id="13" name="Lucro Provisório" dataDxfId="101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100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9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8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7" dataDxfId="96">
  <autoFilter ref="B5:Q46"/>
  <tableColumns count="16">
    <tableColumn id="1" name="Data" dataDxfId="95"/>
    <tableColumn id="2" name="Jogo" dataDxfId="94"/>
    <tableColumn id="3" name="Mercado Casa B" dataDxfId="93"/>
    <tableColumn id="4" name="Rodada" dataDxfId="92"/>
    <tableColumn id="5" name="Stake Fullbet" dataDxfId="91"/>
    <tableColumn id="6" name="Odd Fulltbet" dataDxfId="90"/>
    <tableColumn id="7" name="Odd Casa B" dataDxfId="89"/>
    <tableColumn id="8" name="ROI" dataDxfId="88" dataCellStyle="Porcentagem">
      <calculatedColumnFormula>(G6-1-G6/H6)/(1+G6/H6)</calculatedColumnFormula>
    </tableColumn>
    <tableColumn id="9" name="Stake Casa B Calculada" dataDxfId="87">
      <calculatedColumnFormula>F6*(G6-1)</calculatedColumnFormula>
    </tableColumn>
    <tableColumn id="10" name="Gestão Casa B" dataDxfId="86" dataCellStyle="Porcentagem">
      <calculatedColumnFormula>J6/$H$3</calculatedColumnFormula>
    </tableColumn>
    <tableColumn id="11" name="Stake Casa B Real" dataDxfId="85"/>
    <tableColumn id="12" name="Custo Entrada" dataDxfId="84"/>
    <tableColumn id="13" name="Resultado Casa B" dataDxfId="83"/>
    <tableColumn id="14" name="L/P Casa B" dataDxfId="82">
      <calculatedColumnFormula>IF(N6="Red",-L6,IF(N6="",0,L6*(H6-1)))</calculatedColumnFormula>
    </tableColumn>
    <tableColumn id="15" name="L/P Final" dataDxfId="81">
      <calculatedColumnFormula>O6-M6</calculatedColumnFormula>
    </tableColumn>
    <tableColumn id="16" name="Divisão" dataDxfId="80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8" dataDxfId="7">
  <autoFilter ref="B4:E656"/>
  <tableColumns count="4">
    <tableColumn id="1" name="Data" dataDxfId="6"/>
    <tableColumn id="2" name="Odd" dataDxfId="5"/>
    <tableColumn id="3" name="Resultado" dataDxfId="4"/>
    <tableColumn id="4" name="LP" dataDxfId="3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dateBetween">
    <selection startDate="2026-07-27T00:00:00" endDate="2026-08-02T00:00:00"/>
    <bounds startDate="2025-01-01T18:21:26" endDate="2027-01-01T22:59:00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34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F7" sqref="B6:F7"/>
    </sheetView>
  </sheetViews>
  <sheetFormatPr defaultRowHeight="15" customHeight="1"/>
  <cols>
    <col min="1" max="1" width="8.796875" style="435"/>
    <col min="2" max="2" width="16.8984375" style="435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>
      <c r="B2" s="1258" t="s">
        <v>3</v>
      </c>
      <c r="C2" s="1248" t="s">
        <v>1666</v>
      </c>
    </row>
    <row r="4" spans="2:12" ht="13.2">
      <c r="B4" s="1258" t="s">
        <v>266</v>
      </c>
      <c r="C4" s="1248" t="s">
        <v>4024</v>
      </c>
      <c r="D4" s="1248" t="s">
        <v>1762</v>
      </c>
      <c r="E4" s="1248" t="s">
        <v>386</v>
      </c>
      <c r="F4" s="1248" t="s">
        <v>840</v>
      </c>
      <c r="G4" s="1248" t="s">
        <v>1807</v>
      </c>
      <c r="H4" s="1248" t="s">
        <v>1808</v>
      </c>
      <c r="I4" s="1248" t="s">
        <v>1812</v>
      </c>
      <c r="J4" s="436" t="s">
        <v>1809</v>
      </c>
      <c r="K4" s="436" t="s">
        <v>1810</v>
      </c>
      <c r="L4" s="436" t="s">
        <v>1811</v>
      </c>
    </row>
    <row r="5" spans="2:12" ht="13.2">
      <c r="B5" s="1262" t="s">
        <v>2301</v>
      </c>
      <c r="C5" s="1249">
        <v>5</v>
      </c>
      <c r="D5" s="1247">
        <v>48.921465968586389</v>
      </c>
      <c r="E5" s="1247">
        <v>46.720000000000006</v>
      </c>
      <c r="F5" s="1247">
        <v>2.4603333333333333</v>
      </c>
      <c r="G5" s="1247">
        <v>1.516</v>
      </c>
      <c r="H5" s="1261">
        <v>0.49178947368421061</v>
      </c>
      <c r="I5" s="1261">
        <v>1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>
      <c r="B6" s="1262" t="s">
        <v>2883</v>
      </c>
      <c r="C6" s="1249">
        <v>7</v>
      </c>
      <c r="D6" s="1247">
        <v>-18.287958115183244</v>
      </c>
      <c r="E6" s="1247">
        <v>-18.59</v>
      </c>
      <c r="F6" s="1247">
        <v>-3.718</v>
      </c>
      <c r="G6" s="1247">
        <v>1.7014285714285715</v>
      </c>
      <c r="H6" s="1261">
        <v>-0.53114285714285714</v>
      </c>
      <c r="I6" s="1261">
        <v>0.2857142857142857</v>
      </c>
      <c r="J6" s="437">
        <f>VLOOKUP(B6,'Dados Botbet'!$B$2:$M$19,5,FALSE)</f>
        <v>1.73</v>
      </c>
      <c r="K6" s="438">
        <f>VLOOKUP(B6,'Dados Botbet'!$B$2:$M$19,4,FALSE)</f>
        <v>0.18463560334528076</v>
      </c>
      <c r="L6" s="438">
        <f>VLOOKUP(B6,'Dados Botbet'!$B$2:$M$19,11,FALSE)</f>
        <v>0.68817204301075274</v>
      </c>
    </row>
    <row r="7" spans="2:12" ht="13.2">
      <c r="B7" s="1262" t="s">
        <v>2362</v>
      </c>
      <c r="C7" s="1249">
        <v>1</v>
      </c>
      <c r="D7" s="1247">
        <v>-10</v>
      </c>
      <c r="E7" s="1247">
        <v>-10</v>
      </c>
      <c r="F7" s="1247">
        <v>-1</v>
      </c>
      <c r="G7" s="1247">
        <v>1.1100000000000001</v>
      </c>
      <c r="H7" s="1261">
        <v>-1</v>
      </c>
      <c r="I7" s="1261">
        <v>0</v>
      </c>
      <c r="J7" s="437">
        <f>VLOOKUP(B7,'Dados Botbet'!$B$2:$M$19,5,FALSE)</f>
        <v>1.1100000000000001</v>
      </c>
      <c r="K7" s="438">
        <f>VLOOKUP(B7,'Dados Botbet'!$B$2:$M$19,4,FALSE)</f>
        <v>6.9490616621983914E-2</v>
      </c>
      <c r="L7" s="438">
        <f>VLOOKUP(B7,'Dados Botbet'!$B$2:$M$19,11,FALSE)</f>
        <v>0.96246648793565681</v>
      </c>
    </row>
    <row r="8" spans="2:12" ht="13.2">
      <c r="B8" s="1262" t="s">
        <v>2950</v>
      </c>
      <c r="C8" s="1249">
        <v>4</v>
      </c>
      <c r="D8" s="1247">
        <v>22.806282722513089</v>
      </c>
      <c r="E8" s="1247">
        <v>21.78</v>
      </c>
      <c r="F8" s="1247">
        <v>0.43915373913603906</v>
      </c>
      <c r="G8" s="1247">
        <v>9.8999999999999986</v>
      </c>
      <c r="H8" s="1261">
        <v>0.10962903306991495</v>
      </c>
      <c r="I8" s="1261">
        <v>1</v>
      </c>
      <c r="J8" s="437" t="e">
        <f>VLOOKUP(B8,'Dados Botbet'!$B$2:$M$19,5,FALSE)</f>
        <v>#N/A</v>
      </c>
      <c r="K8" s="438" t="e">
        <f>VLOOKUP(B8,'Dados Botbet'!$B$2:$M$19,4,FALSE)</f>
        <v>#N/A</v>
      </c>
      <c r="L8" s="438" t="e">
        <f>VLOOKUP(B8,'Dados Botbet'!$B$2:$M$19,11,FALSE)</f>
        <v>#N/A</v>
      </c>
    </row>
    <row r="9" spans="2:12" ht="13.2">
      <c r="B9" s="1262" t="s">
        <v>1718</v>
      </c>
      <c r="C9" s="1249">
        <v>2</v>
      </c>
      <c r="D9" s="1247">
        <v>-14.543246073298429</v>
      </c>
      <c r="E9" s="1247">
        <v>-14.58</v>
      </c>
      <c r="F9" s="1247">
        <v>-0.48584671198874191</v>
      </c>
      <c r="G9" s="1247">
        <v>3.7750000000000004</v>
      </c>
      <c r="H9" s="1261">
        <v>-0.24287856071964017</v>
      </c>
      <c r="I9" s="1261">
        <v>0.5</v>
      </c>
      <c r="J9" s="437">
        <f>VLOOKUP(B9,'Dados Botbet'!$B$2:$M$19,5,FALSE)</f>
        <v>3.52</v>
      </c>
      <c r="K9" s="438">
        <f>VLOOKUP(B9,'Dados Botbet'!$B$2:$M$19,4,FALSE)</f>
        <v>0.13195652173913044</v>
      </c>
      <c r="L9" s="438">
        <f>VLOOKUP(B9,'Dados Botbet'!$B$2:$M$19,11,FALSE)</f>
        <v>0.74</v>
      </c>
    </row>
    <row r="10" spans="2:12" ht="13.2">
      <c r="B10" s="1262" t="s">
        <v>1759</v>
      </c>
      <c r="C10" s="1249">
        <v>3</v>
      </c>
      <c r="D10" s="1247">
        <v>17.204188481675395</v>
      </c>
      <c r="E10" s="1247">
        <v>16.43</v>
      </c>
      <c r="F10" s="1247">
        <v>0.13558903972711889</v>
      </c>
      <c r="G10" s="1247">
        <v>25.193333333333332</v>
      </c>
      <c r="H10" s="1261">
        <v>4.5055668293753091E-2</v>
      </c>
      <c r="I10" s="1261">
        <v>1</v>
      </c>
      <c r="J10" s="437">
        <f>VLOOKUP(B10,'Dados Botbet'!$B$2:$M$19,5,FALSE)</f>
        <v>23.38</v>
      </c>
      <c r="K10" s="438">
        <f>VLOOKUP(B10,'Dados Botbet'!$B$2:$M$19,4,FALSE)</f>
        <v>4.3995127892813644E-2</v>
      </c>
      <c r="L10" s="438">
        <f>VLOOKUP(B10,'Dados Botbet'!$B$2:$M$19,11,FALSE)</f>
        <v>0.97807551766138856</v>
      </c>
    </row>
    <row r="11" spans="2:12" ht="13.2">
      <c r="B11" s="1262" t="s">
        <v>3333</v>
      </c>
      <c r="C11" s="1249">
        <v>2</v>
      </c>
      <c r="D11" s="1247">
        <v>-4</v>
      </c>
      <c r="E11" s="1247">
        <v>-4</v>
      </c>
      <c r="F11" s="1247">
        <v>-2</v>
      </c>
      <c r="G11" s="1247">
        <v>1.665</v>
      </c>
      <c r="H11" s="1261">
        <v>-1</v>
      </c>
      <c r="I11" s="1261">
        <v>0</v>
      </c>
      <c r="J11" s="437" t="e">
        <f>VLOOKUP(B11,'Dados Botbet'!$B$2:$M$19,5,FALSE)</f>
        <v>#N/A</v>
      </c>
      <c r="K11" s="438" t="e">
        <f>VLOOKUP(B11,'Dados Botbet'!$B$2:$M$19,4,FALSE)</f>
        <v>#N/A</v>
      </c>
      <c r="L11" s="438" t="e">
        <f>VLOOKUP(B11,'Dados Botbet'!$B$2:$M$19,11,FALSE)</f>
        <v>#N/A</v>
      </c>
    </row>
    <row r="12" spans="2:12" ht="13.2">
      <c r="B12" s="1259" t="s">
        <v>267</v>
      </c>
      <c r="C12" s="1249">
        <v>24</v>
      </c>
      <c r="D12" s="1247">
        <v>42.100732984293202</v>
      </c>
      <c r="E12" s="1247">
        <v>37.760000000000012</v>
      </c>
      <c r="F12" s="1247">
        <v>-4.1687705997922508</v>
      </c>
      <c r="G12" s="1247">
        <v>6.1108333333333329</v>
      </c>
      <c r="H12" s="1261">
        <v>4.920767306088409E-2</v>
      </c>
      <c r="I12" s="1261">
        <v>0.625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8">
      <c r="B13"/>
      <c r="C13"/>
      <c r="D13"/>
      <c r="E13"/>
      <c r="F13"/>
      <c r="G13"/>
      <c r="H13"/>
      <c r="I13"/>
      <c r="J13" s="437" t="e">
        <f>VLOOKUP(B13,'Dados Botbet'!$B$2:$M$19,5,FALSE)</f>
        <v>#N/A</v>
      </c>
      <c r="K13" s="438" t="e">
        <f>VLOOKUP(B13,'Dados Botbet'!$B$2:$M$19,4,FALSE)</f>
        <v>#N/A</v>
      </c>
      <c r="L13" s="438" t="e">
        <f>VLOOKUP(B13,'Dados Botbet'!$B$2:$M$19,11,FALSE)</f>
        <v>#N/A</v>
      </c>
    </row>
    <row r="14" spans="2:12" ht="13.8">
      <c r="B14"/>
      <c r="C14"/>
      <c r="D14"/>
      <c r="E14"/>
      <c r="F14"/>
      <c r="G14"/>
      <c r="H14"/>
      <c r="I14"/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8">
      <c r="B15"/>
      <c r="C15"/>
      <c r="D15"/>
      <c r="E15"/>
      <c r="F15"/>
      <c r="G15"/>
      <c r="H15"/>
      <c r="I15"/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8">
      <c r="B16"/>
      <c r="C16"/>
      <c r="D16"/>
      <c r="E16"/>
      <c r="F16"/>
      <c r="G16"/>
      <c r="H16"/>
      <c r="I16"/>
      <c r="J16" s="437" t="e">
        <f>VLOOKUP(B16,'Dados Botbet'!$B$2:$M$19,5,FALSE)</f>
        <v>#N/A</v>
      </c>
      <c r="K16" s="438" t="e">
        <f>VLOOKUP(B16,'Dados Botbet'!$B$2:$M$19,4,FALSE)</f>
        <v>#N/A</v>
      </c>
      <c r="L16" s="438" t="e">
        <f>VLOOKUP(B16,'Dados Botbet'!$B$2:$M$19,11,FALSE)</f>
        <v>#N/A</v>
      </c>
    </row>
    <row r="17" spans="2:12" ht="13.8">
      <c r="B17"/>
      <c r="C17"/>
      <c r="D17"/>
      <c r="E17"/>
      <c r="F17"/>
      <c r="G17"/>
      <c r="H17"/>
      <c r="I17"/>
      <c r="J17" s="437" t="e">
        <f>VLOOKUP(B17,'Dados Botbet'!$B$2:$M$19,5,FALSE)</f>
        <v>#N/A</v>
      </c>
      <c r="K17" s="438" t="e">
        <f>VLOOKUP(B17,'Dados Botbet'!$B$2:$M$19,4,FALSE)</f>
        <v>#N/A</v>
      </c>
      <c r="L17" s="438" t="e">
        <f>VLOOKUP(B17,'Dados Botbet'!$B$2:$M$19,11,FALSE)</f>
        <v>#N/A</v>
      </c>
    </row>
    <row r="18" spans="2:12" ht="13.8">
      <c r="B18"/>
      <c r="C18"/>
      <c r="D18"/>
      <c r="E18"/>
      <c r="F18"/>
      <c r="G18"/>
      <c r="H18"/>
      <c r="I18"/>
      <c r="J18" s="437" t="e">
        <f>VLOOKUP(B18,'Dados Botbet'!$B$2:$M$19,5,FALSE)</f>
        <v>#N/A</v>
      </c>
      <c r="K18" s="438" t="e">
        <f>VLOOKUP(B18,'Dados Botbet'!$B$2:$M$19,4,FALSE)</f>
        <v>#N/A</v>
      </c>
      <c r="L18" s="438" t="e">
        <f>VLOOKUP(B18,'Dados Botbet'!$B$2:$M$19,11,FALSE)</f>
        <v>#N/A</v>
      </c>
    </row>
    <row r="19" spans="2:12" ht="13.8">
      <c r="B19"/>
      <c r="C19"/>
      <c r="D19"/>
      <c r="E19"/>
      <c r="F19"/>
      <c r="G19"/>
      <c r="H19"/>
      <c r="I19"/>
      <c r="J19" s="437" t="e">
        <f>VLOOKUP(B19,'Dados Botbet'!$B$2:$M$19,5,FALSE)</f>
        <v>#N/A</v>
      </c>
      <c r="K19" s="438" t="e">
        <f>VLOOKUP(B19,'Dados Botbet'!$B$2:$M$19,4,FALSE)</f>
        <v>#N/A</v>
      </c>
      <c r="L19" s="438" t="e">
        <f>VLOOKUP(B19,'Dados Botbet'!$B$2:$M$19,11,FALSE)</f>
        <v>#N/A</v>
      </c>
    </row>
    <row r="20" spans="2:12" ht="13.8">
      <c r="B20"/>
      <c r="C20"/>
      <c r="D20"/>
      <c r="E20"/>
      <c r="F20"/>
      <c r="G20"/>
      <c r="H20"/>
      <c r="I20"/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8">
      <c r="B21"/>
      <c r="C21"/>
      <c r="D21"/>
      <c r="E21"/>
      <c r="F21"/>
      <c r="G21"/>
      <c r="H21"/>
      <c r="I21"/>
      <c r="J21" s="437" t="e">
        <f>VLOOKUP(B21,'Dados Botbet'!$B$2:$M$19,5,FALSE)</f>
        <v>#N/A</v>
      </c>
      <c r="K21" s="438" t="e">
        <f>VLOOKUP(B21,'Dados Botbet'!$B$2:$M$19,4,FALSE)</f>
        <v>#N/A</v>
      </c>
      <c r="L21" s="438" t="e">
        <f>VLOOKUP(B21,'Dados Botbet'!$B$2:$M$19,11,FALSE)</f>
        <v>#N/A</v>
      </c>
    </row>
    <row r="22" spans="2:12" ht="13.8">
      <c r="B22"/>
      <c r="C22"/>
      <c r="D22"/>
      <c r="E22"/>
      <c r="F22"/>
      <c r="G22"/>
      <c r="H22"/>
      <c r="I22"/>
      <c r="J22" s="437" t="e">
        <f>VLOOKUP(B22,'Dados Botbet'!$B$2:$M$19,5,FALSE)</f>
        <v>#N/A</v>
      </c>
      <c r="K22" s="438" t="e">
        <f>VLOOKUP(B22,'Dados Botbet'!$B$2:$M$19,4,FALSE)</f>
        <v>#N/A</v>
      </c>
      <c r="L22" s="438" t="e">
        <f>VLOOKUP(B22,'Dados Botbet'!$B$2:$M$19,11,FALSE)</f>
        <v>#N/A</v>
      </c>
    </row>
    <row r="23" spans="2:12" ht="13.8">
      <c r="B23"/>
      <c r="C23"/>
      <c r="D23"/>
      <c r="E23"/>
      <c r="F23"/>
      <c r="G23"/>
      <c r="H23"/>
      <c r="I23"/>
      <c r="J23" s="437" t="e">
        <f>VLOOKUP(B23,'Dados Botbet'!$B$2:$M$19,5,FALSE)</f>
        <v>#N/A</v>
      </c>
      <c r="K23" s="438" t="e">
        <f>VLOOKUP(B23,'Dados Botbet'!$B$2:$M$19,4,FALSE)</f>
        <v>#N/A</v>
      </c>
      <c r="L23" s="438" t="e">
        <f>VLOOKUP(B23,'Dados Botbet'!$B$2:$M$19,11,FALSE)</f>
        <v>#N/A</v>
      </c>
    </row>
    <row r="24" spans="2:12" ht="13.8">
      <c r="B24"/>
      <c r="C24"/>
      <c r="D24"/>
      <c r="E24"/>
      <c r="F24"/>
      <c r="G24"/>
      <c r="H24"/>
      <c r="I24"/>
      <c r="J24" s="437" t="e">
        <f>VLOOKUP(B24,'Dados Botbet'!$B$2:$M$19,5,FALSE)</f>
        <v>#N/A</v>
      </c>
      <c r="K24" s="438" t="e">
        <f>VLOOKUP(B24,'Dados Botbet'!$B$2:$M$19,4,FALSE)</f>
        <v>#N/A</v>
      </c>
      <c r="L24" s="438" t="e">
        <f>VLOOKUP(B24,'Dados Botbet'!$B$2:$M$19,11,FALSE)</f>
        <v>#N/A</v>
      </c>
    </row>
    <row r="25" spans="2:12" ht="13.8">
      <c r="B25"/>
      <c r="C25"/>
      <c r="D25"/>
      <c r="E25"/>
      <c r="F25"/>
      <c r="G25"/>
      <c r="H25"/>
      <c r="I25"/>
      <c r="J25" s="437" t="e">
        <f>VLOOKUP(B25,'Dados Botbet'!$B$2:$M$19,5,FALSE)</f>
        <v>#N/A</v>
      </c>
      <c r="K25" s="438" t="e">
        <f>VLOOKUP(B25,'Dados Botbet'!$B$2:$M$19,4,FALSE)</f>
        <v>#N/A</v>
      </c>
      <c r="L25" s="438" t="e">
        <f>VLOOKUP(B25,'Dados Botbet'!$B$2:$M$19,11,FALSE)</f>
        <v>#N/A</v>
      </c>
    </row>
    <row r="26" spans="2:12" ht="13.8">
      <c r="B26"/>
      <c r="C26"/>
      <c r="D26"/>
      <c r="E26"/>
      <c r="F26"/>
      <c r="G26"/>
      <c r="H26"/>
      <c r="I26"/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8">
      <c r="B27"/>
      <c r="C27"/>
      <c r="D27"/>
      <c r="E27"/>
      <c r="F27"/>
      <c r="G27"/>
      <c r="H27"/>
      <c r="I27"/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8">
      <c r="B28"/>
      <c r="C28"/>
      <c r="D28"/>
      <c r="E28"/>
      <c r="F28"/>
      <c r="G28"/>
      <c r="H28"/>
      <c r="I28"/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F5:F11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>
      <c r="B2" s="428" t="s">
        <v>1803</v>
      </c>
      <c r="C2" s="428" t="s">
        <v>1804</v>
      </c>
      <c r="D2" s="428" t="s">
        <v>1805</v>
      </c>
      <c r="E2" s="428" t="s">
        <v>81</v>
      </c>
      <c r="F2" s="428" t="s">
        <v>255</v>
      </c>
      <c r="G2" s="428" t="s">
        <v>1806</v>
      </c>
      <c r="H2" s="428" t="s">
        <v>1778</v>
      </c>
      <c r="I2" s="428" t="s">
        <v>1802</v>
      </c>
      <c r="J2" s="428" t="s">
        <v>263</v>
      </c>
      <c r="K2" s="428" t="s">
        <v>1779</v>
      </c>
      <c r="L2" s="428" t="s">
        <v>156</v>
      </c>
      <c r="M2" s="428" t="s">
        <v>4</v>
      </c>
    </row>
    <row r="3" spans="2:13" ht="19.95" customHeight="1">
      <c r="B3" s="429" t="s">
        <v>2301</v>
      </c>
      <c r="C3" s="429" t="s">
        <v>1780</v>
      </c>
      <c r="D3" s="429" t="s">
        <v>1781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3026</v>
      </c>
    </row>
    <row r="4" spans="2:13" ht="19.95" customHeight="1">
      <c r="B4" s="429" t="s">
        <v>1760</v>
      </c>
      <c r="C4" s="429" t="s">
        <v>1780</v>
      </c>
      <c r="D4" s="429" t="s">
        <v>1781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1782</v>
      </c>
    </row>
    <row r="5" spans="2:13" ht="19.95" customHeight="1">
      <c r="B5" s="429" t="s">
        <v>1758</v>
      </c>
      <c r="C5" s="429" t="s">
        <v>1780</v>
      </c>
      <c r="D5" s="429" t="s">
        <v>1783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1784</v>
      </c>
    </row>
    <row r="6" spans="2:13" ht="19.95" customHeight="1">
      <c r="B6" s="429" t="s">
        <v>2883</v>
      </c>
      <c r="C6" s="429" t="s">
        <v>1780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3027</v>
      </c>
    </row>
    <row r="7" spans="2:13" ht="19.95" customHeight="1">
      <c r="B7" s="429" t="s">
        <v>2362</v>
      </c>
      <c r="C7" s="429" t="s">
        <v>1780</v>
      </c>
      <c r="D7" s="429" t="s">
        <v>1781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3028</v>
      </c>
    </row>
    <row r="8" spans="2:13" ht="19.95" customHeight="1">
      <c r="B8" s="429" t="s">
        <v>1665</v>
      </c>
      <c r="C8" s="429" t="s">
        <v>1780</v>
      </c>
      <c r="D8" s="429" t="s">
        <v>1785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1786</v>
      </c>
    </row>
    <row r="9" spans="2:13" ht="19.95" customHeight="1">
      <c r="B9" s="429" t="s">
        <v>1558</v>
      </c>
      <c r="C9" s="429" t="s">
        <v>1787</v>
      </c>
      <c r="D9" s="429" t="s">
        <v>1788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1789</v>
      </c>
    </row>
    <row r="10" spans="2:13" ht="19.95" customHeight="1">
      <c r="B10" s="429" t="s">
        <v>2952</v>
      </c>
      <c r="C10" s="429" t="s">
        <v>1780</v>
      </c>
      <c r="D10" s="429" t="s">
        <v>3029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3030</v>
      </c>
    </row>
    <row r="11" spans="2:13" ht="19.95" customHeight="1">
      <c r="B11" s="429" t="s">
        <v>1790</v>
      </c>
      <c r="C11" s="429" t="s">
        <v>1787</v>
      </c>
      <c r="D11" s="429" t="s">
        <v>392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1791</v>
      </c>
    </row>
    <row r="12" spans="2:13" ht="19.95" customHeight="1">
      <c r="B12" s="429" t="s">
        <v>1715</v>
      </c>
      <c r="C12" s="429" t="s">
        <v>1787</v>
      </c>
      <c r="D12" s="429" t="s">
        <v>1792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1793</v>
      </c>
    </row>
    <row r="13" spans="2:13" ht="19.95" customHeight="1">
      <c r="B13" s="429" t="s">
        <v>1718</v>
      </c>
      <c r="C13" s="429" t="s">
        <v>1787</v>
      </c>
      <c r="D13" s="429" t="s">
        <v>1551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1794</v>
      </c>
    </row>
    <row r="14" spans="2:13" ht="19.95" customHeight="1">
      <c r="B14" s="429" t="s">
        <v>1795</v>
      </c>
      <c r="C14" s="429" t="s">
        <v>1780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1796</v>
      </c>
    </row>
    <row r="15" spans="2:13" ht="19.95" customHeight="1">
      <c r="B15" s="429" t="s">
        <v>1759</v>
      </c>
      <c r="C15" s="429" t="s">
        <v>1787</v>
      </c>
      <c r="D15" s="429" t="s">
        <v>392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1797</v>
      </c>
    </row>
    <row r="16" spans="2:13" ht="19.95" customHeight="1">
      <c r="B16" s="429" t="s">
        <v>1759</v>
      </c>
      <c r="C16" s="429" t="s">
        <v>1787</v>
      </c>
      <c r="D16" s="429" t="s">
        <v>392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3031</v>
      </c>
    </row>
    <row r="17" spans="2:13" ht="19.95" customHeight="1">
      <c r="B17" s="429" t="s">
        <v>1777</v>
      </c>
      <c r="C17" s="429" t="s">
        <v>1787</v>
      </c>
      <c r="D17" s="429" t="s">
        <v>392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1798</v>
      </c>
    </row>
    <row r="18" spans="2:13" ht="19.95" customHeight="1">
      <c r="B18" s="429" t="s">
        <v>1663</v>
      </c>
      <c r="C18" s="429" t="s">
        <v>1780</v>
      </c>
      <c r="D18" s="429" t="s">
        <v>1799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1800</v>
      </c>
    </row>
    <row r="19" spans="2:13" ht="19.95" customHeight="1">
      <c r="B19" s="429" t="s">
        <v>1716</v>
      </c>
      <c r="C19" s="429" t="s">
        <v>1780</v>
      </c>
      <c r="D19" s="429" t="s">
        <v>1788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1801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/>
    <row r="2" spans="2:17" ht="13.8">
      <c r="B2" s="1258" t="s">
        <v>266</v>
      </c>
      <c r="C2" s="1248" t="s">
        <v>1240</v>
      </c>
      <c r="D2" s="1248" t="s">
        <v>386</v>
      </c>
      <c r="E2"/>
      <c r="G2" s="1258" t="s">
        <v>266</v>
      </c>
      <c r="H2" s="1248" t="s">
        <v>1240</v>
      </c>
      <c r="I2" s="1248" t="s">
        <v>386</v>
      </c>
      <c r="J2"/>
      <c r="L2" s="1258" t="s">
        <v>266</v>
      </c>
      <c r="M2" s="1248" t="s">
        <v>1240</v>
      </c>
      <c r="N2" s="1248" t="s">
        <v>386</v>
      </c>
      <c r="O2"/>
    </row>
    <row r="3" spans="2:17" ht="13.8">
      <c r="B3" s="1259" t="s">
        <v>391</v>
      </c>
      <c r="C3" s="1261">
        <v>1</v>
      </c>
      <c r="D3" s="1247">
        <v>220.48314999999999</v>
      </c>
      <c r="E3"/>
      <c r="G3" s="1259">
        <v>5.0999999999999996</v>
      </c>
      <c r="H3" s="1261">
        <v>0</v>
      </c>
      <c r="I3" s="1247">
        <v>-400</v>
      </c>
      <c r="J3"/>
      <c r="L3" s="1259" t="s">
        <v>392</v>
      </c>
      <c r="M3" s="1261">
        <v>0.9017857142857143</v>
      </c>
      <c r="N3" s="1247">
        <v>144.13390000000004</v>
      </c>
      <c r="O3"/>
      <c r="P3" s="1248" t="s">
        <v>4024</v>
      </c>
      <c r="Q3" s="1248" t="s">
        <v>1241</v>
      </c>
    </row>
    <row r="4" spans="2:17" ht="13.8">
      <c r="B4" s="1259" t="s">
        <v>1211</v>
      </c>
      <c r="C4" s="1261">
        <v>1</v>
      </c>
      <c r="D4" s="1247">
        <v>123.47999999999999</v>
      </c>
      <c r="E4"/>
      <c r="G4" s="1259">
        <v>5.4</v>
      </c>
      <c r="H4" s="1261">
        <v>1</v>
      </c>
      <c r="I4" s="1247">
        <v>86.82</v>
      </c>
      <c r="J4"/>
      <c r="L4" s="1259" t="s">
        <v>1488</v>
      </c>
      <c r="M4" s="1261">
        <v>1</v>
      </c>
      <c r="N4" s="1247">
        <v>247.06</v>
      </c>
      <c r="O4"/>
      <c r="P4" s="1247">
        <v>169</v>
      </c>
      <c r="Q4" s="1247">
        <v>12.411985853747945</v>
      </c>
    </row>
    <row r="5" spans="2:17" ht="13.8">
      <c r="B5" s="1259" t="s">
        <v>1201</v>
      </c>
      <c r="C5" s="1261">
        <v>1</v>
      </c>
      <c r="D5" s="1247">
        <v>72.239999999999995</v>
      </c>
      <c r="E5"/>
      <c r="G5" s="1259">
        <v>5.5</v>
      </c>
      <c r="H5" s="1261">
        <v>0.5</v>
      </c>
      <c r="I5" s="1247">
        <v>-45.269900000000007</v>
      </c>
      <c r="J5"/>
      <c r="L5" s="1259" t="s">
        <v>1221</v>
      </c>
      <c r="M5" s="1261">
        <v>1</v>
      </c>
      <c r="N5" s="1247">
        <v>149.66774999999998</v>
      </c>
      <c r="O5"/>
    </row>
    <row r="6" spans="2:17" ht="13.8">
      <c r="B6" s="1259" t="s">
        <v>1749</v>
      </c>
      <c r="C6" s="1261">
        <v>1</v>
      </c>
      <c r="D6" s="1247">
        <v>24.76315</v>
      </c>
      <c r="E6"/>
      <c r="G6" s="1259">
        <v>5.6</v>
      </c>
      <c r="H6" s="1261">
        <v>1</v>
      </c>
      <c r="I6" s="1247">
        <v>86.16</v>
      </c>
      <c r="J6"/>
      <c r="L6" s="1259" t="s">
        <v>1578</v>
      </c>
      <c r="M6" s="1261">
        <v>1</v>
      </c>
      <c r="N6" s="1247">
        <v>131.8965</v>
      </c>
      <c r="O6"/>
    </row>
    <row r="7" spans="2:17" ht="13.8">
      <c r="B7" s="1259" t="s">
        <v>392</v>
      </c>
      <c r="C7" s="1261">
        <v>0.9017857142857143</v>
      </c>
      <c r="D7" s="1247">
        <v>144.13390000000015</v>
      </c>
      <c r="E7"/>
      <c r="G7" s="1259">
        <v>5.8</v>
      </c>
      <c r="H7" s="1261">
        <v>1</v>
      </c>
      <c r="I7" s="1247">
        <v>174.5</v>
      </c>
      <c r="J7"/>
      <c r="L7" s="1259" t="s">
        <v>1235</v>
      </c>
      <c r="M7" s="1261">
        <v>1</v>
      </c>
      <c r="N7" s="1247">
        <v>119.58995</v>
      </c>
      <c r="O7"/>
    </row>
    <row r="8" spans="2:17" ht="13.8">
      <c r="B8" s="1259" t="s">
        <v>1208</v>
      </c>
      <c r="C8" s="1261">
        <v>1</v>
      </c>
      <c r="D8" s="1247">
        <v>420.67650000000003</v>
      </c>
      <c r="E8"/>
      <c r="G8" s="1259">
        <v>6</v>
      </c>
      <c r="H8" s="1261">
        <v>1</v>
      </c>
      <c r="I8" s="1247">
        <v>89.77</v>
      </c>
      <c r="J8"/>
      <c r="L8" s="1259" t="s">
        <v>2229</v>
      </c>
      <c r="M8" s="1261">
        <v>1</v>
      </c>
      <c r="N8" s="1247">
        <v>112.49999999999999</v>
      </c>
      <c r="O8"/>
    </row>
    <row r="9" spans="2:17" ht="13.8">
      <c r="B9" s="1259" t="s">
        <v>1200</v>
      </c>
      <c r="C9" s="1261">
        <v>1</v>
      </c>
      <c r="D9" s="1247">
        <v>367.32550000000003</v>
      </c>
      <c r="E9"/>
      <c r="G9" s="1259">
        <v>6.2</v>
      </c>
      <c r="H9" s="1261">
        <v>0.75</v>
      </c>
      <c r="I9" s="1247">
        <v>-197.98999999999995</v>
      </c>
      <c r="J9"/>
      <c r="L9" s="1259" t="s">
        <v>1550</v>
      </c>
      <c r="M9" s="1261">
        <v>1</v>
      </c>
      <c r="N9" s="1247">
        <v>111.02</v>
      </c>
      <c r="O9"/>
    </row>
    <row r="10" spans="2:17" ht="13.8">
      <c r="B10" s="1259" t="s">
        <v>1202</v>
      </c>
      <c r="C10" s="1261">
        <v>1</v>
      </c>
      <c r="D10" s="1247">
        <v>316.89994999999999</v>
      </c>
      <c r="E10"/>
      <c r="G10" s="1259">
        <v>6.4</v>
      </c>
      <c r="H10" s="1261">
        <v>0.5</v>
      </c>
      <c r="I10" s="1247">
        <v>-327.98</v>
      </c>
      <c r="J10"/>
      <c r="L10" s="1259" t="s">
        <v>1238</v>
      </c>
      <c r="M10" s="1261">
        <v>1</v>
      </c>
      <c r="N10" s="1247">
        <v>109.38</v>
      </c>
      <c r="O10"/>
    </row>
    <row r="11" spans="2:17" ht="13.8">
      <c r="B11" s="1259" t="s">
        <v>1207</v>
      </c>
      <c r="C11" s="1261">
        <v>1</v>
      </c>
      <c r="D11" s="1247">
        <v>223.50985</v>
      </c>
      <c r="E11"/>
      <c r="G11" s="1259">
        <v>6.6</v>
      </c>
      <c r="H11" s="1261">
        <v>0.83333333333333337</v>
      </c>
      <c r="I11" s="1247">
        <v>-7.2000000000000028</v>
      </c>
      <c r="J11"/>
      <c r="L11" s="1259" t="s">
        <v>2232</v>
      </c>
      <c r="M11" s="1261">
        <v>1</v>
      </c>
      <c r="N11" s="1247">
        <v>108.8566</v>
      </c>
      <c r="O11"/>
    </row>
    <row r="12" spans="2:17" ht="13.8">
      <c r="B12" s="1259" t="s">
        <v>3059</v>
      </c>
      <c r="C12" s="1261">
        <v>1</v>
      </c>
      <c r="D12" s="1247">
        <v>220.22000000000003</v>
      </c>
      <c r="E12"/>
      <c r="G12" s="1259">
        <v>6.8</v>
      </c>
      <c r="H12" s="1261">
        <v>0.75</v>
      </c>
      <c r="I12" s="1247">
        <v>-339.84</v>
      </c>
      <c r="J12"/>
      <c r="L12" s="1259" t="s">
        <v>3062</v>
      </c>
      <c r="M12" s="1261">
        <v>1</v>
      </c>
      <c r="N12" s="1247">
        <v>108</v>
      </c>
      <c r="O12"/>
    </row>
    <row r="13" spans="2:17" ht="13.8">
      <c r="B13" s="1259" t="s">
        <v>1370</v>
      </c>
      <c r="C13" s="1261">
        <v>0.92307692307692313</v>
      </c>
      <c r="D13" s="1247">
        <v>212.48695000000001</v>
      </c>
      <c r="E13"/>
      <c r="G13" s="1259">
        <v>7</v>
      </c>
      <c r="H13" s="1261">
        <v>0.75</v>
      </c>
      <c r="I13" s="1247">
        <v>-177.35</v>
      </c>
      <c r="J13"/>
      <c r="L13" s="1259" t="s">
        <v>1227</v>
      </c>
      <c r="M13" s="1261">
        <v>1</v>
      </c>
      <c r="N13" s="1247">
        <v>102.39000000000001</v>
      </c>
      <c r="O13"/>
    </row>
    <row r="14" spans="2:17" ht="13.8">
      <c r="B14" s="1259" t="s">
        <v>3791</v>
      </c>
      <c r="C14" s="1261">
        <v>1</v>
      </c>
      <c r="D14" s="1247">
        <v>209.76999999999998</v>
      </c>
      <c r="E14"/>
      <c r="G14" s="1259">
        <v>7.2</v>
      </c>
      <c r="H14" s="1261">
        <v>1</v>
      </c>
      <c r="I14" s="1247">
        <v>196.4</v>
      </c>
      <c r="J14"/>
      <c r="L14" s="1259" t="s">
        <v>4209</v>
      </c>
      <c r="M14" s="1261">
        <v>1</v>
      </c>
      <c r="N14" s="1247">
        <v>94.92</v>
      </c>
      <c r="O14"/>
    </row>
    <row r="15" spans="2:17" ht="13.8">
      <c r="B15" s="1259" t="s">
        <v>1215</v>
      </c>
      <c r="C15" s="1261">
        <v>1</v>
      </c>
      <c r="D15" s="1247">
        <v>159.94319999999999</v>
      </c>
      <c r="E15"/>
      <c r="G15" s="1259">
        <v>7.4</v>
      </c>
      <c r="H15" s="1261">
        <v>0.8571428571428571</v>
      </c>
      <c r="I15" s="1247">
        <v>-28.910000000000032</v>
      </c>
      <c r="J15"/>
      <c r="L15" s="1259" t="s">
        <v>4140</v>
      </c>
      <c r="M15" s="1261">
        <v>1</v>
      </c>
      <c r="N15" s="1247">
        <v>89.77</v>
      </c>
      <c r="O15"/>
    </row>
    <row r="16" spans="2:17" ht="13.8">
      <c r="B16" s="1259" t="s">
        <v>1204</v>
      </c>
      <c r="C16" s="1261">
        <v>1</v>
      </c>
      <c r="D16" s="1247">
        <v>131.41999999999999</v>
      </c>
      <c r="E16"/>
      <c r="G16" s="1259">
        <v>7.6</v>
      </c>
      <c r="H16" s="1261">
        <v>0.66666666666666663</v>
      </c>
      <c r="I16" s="1247">
        <v>-299.4135</v>
      </c>
      <c r="J16"/>
      <c r="L16" s="1259" t="s">
        <v>1223</v>
      </c>
      <c r="M16" s="1261">
        <v>1</v>
      </c>
      <c r="N16" s="1247">
        <v>88.070099999999996</v>
      </c>
      <c r="O16"/>
    </row>
    <row r="17" spans="2:15" ht="13.8">
      <c r="B17" s="1259" t="s">
        <v>1203</v>
      </c>
      <c r="C17" s="1261">
        <v>1</v>
      </c>
      <c r="D17" s="1247">
        <v>102.08519999999999</v>
      </c>
      <c r="E17"/>
      <c r="G17" s="1259">
        <v>7.8</v>
      </c>
      <c r="H17" s="1261">
        <v>0.8</v>
      </c>
      <c r="I17" s="1247">
        <v>-182.91459999999998</v>
      </c>
      <c r="J17"/>
      <c r="L17" s="1259" t="s">
        <v>1231</v>
      </c>
      <c r="M17" s="1261">
        <v>1</v>
      </c>
      <c r="N17" s="1247">
        <v>78.328550000000007</v>
      </c>
      <c r="O17"/>
    </row>
    <row r="18" spans="2:15" ht="13.8">
      <c r="B18" s="1259" t="s">
        <v>1211</v>
      </c>
      <c r="C18" s="1261">
        <v>1</v>
      </c>
      <c r="D18" s="1247">
        <v>95.843249999999998</v>
      </c>
      <c r="E18"/>
      <c r="G18" s="1259">
        <v>8</v>
      </c>
      <c r="H18" s="1261">
        <v>1</v>
      </c>
      <c r="I18" s="1247">
        <v>103.69695</v>
      </c>
      <c r="J18"/>
      <c r="L18" s="1259" t="s">
        <v>1259</v>
      </c>
      <c r="M18" s="1261">
        <v>1</v>
      </c>
      <c r="N18" s="1247">
        <v>75.16</v>
      </c>
      <c r="O18"/>
    </row>
    <row r="19" spans="2:15" ht="13.8">
      <c r="B19" s="1259" t="s">
        <v>3332</v>
      </c>
      <c r="C19" s="1261">
        <v>1</v>
      </c>
      <c r="D19" s="1247">
        <v>93.771299999999997</v>
      </c>
      <c r="E19"/>
      <c r="G19" s="1259">
        <v>8.1999999999999993</v>
      </c>
      <c r="H19" s="1261">
        <v>1</v>
      </c>
      <c r="I19" s="1247">
        <v>61.941299999999998</v>
      </c>
      <c r="J19"/>
      <c r="L19" s="1259" t="s">
        <v>4180</v>
      </c>
      <c r="M19" s="1261">
        <v>1</v>
      </c>
      <c r="N19" s="1247">
        <v>69.92</v>
      </c>
      <c r="O19"/>
    </row>
    <row r="20" spans="2:15" ht="13.8">
      <c r="B20" s="1259" t="s">
        <v>1219</v>
      </c>
      <c r="C20" s="1261">
        <v>1</v>
      </c>
      <c r="D20" s="1247">
        <v>64.03</v>
      </c>
      <c r="E20"/>
      <c r="G20" s="1259">
        <v>8.4</v>
      </c>
      <c r="H20" s="1261">
        <v>1</v>
      </c>
      <c r="I20" s="1247">
        <v>159.50630000000001</v>
      </c>
      <c r="J20"/>
      <c r="L20" s="1259" t="s">
        <v>4210</v>
      </c>
      <c r="M20" s="1261">
        <v>1</v>
      </c>
      <c r="N20" s="1247">
        <v>68.22</v>
      </c>
      <c r="O20"/>
    </row>
    <row r="21" spans="2:15" ht="13.8">
      <c r="B21" s="1259" t="s">
        <v>2150</v>
      </c>
      <c r="C21" s="1261">
        <v>1</v>
      </c>
      <c r="D21" s="1247">
        <v>61.72</v>
      </c>
      <c r="E21"/>
      <c r="G21" s="1259">
        <v>8.6</v>
      </c>
      <c r="H21" s="1261">
        <v>1</v>
      </c>
      <c r="I21" s="1247">
        <v>202.69</v>
      </c>
      <c r="J21"/>
      <c r="L21" s="1259" t="s">
        <v>4211</v>
      </c>
      <c r="M21" s="1261">
        <v>1</v>
      </c>
      <c r="N21" s="1247">
        <v>67.89</v>
      </c>
      <c r="O21"/>
    </row>
    <row r="22" spans="2:15" ht="13.8">
      <c r="B22" s="1259" t="s">
        <v>3338</v>
      </c>
      <c r="C22" s="1261">
        <v>1</v>
      </c>
      <c r="D22" s="1247">
        <v>58.53</v>
      </c>
      <c r="E22"/>
      <c r="G22" s="1259">
        <v>8.8000000000000007</v>
      </c>
      <c r="H22" s="1261">
        <v>1</v>
      </c>
      <c r="I22" s="1247">
        <v>143.48999999999998</v>
      </c>
      <c r="J22"/>
      <c r="L22" s="1259" t="s">
        <v>4212</v>
      </c>
      <c r="M22" s="1261">
        <v>1</v>
      </c>
      <c r="N22" s="1247">
        <v>67.31</v>
      </c>
      <c r="O22"/>
    </row>
    <row r="23" spans="2:15" ht="13.8">
      <c r="B23" s="1259" t="s">
        <v>2954</v>
      </c>
      <c r="C23" s="1261">
        <v>1</v>
      </c>
      <c r="D23" s="1247">
        <v>51.85</v>
      </c>
      <c r="E23"/>
      <c r="G23" s="1259">
        <v>9</v>
      </c>
      <c r="H23" s="1261">
        <v>1</v>
      </c>
      <c r="I23" s="1247">
        <v>252.14</v>
      </c>
      <c r="J23"/>
      <c r="L23" s="1259" t="s">
        <v>1449</v>
      </c>
      <c r="M23" s="1261">
        <v>1</v>
      </c>
      <c r="N23" s="1247">
        <v>65.740000000000009</v>
      </c>
      <c r="O23"/>
    </row>
    <row r="24" spans="2:15" ht="13.8">
      <c r="B24" s="1259" t="s">
        <v>1209</v>
      </c>
      <c r="C24" s="1261">
        <v>1</v>
      </c>
      <c r="D24" s="1247">
        <v>40.711649999999999</v>
      </c>
      <c r="E24"/>
      <c r="G24" s="1259">
        <v>9.1999999999999993</v>
      </c>
      <c r="H24" s="1261">
        <v>1</v>
      </c>
      <c r="I24" s="1247">
        <v>189.76</v>
      </c>
      <c r="J24"/>
      <c r="L24" s="1259" t="s">
        <v>1497</v>
      </c>
      <c r="M24" s="1261">
        <v>1</v>
      </c>
      <c r="N24" s="1247">
        <v>64.16</v>
      </c>
      <c r="O24"/>
    </row>
    <row r="25" spans="2:15" ht="13.8">
      <c r="B25" s="1259" t="s">
        <v>1603</v>
      </c>
      <c r="C25" s="1261">
        <v>1</v>
      </c>
      <c r="D25" s="1247">
        <v>38.770000000000003</v>
      </c>
      <c r="E25"/>
      <c r="G25" s="1259">
        <v>9.6</v>
      </c>
      <c r="H25" s="1261">
        <v>1</v>
      </c>
      <c r="I25" s="1247">
        <v>83.19</v>
      </c>
      <c r="J25"/>
      <c r="L25" s="1259" t="s">
        <v>1225</v>
      </c>
      <c r="M25" s="1261">
        <v>1</v>
      </c>
      <c r="N25" s="1247">
        <v>64.03</v>
      </c>
      <c r="O25"/>
    </row>
    <row r="26" spans="2:15" ht="13.8">
      <c r="B26" s="1259" t="s">
        <v>3644</v>
      </c>
      <c r="C26" s="1261">
        <v>1</v>
      </c>
      <c r="D26" s="1247">
        <v>37.07</v>
      </c>
      <c r="E26"/>
      <c r="G26" s="1259">
        <v>9.6883567567567574</v>
      </c>
      <c r="H26" s="1261">
        <v>1</v>
      </c>
      <c r="I26" s="1247">
        <v>40.69</v>
      </c>
      <c r="J26"/>
      <c r="L26" s="1259" t="s">
        <v>3391</v>
      </c>
      <c r="M26" s="1261">
        <v>1</v>
      </c>
      <c r="N26" s="1247">
        <v>61.941299999999998</v>
      </c>
      <c r="O26"/>
    </row>
    <row r="27" spans="2:15" ht="13.8">
      <c r="B27" s="1259" t="s">
        <v>1206</v>
      </c>
      <c r="C27" s="1261">
        <v>1</v>
      </c>
      <c r="D27" s="1247">
        <v>36.130000000000003</v>
      </c>
      <c r="E27"/>
      <c r="G27" s="1259">
        <v>9.7999250018749517</v>
      </c>
      <c r="H27" s="1261">
        <v>1</v>
      </c>
      <c r="I27" s="1247">
        <v>43.48</v>
      </c>
      <c r="J27"/>
      <c r="L27" s="1259" t="s">
        <v>1234</v>
      </c>
      <c r="M27" s="1261">
        <v>1</v>
      </c>
      <c r="N27" s="1247">
        <v>61.92</v>
      </c>
      <c r="O27"/>
    </row>
    <row r="28" spans="2:15" ht="13.8">
      <c r="B28" s="1259" t="s">
        <v>1210</v>
      </c>
      <c r="C28" s="1261">
        <v>1</v>
      </c>
      <c r="D28" s="1247">
        <v>35.119999999999997</v>
      </c>
      <c r="E28"/>
      <c r="G28" s="1259">
        <v>9.8000000000000007</v>
      </c>
      <c r="H28" s="1261">
        <v>1</v>
      </c>
      <c r="I28" s="1247">
        <v>79.760000000000005</v>
      </c>
      <c r="J28"/>
      <c r="L28" s="1259" t="s">
        <v>2231</v>
      </c>
      <c r="M28" s="1261">
        <v>1</v>
      </c>
      <c r="N28" s="1247">
        <v>61.72</v>
      </c>
      <c r="O28"/>
    </row>
    <row r="29" spans="2:15" ht="13.8">
      <c r="B29" s="1259" t="s">
        <v>1510</v>
      </c>
      <c r="C29" s="1261">
        <v>1</v>
      </c>
      <c r="D29" s="1247">
        <v>33.85</v>
      </c>
      <c r="E29"/>
      <c r="G29" s="1259">
        <v>10</v>
      </c>
      <c r="H29" s="1261">
        <v>1</v>
      </c>
      <c r="I29" s="1247">
        <v>301.88</v>
      </c>
      <c r="J29"/>
      <c r="L29" s="1259" t="s">
        <v>4213</v>
      </c>
      <c r="M29" s="1261">
        <v>1</v>
      </c>
      <c r="N29" s="1247">
        <v>58.53</v>
      </c>
      <c r="O29"/>
    </row>
    <row r="30" spans="2:15" ht="13.8">
      <c r="B30" s="1259" t="s">
        <v>1198</v>
      </c>
      <c r="C30" s="1261">
        <v>1</v>
      </c>
      <c r="D30" s="1247">
        <v>30.12</v>
      </c>
      <c r="E30"/>
      <c r="G30" s="1259">
        <v>10.247327524770684</v>
      </c>
      <c r="H30" s="1261">
        <v>1</v>
      </c>
      <c r="I30" s="1247">
        <v>44.96</v>
      </c>
      <c r="J30"/>
      <c r="L30" s="1259" t="s">
        <v>1257</v>
      </c>
      <c r="M30" s="1261">
        <v>1</v>
      </c>
      <c r="N30" s="1247">
        <v>57.79</v>
      </c>
      <c r="O30"/>
    </row>
    <row r="31" spans="2:15" ht="13.8">
      <c r="B31" s="1259" t="s">
        <v>3681</v>
      </c>
      <c r="C31" s="1261">
        <v>1</v>
      </c>
      <c r="D31" s="1247">
        <v>25.47</v>
      </c>
      <c r="E31"/>
      <c r="G31" s="1259">
        <v>10.5</v>
      </c>
      <c r="H31" s="1261">
        <v>1</v>
      </c>
      <c r="I31" s="1247">
        <v>178.9367</v>
      </c>
      <c r="J31"/>
      <c r="L31" s="1259" t="s">
        <v>1574</v>
      </c>
      <c r="M31" s="1261">
        <v>1</v>
      </c>
      <c r="N31" s="1247">
        <v>55.779849999999996</v>
      </c>
      <c r="O31"/>
    </row>
    <row r="32" spans="2:15" ht="13.8">
      <c r="B32" s="1259" t="s">
        <v>3331</v>
      </c>
      <c r="C32" s="1261">
        <v>0.5</v>
      </c>
      <c r="D32" s="1247">
        <v>-41.61</v>
      </c>
      <c r="E32"/>
      <c r="G32" s="1259">
        <v>11</v>
      </c>
      <c r="H32" s="1261">
        <v>1</v>
      </c>
      <c r="I32" s="1247">
        <v>150.62</v>
      </c>
      <c r="J32"/>
      <c r="L32" s="1259" t="s">
        <v>1236</v>
      </c>
      <c r="M32" s="1261">
        <v>1</v>
      </c>
      <c r="N32" s="1247">
        <v>55.150549999999996</v>
      </c>
      <c r="O32"/>
    </row>
    <row r="33" spans="2:15" ht="13.8">
      <c r="B33" s="1259" t="s">
        <v>1201</v>
      </c>
      <c r="C33" s="1261">
        <v>0.83333333333333337</v>
      </c>
      <c r="D33" s="1247">
        <v>-157.12369999999999</v>
      </c>
      <c r="E33"/>
      <c r="G33" s="1259">
        <v>11.5</v>
      </c>
      <c r="H33" s="1261">
        <v>1</v>
      </c>
      <c r="I33" s="1247">
        <v>106.15</v>
      </c>
      <c r="J33"/>
      <c r="L33" s="1259" t="s">
        <v>1255</v>
      </c>
      <c r="M33" s="1261">
        <v>1</v>
      </c>
      <c r="N33" s="1247">
        <v>54.873249999999999</v>
      </c>
      <c r="O33"/>
    </row>
    <row r="34" spans="2:15" ht="13.8">
      <c r="B34" s="1259" t="s">
        <v>2032</v>
      </c>
      <c r="C34" s="1261">
        <v>0.8</v>
      </c>
      <c r="D34" s="1247">
        <v>-225.09339999999997</v>
      </c>
      <c r="E34"/>
      <c r="G34" s="1259">
        <v>12</v>
      </c>
      <c r="H34" s="1261">
        <v>0.83333333333333337</v>
      </c>
      <c r="I34" s="1247">
        <v>-251.83</v>
      </c>
      <c r="J34"/>
      <c r="L34" s="1259" t="s">
        <v>1224</v>
      </c>
      <c r="M34" s="1261">
        <v>1</v>
      </c>
      <c r="N34" s="1247">
        <v>54.59</v>
      </c>
      <c r="O34"/>
    </row>
    <row r="35" spans="2:15" ht="13.8">
      <c r="B35" s="1259" t="s">
        <v>2434</v>
      </c>
      <c r="C35" s="1261">
        <v>0.66666666666666663</v>
      </c>
      <c r="D35" s="1247">
        <v>-298.91235000000006</v>
      </c>
      <c r="E35"/>
      <c r="G35" s="1259">
        <v>12.5</v>
      </c>
      <c r="H35" s="1261">
        <v>1</v>
      </c>
      <c r="I35" s="1247">
        <v>276.07319999999999</v>
      </c>
      <c r="J35"/>
      <c r="L35" s="1259" t="s">
        <v>1228</v>
      </c>
      <c r="M35" s="1261">
        <v>1</v>
      </c>
      <c r="N35" s="1247">
        <v>53.365400000000001</v>
      </c>
      <c r="O35"/>
    </row>
    <row r="36" spans="2:15" ht="13.8">
      <c r="B36" s="1259" t="s">
        <v>2819</v>
      </c>
      <c r="C36" s="1261">
        <v>0.75</v>
      </c>
      <c r="D36" s="1247">
        <v>-308.86</v>
      </c>
      <c r="E36"/>
      <c r="G36" s="1259">
        <v>13</v>
      </c>
      <c r="H36" s="1261">
        <v>1</v>
      </c>
      <c r="I36" s="1247">
        <v>95.49</v>
      </c>
      <c r="J36"/>
      <c r="L36" s="1259" t="s">
        <v>2948</v>
      </c>
      <c r="M36" s="1261">
        <v>1</v>
      </c>
      <c r="N36" s="1247">
        <v>52.53</v>
      </c>
      <c r="O36"/>
    </row>
    <row r="37" spans="2:15" ht="13.8">
      <c r="B37" s="1259" t="s">
        <v>3526</v>
      </c>
      <c r="C37" s="1261">
        <v>0.5</v>
      </c>
      <c r="D37" s="1247">
        <v>-368.15000000000003</v>
      </c>
      <c r="E37"/>
      <c r="G37" s="1259">
        <v>13.5</v>
      </c>
      <c r="H37" s="1261">
        <v>1</v>
      </c>
      <c r="I37" s="1247">
        <v>123.22999999999999</v>
      </c>
      <c r="J37"/>
      <c r="L37" s="1259" t="s">
        <v>4214</v>
      </c>
      <c r="M37" s="1261">
        <v>1</v>
      </c>
      <c r="N37" s="1247">
        <v>52.23</v>
      </c>
      <c r="O37"/>
    </row>
    <row r="38" spans="2:15" ht="13.8">
      <c r="B38" s="1259" t="s">
        <v>2090</v>
      </c>
      <c r="C38" s="1261">
        <v>0</v>
      </c>
      <c r="D38" s="1247">
        <v>-379.98</v>
      </c>
      <c r="E38"/>
      <c r="G38" s="1259">
        <v>13.79</v>
      </c>
      <c r="H38" s="1261">
        <v>1</v>
      </c>
      <c r="I38" s="1247">
        <v>27.914649999999998</v>
      </c>
      <c r="J38"/>
      <c r="L38" s="1259" t="s">
        <v>2451</v>
      </c>
      <c r="M38" s="1261">
        <v>1</v>
      </c>
      <c r="N38" s="1247">
        <v>51.85</v>
      </c>
      <c r="O38"/>
    </row>
    <row r="39" spans="2:15" ht="13.8">
      <c r="B39" s="1259" t="s">
        <v>2955</v>
      </c>
      <c r="C39" s="1261">
        <v>0.66666666666666663</v>
      </c>
      <c r="D39" s="1247">
        <v>-431.55</v>
      </c>
      <c r="E39"/>
      <c r="G39" s="1259">
        <v>14</v>
      </c>
      <c r="H39" s="1261">
        <v>0.8571428571428571</v>
      </c>
      <c r="I39" s="1247">
        <v>-198.91000000000003</v>
      </c>
      <c r="J39"/>
      <c r="L39" s="1259" t="s">
        <v>1549</v>
      </c>
      <c r="M39" s="1261">
        <v>1</v>
      </c>
      <c r="N39" s="1247">
        <v>50.94</v>
      </c>
      <c r="O39"/>
    </row>
    <row r="40" spans="2:15" ht="13.8">
      <c r="B40" s="1259" t="s">
        <v>2152</v>
      </c>
      <c r="C40" s="1261">
        <v>0.6</v>
      </c>
      <c r="D40" s="1247">
        <v>-711.91000000000008</v>
      </c>
      <c r="E40"/>
      <c r="G40" s="1259">
        <v>14.5</v>
      </c>
      <c r="H40" s="1261">
        <v>1</v>
      </c>
      <c r="I40" s="1247">
        <v>212.59635</v>
      </c>
      <c r="J40"/>
      <c r="L40" s="1259" t="s">
        <v>415</v>
      </c>
      <c r="M40" s="1261">
        <v>1</v>
      </c>
      <c r="N40" s="1247">
        <v>49.14</v>
      </c>
      <c r="O40"/>
    </row>
    <row r="41" spans="2:15" ht="13.8">
      <c r="B41" s="1259" t="s">
        <v>1368</v>
      </c>
      <c r="C41" s="1261">
        <v>1</v>
      </c>
      <c r="D41" s="1247">
        <v>170.45</v>
      </c>
      <c r="E41"/>
      <c r="G41" s="1259">
        <v>15</v>
      </c>
      <c r="H41" s="1261">
        <v>1</v>
      </c>
      <c r="I41" s="1247">
        <v>28.85</v>
      </c>
      <c r="J41"/>
      <c r="L41" s="1259" t="s">
        <v>3177</v>
      </c>
      <c r="M41" s="1261">
        <v>1</v>
      </c>
      <c r="N41" s="1247">
        <v>47.75</v>
      </c>
      <c r="O41"/>
    </row>
    <row r="42" spans="2:15" ht="13.8">
      <c r="B42" s="1259" t="s">
        <v>1208</v>
      </c>
      <c r="C42" s="1261">
        <v>1</v>
      </c>
      <c r="D42" s="1247">
        <v>69.790000000000006</v>
      </c>
      <c r="E42"/>
      <c r="G42" s="1259">
        <v>15.5</v>
      </c>
      <c r="H42" s="1261">
        <v>1</v>
      </c>
      <c r="I42" s="1247">
        <v>104.87054999999999</v>
      </c>
      <c r="J42"/>
      <c r="L42" s="1259" t="s">
        <v>3176</v>
      </c>
      <c r="M42" s="1261">
        <v>1</v>
      </c>
      <c r="N42" s="1247">
        <v>44</v>
      </c>
      <c r="O42"/>
    </row>
    <row r="43" spans="2:15" ht="13.8">
      <c r="B43" s="1259" t="s">
        <v>1202</v>
      </c>
      <c r="C43" s="1261">
        <v>1</v>
      </c>
      <c r="D43" s="1247">
        <v>63.93</v>
      </c>
      <c r="E43"/>
      <c r="G43" s="1259">
        <v>16</v>
      </c>
      <c r="H43" s="1261">
        <v>1</v>
      </c>
      <c r="I43" s="1247">
        <v>101.23984999999999</v>
      </c>
      <c r="J43"/>
      <c r="L43" s="1259" t="s">
        <v>3923</v>
      </c>
      <c r="M43" s="1261">
        <v>1</v>
      </c>
      <c r="N43" s="1247">
        <v>43.48</v>
      </c>
      <c r="O43"/>
    </row>
    <row r="44" spans="2:15" ht="13.8">
      <c r="B44" s="1259" t="s">
        <v>1370</v>
      </c>
      <c r="C44" s="1261">
        <v>1</v>
      </c>
      <c r="D44" s="1247">
        <v>36.729999999999997</v>
      </c>
      <c r="E44"/>
      <c r="G44" s="1259">
        <v>16.5</v>
      </c>
      <c r="H44" s="1261">
        <v>1</v>
      </c>
      <c r="I44" s="1247">
        <v>165.96424999999999</v>
      </c>
      <c r="J44"/>
      <c r="L44" s="1259" t="s">
        <v>1232</v>
      </c>
      <c r="M44" s="1261">
        <v>1</v>
      </c>
      <c r="N44" s="1247">
        <v>41.71</v>
      </c>
      <c r="O44"/>
    </row>
    <row r="45" spans="2:15" ht="13.8">
      <c r="B45" s="1259" t="s">
        <v>1594</v>
      </c>
      <c r="C45" s="1261">
        <v>1</v>
      </c>
      <c r="D45" s="1247">
        <v>410.88000000000005</v>
      </c>
      <c r="E45"/>
      <c r="G45" s="1259">
        <v>17</v>
      </c>
      <c r="H45" s="1261">
        <v>1</v>
      </c>
      <c r="I45" s="1247">
        <v>44.69</v>
      </c>
      <c r="J45"/>
      <c r="L45" s="1259" t="s">
        <v>1559</v>
      </c>
      <c r="M45" s="1261">
        <v>1</v>
      </c>
      <c r="N45" s="1247">
        <v>40.97</v>
      </c>
      <c r="O45"/>
    </row>
    <row r="46" spans="2:15" ht="13.8">
      <c r="B46" s="1259" t="s">
        <v>1370</v>
      </c>
      <c r="C46" s="1261">
        <v>1</v>
      </c>
      <c r="D46" s="1247">
        <v>240.29000000000002</v>
      </c>
      <c r="E46"/>
      <c r="G46" s="1259">
        <v>17.5</v>
      </c>
      <c r="H46" s="1261">
        <v>0</v>
      </c>
      <c r="I46" s="1247">
        <v>-72.17</v>
      </c>
      <c r="J46"/>
      <c r="L46" s="1259" t="s">
        <v>1719</v>
      </c>
      <c r="M46" s="1261">
        <v>1</v>
      </c>
      <c r="N46" s="1247">
        <v>40.711649999999999</v>
      </c>
      <c r="O46"/>
    </row>
    <row r="47" spans="2:15" ht="13.8">
      <c r="B47" s="1259" t="s">
        <v>1212</v>
      </c>
      <c r="C47" s="1261">
        <v>1</v>
      </c>
      <c r="D47" s="1247">
        <v>63.59</v>
      </c>
      <c r="E47"/>
      <c r="G47" s="1259">
        <v>18.5</v>
      </c>
      <c r="H47" s="1261">
        <v>1</v>
      </c>
      <c r="I47" s="1247">
        <v>27.02</v>
      </c>
      <c r="J47"/>
      <c r="L47" s="1259" t="s">
        <v>1573</v>
      </c>
      <c r="M47" s="1261">
        <v>1</v>
      </c>
      <c r="N47" s="1247">
        <v>40.69</v>
      </c>
      <c r="O47"/>
    </row>
    <row r="48" spans="2:15" ht="13.8">
      <c r="B48" s="1259" t="s">
        <v>1201</v>
      </c>
      <c r="C48" s="1261">
        <v>1</v>
      </c>
      <c r="D48" s="1247">
        <v>40.32</v>
      </c>
      <c r="E48"/>
      <c r="G48" s="1259">
        <v>19</v>
      </c>
      <c r="H48" s="1261">
        <v>1</v>
      </c>
      <c r="I48" s="1247">
        <v>41.379999999999995</v>
      </c>
      <c r="J48"/>
      <c r="L48" s="1259" t="s">
        <v>3025</v>
      </c>
      <c r="M48" s="1261">
        <v>1</v>
      </c>
      <c r="N48" s="1247">
        <v>40.32</v>
      </c>
      <c r="O48"/>
    </row>
    <row r="49" spans="2:15" ht="13.8">
      <c r="B49" s="1259" t="s">
        <v>2032</v>
      </c>
      <c r="C49" s="1261">
        <v>1</v>
      </c>
      <c r="D49" s="1247">
        <v>36.29</v>
      </c>
      <c r="E49"/>
      <c r="G49" s="1259">
        <v>21</v>
      </c>
      <c r="H49" s="1261">
        <v>1</v>
      </c>
      <c r="I49" s="1247">
        <v>78.550000000000011</v>
      </c>
      <c r="J49"/>
      <c r="L49" s="1259" t="s">
        <v>3175</v>
      </c>
      <c r="M49" s="1261">
        <v>1</v>
      </c>
      <c r="N49" s="1247">
        <v>40.32</v>
      </c>
      <c r="O49"/>
    </row>
    <row r="50" spans="2:15" ht="13.8">
      <c r="B50" s="1259" t="s">
        <v>1208</v>
      </c>
      <c r="C50" s="1261">
        <v>1</v>
      </c>
      <c r="D50" s="1247">
        <v>30.39</v>
      </c>
      <c r="E50"/>
      <c r="G50" s="1259">
        <v>22</v>
      </c>
      <c r="H50" s="1261">
        <v>1</v>
      </c>
      <c r="I50" s="1247">
        <v>37.39</v>
      </c>
      <c r="J50"/>
      <c r="L50" s="1259" t="s">
        <v>1761</v>
      </c>
      <c r="M50" s="1261">
        <v>1</v>
      </c>
      <c r="N50" s="1247">
        <v>39.79</v>
      </c>
      <c r="O50"/>
    </row>
    <row r="51" spans="2:15" ht="13.8">
      <c r="B51" s="1259" t="s">
        <v>3393</v>
      </c>
      <c r="C51" s="1261">
        <v>0.94594594594594594</v>
      </c>
      <c r="D51" s="1247">
        <v>781.99139999999989</v>
      </c>
      <c r="E51"/>
      <c r="G51" s="1259">
        <v>23</v>
      </c>
      <c r="H51" s="1261">
        <v>1</v>
      </c>
      <c r="I51" s="1247">
        <v>16.61</v>
      </c>
      <c r="J51"/>
      <c r="L51" s="1259" t="s">
        <v>1604</v>
      </c>
      <c r="M51" s="1261">
        <v>1</v>
      </c>
      <c r="N51" s="1247">
        <v>38.770000000000003</v>
      </c>
      <c r="O51"/>
    </row>
    <row r="52" spans="2:15" ht="13.8">
      <c r="B52" s="1259" t="s">
        <v>3331</v>
      </c>
      <c r="C52" s="1261">
        <v>0.94594594594594594</v>
      </c>
      <c r="D52" s="1247">
        <v>781.99139999999989</v>
      </c>
      <c r="E52"/>
      <c r="G52" s="1259">
        <v>25</v>
      </c>
      <c r="H52" s="1261">
        <v>1</v>
      </c>
      <c r="I52" s="1247">
        <v>31.32</v>
      </c>
      <c r="J52"/>
      <c r="L52" s="1259" t="s">
        <v>1222</v>
      </c>
      <c r="M52" s="1261">
        <v>1</v>
      </c>
      <c r="N52" s="1247">
        <v>38.520000000000003</v>
      </c>
      <c r="O52"/>
    </row>
    <row r="53" spans="2:15" ht="13.8">
      <c r="B53" s="1259" t="s">
        <v>3792</v>
      </c>
      <c r="C53" s="1261">
        <v>1</v>
      </c>
      <c r="D53" s="1247">
        <v>28.3</v>
      </c>
      <c r="E53"/>
      <c r="G53" s="1259">
        <v>26</v>
      </c>
      <c r="H53" s="1261">
        <v>1</v>
      </c>
      <c r="I53" s="1247">
        <v>30.56</v>
      </c>
      <c r="J53"/>
      <c r="L53" s="1259" t="s">
        <v>3723</v>
      </c>
      <c r="M53" s="1261">
        <v>1</v>
      </c>
      <c r="N53" s="1247">
        <v>37.07</v>
      </c>
      <c r="O53"/>
    </row>
    <row r="54" spans="2:15" ht="13.8">
      <c r="B54" s="1259" t="s">
        <v>3791</v>
      </c>
      <c r="C54" s="1261">
        <v>1</v>
      </c>
      <c r="D54" s="1247">
        <v>28.3</v>
      </c>
      <c r="G54" s="1259">
        <v>28</v>
      </c>
      <c r="H54" s="1261">
        <v>1</v>
      </c>
      <c r="I54" s="1247">
        <v>14.14</v>
      </c>
      <c r="J54"/>
      <c r="L54" s="1259" t="s">
        <v>1260</v>
      </c>
      <c r="M54" s="1261">
        <v>1</v>
      </c>
      <c r="N54" s="1247">
        <v>36.29</v>
      </c>
      <c r="O54"/>
    </row>
    <row r="55" spans="2:15" ht="13.8">
      <c r="B55" s="1259" t="s">
        <v>267</v>
      </c>
      <c r="C55" s="1261">
        <v>0.92307692307692313</v>
      </c>
      <c r="D55" s="1247">
        <v>1756.2384499999991</v>
      </c>
      <c r="G55" s="1259">
        <v>30</v>
      </c>
      <c r="H55" s="1261">
        <v>1</v>
      </c>
      <c r="I55" s="1247">
        <v>13.17</v>
      </c>
      <c r="J55"/>
      <c r="L55" s="1259" t="s">
        <v>2230</v>
      </c>
      <c r="M55" s="1261">
        <v>1</v>
      </c>
      <c r="N55" s="1247">
        <v>36.130000000000003</v>
      </c>
      <c r="O55"/>
    </row>
    <row r="56" spans="2:15" ht="13.8">
      <c r="D56"/>
      <c r="G56" s="1259">
        <v>34</v>
      </c>
      <c r="H56" s="1261">
        <v>1</v>
      </c>
      <c r="I56" s="1247">
        <v>11</v>
      </c>
      <c r="J56"/>
      <c r="L56" s="1259" t="s">
        <v>1511</v>
      </c>
      <c r="M56" s="1261">
        <v>1</v>
      </c>
      <c r="N56" s="1247">
        <v>33.85</v>
      </c>
      <c r="O56"/>
    </row>
    <row r="57" spans="2:15" ht="13.8">
      <c r="D57"/>
      <c r="G57" s="1259">
        <v>38</v>
      </c>
      <c r="H57" s="1261">
        <v>1</v>
      </c>
      <c r="I57" s="1247">
        <v>10.323550000000001</v>
      </c>
      <c r="J57"/>
      <c r="L57" s="1259" t="s">
        <v>3527</v>
      </c>
      <c r="M57" s="1261">
        <v>1</v>
      </c>
      <c r="N57" s="1247">
        <v>31.83</v>
      </c>
      <c r="O57"/>
    </row>
    <row r="58" spans="2:15" ht="13.8">
      <c r="C58"/>
      <c r="D58"/>
      <c r="E58"/>
      <c r="G58" s="1259">
        <v>44</v>
      </c>
      <c r="H58" s="1261">
        <v>1</v>
      </c>
      <c r="I58" s="1247">
        <v>9.3000000000000007</v>
      </c>
      <c r="J58"/>
      <c r="L58" s="1259" t="s">
        <v>3390</v>
      </c>
      <c r="M58" s="1261">
        <v>1</v>
      </c>
      <c r="N58" s="1247">
        <v>31.83</v>
      </c>
      <c r="O58"/>
    </row>
    <row r="59" spans="2:15" ht="13.8">
      <c r="C59"/>
      <c r="D59"/>
      <c r="E59"/>
      <c r="G59" s="1259">
        <v>50</v>
      </c>
      <c r="H59" s="1261">
        <v>1</v>
      </c>
      <c r="I59" s="1247">
        <v>7.7927999999999997</v>
      </c>
      <c r="J59"/>
      <c r="L59" s="1259" t="s">
        <v>2478</v>
      </c>
      <c r="M59" s="1261">
        <v>1</v>
      </c>
      <c r="N59" s="1247">
        <v>31.553199999999997</v>
      </c>
      <c r="O59"/>
    </row>
    <row r="60" spans="2:15" ht="13.8">
      <c r="B60"/>
      <c r="C60"/>
      <c r="D60"/>
      <c r="E60"/>
      <c r="G60" s="1259" t="s">
        <v>267</v>
      </c>
      <c r="H60" s="1261">
        <v>0.92307692307692313</v>
      </c>
      <c r="I60" s="1247">
        <v>1756.2384499999994</v>
      </c>
      <c r="J60"/>
      <c r="L60" s="1259" t="s">
        <v>3651</v>
      </c>
      <c r="M60" s="1261">
        <v>1</v>
      </c>
      <c r="N60" s="1247">
        <v>30.56</v>
      </c>
      <c r="O60"/>
    </row>
    <row r="61" spans="2:15" ht="13.8">
      <c r="B61"/>
      <c r="C61"/>
      <c r="D61"/>
      <c r="E61"/>
      <c r="G61"/>
      <c r="H61"/>
      <c r="I61"/>
      <c r="J61"/>
      <c r="L61" s="1259" t="s">
        <v>1750</v>
      </c>
      <c r="M61" s="1261">
        <v>1</v>
      </c>
      <c r="N61" s="1247">
        <v>27.914649999999998</v>
      </c>
      <c r="O61"/>
    </row>
    <row r="62" spans="2:15" ht="13.8">
      <c r="B62"/>
      <c r="C62"/>
      <c r="D62"/>
      <c r="E62"/>
      <c r="G62"/>
      <c r="H62"/>
      <c r="I62"/>
      <c r="J62"/>
      <c r="L62" s="1259" t="s">
        <v>3924</v>
      </c>
      <c r="M62" s="1261">
        <v>1</v>
      </c>
      <c r="N62" s="1247">
        <v>24.64</v>
      </c>
      <c r="O62"/>
    </row>
    <row r="63" spans="2:15" ht="13.8">
      <c r="B63"/>
      <c r="C63"/>
      <c r="D63"/>
      <c r="E63"/>
      <c r="G63"/>
      <c r="H63"/>
      <c r="I63"/>
      <c r="J63"/>
      <c r="L63" s="1259" t="s">
        <v>1447</v>
      </c>
      <c r="M63" s="1261">
        <v>1</v>
      </c>
      <c r="N63" s="1247">
        <v>23.34</v>
      </c>
      <c r="O63"/>
    </row>
    <row r="64" spans="2:15" ht="13.8">
      <c r="B64"/>
      <c r="C64"/>
      <c r="D64"/>
      <c r="E64"/>
      <c r="G64"/>
      <c r="H64"/>
      <c r="I64"/>
      <c r="J64"/>
      <c r="L64" s="1259" t="s">
        <v>3925</v>
      </c>
      <c r="M64" s="1261">
        <v>1</v>
      </c>
      <c r="N64" s="1247">
        <v>16.61</v>
      </c>
      <c r="O64"/>
    </row>
    <row r="65" spans="2:15" ht="13.8">
      <c r="B65"/>
      <c r="C65"/>
      <c r="D65"/>
      <c r="E65"/>
      <c r="G65"/>
      <c r="H65"/>
      <c r="I65"/>
      <c r="J65"/>
      <c r="L65" s="1259" t="s">
        <v>2332</v>
      </c>
      <c r="M65" s="1261">
        <v>1</v>
      </c>
      <c r="N65" s="1247">
        <v>11.297649999999999</v>
      </c>
      <c r="O65"/>
    </row>
    <row r="66" spans="2:15" ht="13.8">
      <c r="B66"/>
      <c r="C66"/>
      <c r="D66"/>
      <c r="E66"/>
      <c r="G66"/>
      <c r="H66"/>
      <c r="I66"/>
      <c r="J66"/>
      <c r="L66" s="1259" t="s">
        <v>3724</v>
      </c>
      <c r="M66" s="1261">
        <v>0</v>
      </c>
      <c r="N66" s="1247">
        <v>-72.17</v>
      </c>
      <c r="O66"/>
    </row>
    <row r="67" spans="2:15" ht="13.8">
      <c r="B67"/>
      <c r="C67"/>
      <c r="D67"/>
      <c r="E67"/>
      <c r="G67"/>
      <c r="H67"/>
      <c r="I67"/>
      <c r="J67"/>
      <c r="L67" s="1259" t="s">
        <v>1399</v>
      </c>
      <c r="M67" s="1261">
        <v>0.83333333333333337</v>
      </c>
      <c r="N67" s="1247">
        <v>-155.10305000000002</v>
      </c>
      <c r="O67"/>
    </row>
    <row r="68" spans="2:15" ht="13.8">
      <c r="B68"/>
      <c r="C68"/>
      <c r="D68"/>
      <c r="E68"/>
      <c r="G68"/>
      <c r="H68"/>
      <c r="I68"/>
      <c r="J68"/>
      <c r="L68" s="1259" t="s">
        <v>4215</v>
      </c>
      <c r="M68" s="1261">
        <v>0.5</v>
      </c>
      <c r="N68" s="1247">
        <v>-303.86</v>
      </c>
      <c r="O68"/>
    </row>
    <row r="69" spans="2:15" ht="13.8">
      <c r="B69"/>
      <c r="C69"/>
      <c r="D69"/>
      <c r="E69"/>
      <c r="G69"/>
      <c r="H69"/>
      <c r="I69"/>
      <c r="J69"/>
      <c r="L69" s="1259" t="s">
        <v>1258</v>
      </c>
      <c r="M69" s="1261">
        <v>0</v>
      </c>
      <c r="N69" s="1247">
        <v>-350</v>
      </c>
      <c r="O69"/>
    </row>
    <row r="70" spans="2:15" ht="13.8">
      <c r="B70"/>
      <c r="C70"/>
      <c r="D70"/>
      <c r="E70"/>
      <c r="G70"/>
      <c r="H70"/>
      <c r="I70"/>
      <c r="J70"/>
      <c r="L70" s="1259" t="s">
        <v>4216</v>
      </c>
      <c r="M70" s="1261">
        <v>0</v>
      </c>
      <c r="N70" s="1247">
        <v>-379.98</v>
      </c>
      <c r="O70"/>
    </row>
    <row r="71" spans="2:15" ht="13.8">
      <c r="B71"/>
      <c r="C71"/>
      <c r="D71"/>
      <c r="E71"/>
      <c r="G71"/>
      <c r="H71"/>
      <c r="I71"/>
      <c r="J71"/>
      <c r="L71" s="1259" t="s">
        <v>3335</v>
      </c>
      <c r="M71" s="1261">
        <v>0</v>
      </c>
      <c r="N71" s="1247">
        <v>-399.37</v>
      </c>
      <c r="O71"/>
    </row>
    <row r="72" spans="2:15" ht="13.8">
      <c r="B72"/>
      <c r="C72"/>
      <c r="D72"/>
      <c r="E72"/>
      <c r="G72"/>
      <c r="H72"/>
      <c r="I72"/>
      <c r="J72"/>
      <c r="L72" s="1259" t="s">
        <v>4217</v>
      </c>
      <c r="M72" s="1261">
        <v>0</v>
      </c>
      <c r="N72" s="1247">
        <v>-399.98</v>
      </c>
      <c r="O72"/>
    </row>
    <row r="73" spans="2:15" ht="13.8">
      <c r="B73"/>
      <c r="C73"/>
      <c r="D73"/>
      <c r="E73"/>
      <c r="G73"/>
      <c r="H73"/>
      <c r="I73"/>
      <c r="J73"/>
      <c r="L73" s="1259" t="s">
        <v>4218</v>
      </c>
      <c r="M73" s="1261">
        <v>0</v>
      </c>
      <c r="N73" s="1247">
        <v>-399.98</v>
      </c>
      <c r="O73"/>
    </row>
    <row r="74" spans="2:15" ht="13.8">
      <c r="B74"/>
      <c r="C74"/>
      <c r="D74"/>
      <c r="E74"/>
      <c r="G74"/>
      <c r="H74"/>
      <c r="I74"/>
      <c r="J74"/>
      <c r="L74" s="1259" t="s">
        <v>2949</v>
      </c>
      <c r="M74" s="1261">
        <v>0</v>
      </c>
      <c r="N74" s="1247">
        <v>-425.04</v>
      </c>
      <c r="O74"/>
    </row>
    <row r="75" spans="2:15" ht="13.8">
      <c r="B75"/>
      <c r="C75"/>
      <c r="D75"/>
      <c r="E75"/>
      <c r="G75"/>
      <c r="H75"/>
      <c r="I75"/>
      <c r="J75"/>
      <c r="L75" s="1259" t="s">
        <v>3645</v>
      </c>
      <c r="M75" s="1261">
        <v>0.66666666666666663</v>
      </c>
      <c r="N75" s="1247">
        <v>-431.55</v>
      </c>
      <c r="O75"/>
    </row>
    <row r="76" spans="2:15" ht="13.8">
      <c r="B76"/>
      <c r="C76"/>
      <c r="D76"/>
      <c r="E76"/>
      <c r="G76"/>
      <c r="H76"/>
      <c r="I76"/>
      <c r="J76"/>
      <c r="L76" s="1259" t="s">
        <v>4168</v>
      </c>
      <c r="M76" s="1261">
        <v>0</v>
      </c>
      <c r="N76" s="1247">
        <v>-435.01</v>
      </c>
      <c r="O76"/>
    </row>
    <row r="77" spans="2:15" ht="13.8">
      <c r="B77"/>
      <c r="C77"/>
      <c r="D77"/>
      <c r="E77"/>
      <c r="G77"/>
      <c r="H77"/>
      <c r="I77"/>
      <c r="J77"/>
      <c r="L77" s="1259" t="s">
        <v>1594</v>
      </c>
      <c r="M77" s="1261">
        <v>1</v>
      </c>
      <c r="N77" s="1247">
        <v>410.88</v>
      </c>
      <c r="O77"/>
    </row>
    <row r="78" spans="2:15" ht="13.8">
      <c r="B78"/>
      <c r="C78"/>
      <c r="D78"/>
      <c r="E78"/>
      <c r="G78"/>
      <c r="H78"/>
      <c r="I78"/>
      <c r="J78"/>
      <c r="L78" s="1259" t="s">
        <v>1550</v>
      </c>
      <c r="M78" s="1261">
        <v>1</v>
      </c>
      <c r="N78" s="1247">
        <v>78.84</v>
      </c>
      <c r="O78"/>
    </row>
    <row r="79" spans="2:15" ht="13.8">
      <c r="B79"/>
      <c r="C79"/>
      <c r="D79"/>
      <c r="E79"/>
      <c r="G79"/>
      <c r="H79"/>
      <c r="I79"/>
      <c r="J79"/>
      <c r="L79" s="1259" t="s">
        <v>4180</v>
      </c>
      <c r="M79" s="1261">
        <v>1</v>
      </c>
      <c r="N79" s="1247">
        <v>73.94</v>
      </c>
      <c r="O79"/>
    </row>
    <row r="80" spans="2:15" ht="13.8">
      <c r="B80"/>
      <c r="C80"/>
      <c r="D80"/>
      <c r="E80"/>
      <c r="G80"/>
      <c r="H80"/>
      <c r="I80"/>
      <c r="J80"/>
      <c r="L80" s="1259" t="s">
        <v>3024</v>
      </c>
      <c r="M80" s="1261">
        <v>1</v>
      </c>
      <c r="N80" s="1247">
        <v>44.96</v>
      </c>
      <c r="O80"/>
    </row>
    <row r="81" spans="2:15" ht="13.8">
      <c r="B81"/>
      <c r="C81"/>
      <c r="D81"/>
      <c r="E81"/>
      <c r="G81"/>
      <c r="H81"/>
      <c r="I81"/>
      <c r="J81"/>
      <c r="L81" s="1259" t="s">
        <v>1449</v>
      </c>
      <c r="M81" s="1261">
        <v>1</v>
      </c>
      <c r="N81" s="1247">
        <v>42.55</v>
      </c>
      <c r="O81"/>
    </row>
    <row r="82" spans="2:15" ht="13.8">
      <c r="B82"/>
      <c r="C82"/>
      <c r="D82"/>
      <c r="E82"/>
      <c r="G82"/>
      <c r="H82"/>
      <c r="I82"/>
      <c r="J82"/>
      <c r="L82" s="1259" t="s">
        <v>2653</v>
      </c>
      <c r="M82" s="1261">
        <v>1</v>
      </c>
      <c r="N82" s="1247">
        <v>40.32</v>
      </c>
      <c r="O82"/>
    </row>
    <row r="83" spans="2:15" ht="13.8">
      <c r="B83"/>
      <c r="C83"/>
      <c r="G83"/>
      <c r="H83"/>
      <c r="I83"/>
      <c r="J83"/>
      <c r="L83" s="1259" t="s">
        <v>3129</v>
      </c>
      <c r="M83" s="1261">
        <v>1</v>
      </c>
      <c r="N83" s="1247">
        <v>36.29</v>
      </c>
      <c r="O83"/>
    </row>
    <row r="84" spans="2:15" ht="13.8">
      <c r="B84"/>
      <c r="C84"/>
      <c r="G84"/>
      <c r="H84"/>
      <c r="I84"/>
      <c r="J84"/>
      <c r="L84" s="1259" t="s">
        <v>2652</v>
      </c>
      <c r="M84" s="1261">
        <v>1</v>
      </c>
      <c r="N84" s="1247">
        <v>34.56</v>
      </c>
      <c r="O84"/>
    </row>
    <row r="85" spans="2:15" ht="13.8">
      <c r="B85"/>
      <c r="C85"/>
      <c r="G85"/>
      <c r="H85"/>
      <c r="I85"/>
      <c r="J85"/>
      <c r="L85" s="1259" t="s">
        <v>1259</v>
      </c>
      <c r="M85" s="1261">
        <v>1</v>
      </c>
      <c r="N85" s="1247">
        <v>30.39</v>
      </c>
      <c r="O85"/>
    </row>
    <row r="86" spans="2:15" ht="13.8">
      <c r="B86"/>
      <c r="C86"/>
      <c r="G86"/>
      <c r="H86"/>
      <c r="I86"/>
      <c r="J86"/>
      <c r="L86" s="1259" t="s">
        <v>2651</v>
      </c>
      <c r="M86" s="1261">
        <v>1</v>
      </c>
      <c r="N86" s="1247">
        <v>29.03</v>
      </c>
      <c r="O86"/>
    </row>
    <row r="87" spans="2:15" ht="13.8">
      <c r="B87"/>
      <c r="C87"/>
      <c r="G87"/>
      <c r="H87"/>
      <c r="I87"/>
      <c r="J87"/>
      <c r="L87" s="1259" t="s">
        <v>267</v>
      </c>
      <c r="M87" s="1261">
        <v>0.9098360655737705</v>
      </c>
      <c r="N87" s="1247">
        <v>555.01390000000004</v>
      </c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>
      <c r="B2" s="1258" t="s">
        <v>72</v>
      </c>
      <c r="C2" s="1248" t="s">
        <v>627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>
      <c r="B4" s="1258" t="s">
        <v>266</v>
      </c>
      <c r="C4" s="1248" t="s">
        <v>1240</v>
      </c>
      <c r="D4" s="1248" t="s">
        <v>840</v>
      </c>
      <c r="E4"/>
      <c r="G4" s="1244"/>
      <c r="H4" s="1244" t="s">
        <v>500</v>
      </c>
      <c r="I4" s="1244"/>
      <c r="J4" s="1244"/>
      <c r="K4"/>
      <c r="L4" s="1244" t="s">
        <v>266</v>
      </c>
      <c r="M4" s="1244" t="s">
        <v>4024</v>
      </c>
      <c r="N4" s="1244" t="s">
        <v>840</v>
      </c>
      <c r="O4"/>
    </row>
    <row r="5" spans="2:128" ht="13.8">
      <c r="B5" s="1259" t="s">
        <v>1200</v>
      </c>
      <c r="C5" s="1261">
        <v>0.83333333333333337</v>
      </c>
      <c r="D5" s="1247">
        <v>-0.16503172726249163</v>
      </c>
      <c r="E5"/>
      <c r="G5" s="1244"/>
      <c r="H5" s="1244" t="s">
        <v>627</v>
      </c>
      <c r="I5" s="1244"/>
      <c r="J5" s="1244"/>
      <c r="K5"/>
      <c r="L5" s="1263">
        <v>9.8000000000000007</v>
      </c>
      <c r="M5" s="1246">
        <v>1</v>
      </c>
      <c r="N5" s="1246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259" t="s">
        <v>1212</v>
      </c>
      <c r="C6" s="1261">
        <v>0.83333333333333337</v>
      </c>
      <c r="D6" s="1247">
        <v>0.17565935333952246</v>
      </c>
      <c r="E6"/>
      <c r="G6" s="1244" t="s">
        <v>266</v>
      </c>
      <c r="H6" s="1244" t="s">
        <v>1241</v>
      </c>
      <c r="I6" s="1244" t="s">
        <v>1240</v>
      </c>
      <c r="J6" s="1244" t="s">
        <v>840</v>
      </c>
      <c r="K6"/>
      <c r="L6" s="1263">
        <v>11</v>
      </c>
      <c r="M6" s="1246">
        <v>2</v>
      </c>
      <c r="N6" s="1246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259" t="s">
        <v>1213</v>
      </c>
      <c r="C7" s="1261">
        <v>1</v>
      </c>
      <c r="D7" s="1247">
        <v>4.3413892445582587E-2</v>
      </c>
      <c r="E7"/>
      <c r="G7" s="1262" t="s">
        <v>4160</v>
      </c>
      <c r="H7" s="1246">
        <v>17</v>
      </c>
      <c r="I7" s="1264">
        <v>1</v>
      </c>
      <c r="J7" s="1246">
        <v>5.9701492537313432E-2</v>
      </c>
      <c r="K7"/>
      <c r="L7" s="1263">
        <v>12.5</v>
      </c>
      <c r="M7" s="1246">
        <v>1</v>
      </c>
      <c r="N7" s="1246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259" t="s">
        <v>1211</v>
      </c>
      <c r="C8" s="1261">
        <v>0.8</v>
      </c>
      <c r="D8" s="1247">
        <v>0.1299090077896633</v>
      </c>
      <c r="E8"/>
      <c r="G8" s="1262" t="s">
        <v>4161</v>
      </c>
      <c r="H8" s="1246">
        <v>21</v>
      </c>
      <c r="I8" s="1264">
        <v>0.5</v>
      </c>
      <c r="J8" s="1246">
        <v>-0.4312185606521009</v>
      </c>
      <c r="K8"/>
      <c r="L8" s="1263">
        <v>13.5</v>
      </c>
      <c r="M8" s="1246">
        <v>2</v>
      </c>
      <c r="N8" s="1246">
        <v>-0.92359999999999998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259" t="s">
        <v>1210</v>
      </c>
      <c r="C9" s="1261">
        <v>1</v>
      </c>
      <c r="D9" s="1247">
        <v>0.17917192370800383</v>
      </c>
      <c r="E9"/>
      <c r="G9" s="1262" t="s">
        <v>4162</v>
      </c>
      <c r="H9" s="1246">
        <v>15</v>
      </c>
      <c r="I9" s="1264">
        <v>1</v>
      </c>
      <c r="J9" s="1246">
        <v>6.8214285714285713E-2</v>
      </c>
      <c r="K9"/>
      <c r="L9" s="1263">
        <v>14</v>
      </c>
      <c r="M9" s="1246">
        <v>3</v>
      </c>
      <c r="N9" s="1246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259" t="s">
        <v>1220</v>
      </c>
      <c r="C10" s="1261">
        <v>0.5</v>
      </c>
      <c r="D10" s="1247">
        <v>-4.3495555649665681E-2</v>
      </c>
      <c r="E10"/>
      <c r="G10" s="1262" t="s">
        <v>4163</v>
      </c>
      <c r="H10" s="1246">
        <v>21</v>
      </c>
      <c r="I10" s="1264">
        <v>1</v>
      </c>
      <c r="J10" s="1246">
        <v>4.7750000000000001E-2</v>
      </c>
      <c r="K10"/>
      <c r="L10" s="1263">
        <v>14.5</v>
      </c>
      <c r="M10" s="1246">
        <v>1</v>
      </c>
      <c r="N10" s="1246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259" t="s">
        <v>1219</v>
      </c>
      <c r="C11" s="1261">
        <v>1</v>
      </c>
      <c r="D11" s="1247">
        <v>3.6742363665440585E-2</v>
      </c>
      <c r="E11"/>
      <c r="G11" s="1262" t="s">
        <v>1255</v>
      </c>
      <c r="H11" s="1246">
        <v>21</v>
      </c>
      <c r="I11" s="1264">
        <v>1</v>
      </c>
      <c r="J11" s="1246">
        <v>4.7750000000000001E-2</v>
      </c>
      <c r="K11"/>
      <c r="L11" s="1263">
        <v>15</v>
      </c>
      <c r="M11" s="1246">
        <v>1</v>
      </c>
      <c r="N11" s="1246">
        <v>6.8214285714285713E-2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259" t="s">
        <v>1202</v>
      </c>
      <c r="C12" s="1261">
        <v>0.75</v>
      </c>
      <c r="D12" s="1247">
        <v>-0.23308441012304315</v>
      </c>
      <c r="E12"/>
      <c r="G12" s="1262" t="s">
        <v>4164</v>
      </c>
      <c r="H12" s="1246">
        <v>20.5</v>
      </c>
      <c r="I12" s="1264">
        <v>1</v>
      </c>
      <c r="J12" s="1246">
        <v>9.7988376226910895E-2</v>
      </c>
      <c r="K12"/>
      <c r="L12" s="1263">
        <v>15.5</v>
      </c>
      <c r="M12" s="1246">
        <v>3</v>
      </c>
      <c r="N12" s="1246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259" t="s">
        <v>1215</v>
      </c>
      <c r="C13" s="1261">
        <v>1</v>
      </c>
      <c r="D13" s="1247">
        <v>0.11792173913043479</v>
      </c>
      <c r="E13"/>
      <c r="G13" s="1262" t="s">
        <v>4165</v>
      </c>
      <c r="H13" s="1246">
        <v>25</v>
      </c>
      <c r="I13" s="1264">
        <v>1</v>
      </c>
      <c r="J13" s="1246">
        <v>3.9799999999999995E-2</v>
      </c>
      <c r="K13"/>
      <c r="L13" s="1263">
        <v>16</v>
      </c>
      <c r="M13" s="1246">
        <v>2</v>
      </c>
      <c r="N13" s="1246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259" t="s">
        <v>1208</v>
      </c>
      <c r="C14" s="1261">
        <v>1</v>
      </c>
      <c r="D14" s="1247">
        <v>0.41019433426617496</v>
      </c>
      <c r="E14"/>
      <c r="G14" s="1262" t="s">
        <v>4166</v>
      </c>
      <c r="H14" s="1246">
        <v>24</v>
      </c>
      <c r="I14" s="1264">
        <v>1</v>
      </c>
      <c r="J14" s="1246">
        <v>4.1521739130434776E-2</v>
      </c>
      <c r="K14"/>
      <c r="L14" s="1263">
        <v>16.34048426150121</v>
      </c>
      <c r="M14" s="1246">
        <v>1</v>
      </c>
      <c r="N14" s="1246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259" t="s">
        <v>1205</v>
      </c>
      <c r="C15" s="1261">
        <v>1</v>
      </c>
      <c r="D15" s="1247">
        <v>0.10644694094218135</v>
      </c>
      <c r="E15"/>
      <c r="G15" s="1262" t="s">
        <v>1222</v>
      </c>
      <c r="H15" s="1246">
        <v>15.5</v>
      </c>
      <c r="I15" s="1264">
        <v>1</v>
      </c>
      <c r="J15" s="1246">
        <v>6.5845267621409714E-2</v>
      </c>
      <c r="K15"/>
      <c r="L15" s="1263">
        <v>16.5</v>
      </c>
      <c r="M15" s="1246">
        <v>2</v>
      </c>
      <c r="N15" s="1246">
        <v>0.12322575109547679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259" t="s">
        <v>1198</v>
      </c>
      <c r="C16" s="1261">
        <v>0.66666666666666663</v>
      </c>
      <c r="D16" s="1247">
        <v>-0.89945680977695719</v>
      </c>
      <c r="E16"/>
      <c r="G16" s="1262" t="s">
        <v>4167</v>
      </c>
      <c r="H16" s="1246">
        <v>25</v>
      </c>
      <c r="I16" s="1264">
        <v>1</v>
      </c>
      <c r="J16" s="1246">
        <v>3.9799999999999995E-2</v>
      </c>
      <c r="K16"/>
      <c r="L16" s="1263">
        <v>17</v>
      </c>
      <c r="M16" s="1246">
        <v>5</v>
      </c>
      <c r="N16" s="1246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259" t="s">
        <v>1201</v>
      </c>
      <c r="C17" s="1261">
        <v>0.75</v>
      </c>
      <c r="D17" s="1247">
        <v>-0.81564678159958859</v>
      </c>
      <c r="E17"/>
      <c r="G17" s="1262" t="s">
        <v>4168</v>
      </c>
      <c r="H17" s="1246">
        <v>23</v>
      </c>
      <c r="I17" s="1264">
        <v>1</v>
      </c>
      <c r="J17" s="1246">
        <v>4.3407679277244489E-2</v>
      </c>
      <c r="K17"/>
      <c r="L17" s="1263">
        <v>17.5</v>
      </c>
      <c r="M17" s="1246">
        <v>1</v>
      </c>
      <c r="N17" s="1246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259" t="s">
        <v>1206</v>
      </c>
      <c r="C18" s="1261">
        <v>1</v>
      </c>
      <c r="D18" s="1247">
        <v>5.4540605414055206E-2</v>
      </c>
      <c r="E18"/>
      <c r="G18" s="1262" t="s">
        <v>4169</v>
      </c>
      <c r="H18" s="1246">
        <v>18</v>
      </c>
      <c r="I18" s="1264">
        <v>1</v>
      </c>
      <c r="J18" s="1246">
        <v>5.6176470588235293E-2</v>
      </c>
      <c r="K18"/>
      <c r="L18" s="1263">
        <v>18</v>
      </c>
      <c r="M18" s="1246">
        <v>3</v>
      </c>
      <c r="N18" s="1246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259" t="s">
        <v>1217</v>
      </c>
      <c r="C19" s="1261">
        <v>1</v>
      </c>
      <c r="D19" s="1247">
        <v>3.9799999999999995E-2</v>
      </c>
      <c r="E19"/>
      <c r="G19" s="1262" t="s">
        <v>2653</v>
      </c>
      <c r="H19" s="1246">
        <v>13.5</v>
      </c>
      <c r="I19" s="1264">
        <v>0</v>
      </c>
      <c r="J19" s="1246">
        <v>-1</v>
      </c>
      <c r="K19"/>
      <c r="L19" s="1263">
        <v>18.5</v>
      </c>
      <c r="M19" s="1246">
        <v>4</v>
      </c>
      <c r="N19" s="1246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259" t="s">
        <v>1207</v>
      </c>
      <c r="C20" s="1261">
        <v>1</v>
      </c>
      <c r="D20" s="1247">
        <v>0.19436153593531094</v>
      </c>
      <c r="E20"/>
      <c r="G20" s="1262" t="s">
        <v>4170</v>
      </c>
      <c r="H20" s="1246">
        <v>17</v>
      </c>
      <c r="I20" s="1264">
        <v>0</v>
      </c>
      <c r="J20" s="1246">
        <v>-0.10888515674984005</v>
      </c>
      <c r="K20"/>
      <c r="L20" s="1263">
        <v>19</v>
      </c>
      <c r="M20" s="1246">
        <v>3</v>
      </c>
      <c r="N20" s="1246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259" t="s">
        <v>1203</v>
      </c>
      <c r="C21" s="1261">
        <v>1</v>
      </c>
      <c r="D21" s="1247">
        <v>3.9799999999999995E-2</v>
      </c>
      <c r="E21"/>
      <c r="G21" s="1262" t="s">
        <v>4171</v>
      </c>
      <c r="H21" s="1246">
        <v>13.5</v>
      </c>
      <c r="I21" s="1264">
        <v>1</v>
      </c>
      <c r="J21" s="1246">
        <v>7.640000000000001E-2</v>
      </c>
      <c r="K21"/>
      <c r="L21" s="1263">
        <v>20</v>
      </c>
      <c r="M21" s="1246">
        <v>8</v>
      </c>
      <c r="N21" s="1246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259" t="s">
        <v>1204</v>
      </c>
      <c r="C22" s="1261">
        <v>1</v>
      </c>
      <c r="D22" s="1247">
        <v>4.401381229706746E-2</v>
      </c>
      <c r="E22"/>
      <c r="G22" s="1262" t="s">
        <v>4172</v>
      </c>
      <c r="H22" s="1246">
        <v>22.726846363964338</v>
      </c>
      <c r="I22" s="1264">
        <v>1</v>
      </c>
      <c r="J22" s="1246">
        <v>4.401381229706746E-2</v>
      </c>
      <c r="K22"/>
      <c r="L22" s="1263">
        <v>21</v>
      </c>
      <c r="M22" s="1246">
        <v>6</v>
      </c>
      <c r="N22" s="1246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259" t="s">
        <v>3791</v>
      </c>
      <c r="C23" s="1261">
        <v>1</v>
      </c>
      <c r="D23" s="1247">
        <v>0.46019246377718226</v>
      </c>
      <c r="E23"/>
      <c r="G23" s="1262" t="s">
        <v>1226</v>
      </c>
      <c r="H23" s="1246">
        <v>20.25</v>
      </c>
      <c r="I23" s="1264">
        <v>1</v>
      </c>
      <c r="J23" s="1246">
        <v>0.10128793864734323</v>
      </c>
      <c r="K23"/>
      <c r="L23" s="1263">
        <v>22</v>
      </c>
      <c r="M23" s="1246">
        <v>3</v>
      </c>
      <c r="N23" s="1246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259" t="s">
        <v>1370</v>
      </c>
      <c r="C24" s="1261">
        <v>1</v>
      </c>
      <c r="D24" s="1247">
        <v>0.4075710443647545</v>
      </c>
      <c r="E24"/>
      <c r="G24" s="1262" t="s">
        <v>4173</v>
      </c>
      <c r="H24" s="1246">
        <v>28</v>
      </c>
      <c r="I24" s="1264">
        <v>0</v>
      </c>
      <c r="J24" s="1246">
        <v>-6.6680378445084329E-2</v>
      </c>
      <c r="K24"/>
      <c r="L24" s="1263">
        <v>22.726846363964338</v>
      </c>
      <c r="M24" s="1246">
        <v>1</v>
      </c>
      <c r="N24" s="1246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259" t="s">
        <v>1451</v>
      </c>
      <c r="C25" s="1261">
        <v>1</v>
      </c>
      <c r="D25" s="1247">
        <v>6.3669403688248749E-2</v>
      </c>
      <c r="E25"/>
      <c r="G25" s="1262" t="s">
        <v>4174</v>
      </c>
      <c r="H25" s="1246">
        <v>23</v>
      </c>
      <c r="I25" s="1264">
        <v>1</v>
      </c>
      <c r="J25" s="1246">
        <v>4.3413892445582587E-2</v>
      </c>
      <c r="K25"/>
      <c r="L25" s="1263">
        <v>23</v>
      </c>
      <c r="M25" s="1246">
        <v>8</v>
      </c>
      <c r="N25" s="1246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259" t="s">
        <v>2953</v>
      </c>
      <c r="C26" s="1261">
        <v>1</v>
      </c>
      <c r="D26" s="1247">
        <v>4.7750000000000001E-2</v>
      </c>
      <c r="E26"/>
      <c r="G26" s="1262" t="s">
        <v>4175</v>
      </c>
      <c r="H26" s="1246">
        <v>18</v>
      </c>
      <c r="I26" s="1264">
        <v>1</v>
      </c>
      <c r="J26" s="1246">
        <v>5.6186926084189473E-2</v>
      </c>
      <c r="K26"/>
      <c r="L26" s="1263">
        <v>24</v>
      </c>
      <c r="M26" s="1246">
        <v>4</v>
      </c>
      <c r="N26" s="1246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259" t="s">
        <v>267</v>
      </c>
      <c r="C27" s="1261">
        <v>0.89610389610389607</v>
      </c>
      <c r="D27" s="1247">
        <v>0.39444313635187678</v>
      </c>
      <c r="E27"/>
      <c r="G27" s="1262" t="s">
        <v>1229</v>
      </c>
      <c r="H27" s="1246">
        <v>20</v>
      </c>
      <c r="I27" s="1264">
        <v>1</v>
      </c>
      <c r="J27" s="1246">
        <v>5.0260014857991885E-2</v>
      </c>
      <c r="K27"/>
      <c r="L27" s="1263">
        <v>25</v>
      </c>
      <c r="M27" s="1246">
        <v>4</v>
      </c>
      <c r="N27" s="1246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262" t="s">
        <v>4176</v>
      </c>
      <c r="H28" s="1246">
        <v>14</v>
      </c>
      <c r="I28" s="1264">
        <v>1</v>
      </c>
      <c r="J28" s="1246">
        <v>7.3456872417011057E-2</v>
      </c>
      <c r="K28"/>
      <c r="L28" s="1263">
        <v>26</v>
      </c>
      <c r="M28" s="1246">
        <v>1</v>
      </c>
      <c r="N28" s="1246">
        <v>3.8200000000000005E-2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262" t="s">
        <v>4177</v>
      </c>
      <c r="H29" s="1246">
        <v>18</v>
      </c>
      <c r="I29" s="1264">
        <v>1</v>
      </c>
      <c r="J29" s="1246">
        <v>5.6184268404846645E-2</v>
      </c>
      <c r="K29"/>
      <c r="L29" s="1263">
        <v>27</v>
      </c>
      <c r="M29" s="1246">
        <v>2</v>
      </c>
      <c r="N29" s="1246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262" t="s">
        <v>4178</v>
      </c>
      <c r="H30" s="1246">
        <v>23</v>
      </c>
      <c r="I30" s="1264">
        <v>1</v>
      </c>
      <c r="J30" s="1246">
        <v>4.3409090909090911E-2</v>
      </c>
      <c r="K30"/>
      <c r="L30" s="1263">
        <v>27.5</v>
      </c>
      <c r="M30" s="1246">
        <v>1</v>
      </c>
      <c r="N30" s="1246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262" t="s">
        <v>4179</v>
      </c>
      <c r="H31" s="1246">
        <v>27</v>
      </c>
      <c r="I31" s="1264">
        <v>0</v>
      </c>
      <c r="J31" s="1246">
        <v>-0.40886221737285566</v>
      </c>
      <c r="K31"/>
      <c r="L31" s="1263">
        <v>28</v>
      </c>
      <c r="M31" s="1246">
        <v>1</v>
      </c>
      <c r="N31" s="1246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262" t="s">
        <v>4180</v>
      </c>
      <c r="H32" s="1246">
        <v>16.34048426150121</v>
      </c>
      <c r="I32" s="1264">
        <v>1</v>
      </c>
      <c r="J32" s="1246">
        <v>6.2348668280871669E-2</v>
      </c>
      <c r="K32"/>
      <c r="L32" s="1263">
        <v>29</v>
      </c>
      <c r="M32" s="1246">
        <v>2</v>
      </c>
      <c r="N32" s="1246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262" t="s">
        <v>4181</v>
      </c>
      <c r="H33" s="1246">
        <v>29</v>
      </c>
      <c r="I33" s="1264">
        <v>1</v>
      </c>
      <c r="J33" s="1246">
        <v>3.4107142857142857E-2</v>
      </c>
      <c r="K33"/>
      <c r="L33" s="1263">
        <v>30</v>
      </c>
      <c r="M33" s="1246">
        <v>1</v>
      </c>
      <c r="N33" s="1246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262" t="s">
        <v>4182</v>
      </c>
      <c r="H34" s="1246">
        <v>27</v>
      </c>
      <c r="I34" s="1264">
        <v>1</v>
      </c>
      <c r="J34" s="1246">
        <v>3.6742363665440585E-2</v>
      </c>
      <c r="K34"/>
      <c r="L34" s="1262" t="s">
        <v>267</v>
      </c>
      <c r="M34" s="1246">
        <v>77</v>
      </c>
      <c r="N34" s="1246">
        <v>0.39444313635187611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262" t="s">
        <v>4183</v>
      </c>
      <c r="H35" s="1246">
        <v>22</v>
      </c>
      <c r="I35" s="1264">
        <v>1</v>
      </c>
      <c r="J35" s="1246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262" t="s">
        <v>4184</v>
      </c>
      <c r="H36" s="1246">
        <v>15</v>
      </c>
      <c r="I36" s="1264">
        <v>1</v>
      </c>
      <c r="J36" s="1246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262" t="s">
        <v>1256</v>
      </c>
      <c r="H37" s="1246">
        <v>21</v>
      </c>
      <c r="I37" s="1264">
        <v>1</v>
      </c>
      <c r="J37" s="1246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262" t="s">
        <v>1258</v>
      </c>
      <c r="H38" s="1246">
        <v>19</v>
      </c>
      <c r="I38" s="1264">
        <v>1</v>
      </c>
      <c r="J38" s="1246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262" t="s">
        <v>4185</v>
      </c>
      <c r="H39" s="1246">
        <v>23</v>
      </c>
      <c r="I39" s="1264">
        <v>1</v>
      </c>
      <c r="J39" s="1246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262" t="s">
        <v>4186</v>
      </c>
      <c r="H40" s="1246">
        <v>9.8000000000000007</v>
      </c>
      <c r="I40" s="1264">
        <v>0</v>
      </c>
      <c r="J40" s="1246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262" t="s">
        <v>4187</v>
      </c>
      <c r="H41" s="1246">
        <v>29</v>
      </c>
      <c r="I41" s="1264">
        <v>1</v>
      </c>
      <c r="J41" s="1246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262" t="s">
        <v>4188</v>
      </c>
      <c r="H42" s="1246">
        <v>18.5</v>
      </c>
      <c r="I42" s="1264">
        <v>1</v>
      </c>
      <c r="J42" s="1246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262" t="s">
        <v>4189</v>
      </c>
      <c r="H43" s="1246">
        <v>17</v>
      </c>
      <c r="I43" s="1264">
        <v>1</v>
      </c>
      <c r="J43" s="1246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262" t="s">
        <v>4190</v>
      </c>
      <c r="H44" s="1246">
        <v>24</v>
      </c>
      <c r="I44" s="1264">
        <v>1</v>
      </c>
      <c r="J44" s="1246">
        <v>4.1521739130434776E-2</v>
      </c>
      <c r="K44"/>
      <c r="L44"/>
      <c r="M44"/>
      <c r="N44"/>
      <c r="O44"/>
    </row>
    <row r="45" spans="2:64" ht="13.8">
      <c r="G45" s="1262" t="s">
        <v>4191</v>
      </c>
      <c r="H45" s="1246">
        <v>14.5</v>
      </c>
      <c r="I45" s="1264">
        <v>1</v>
      </c>
      <c r="J45" s="1246">
        <v>7.0754339652827777E-2</v>
      </c>
      <c r="K45"/>
      <c r="L45"/>
      <c r="M45"/>
      <c r="N45"/>
      <c r="O45"/>
    </row>
    <row r="46" spans="2:64" ht="13.8">
      <c r="G46" s="1262" t="s">
        <v>4192</v>
      </c>
      <c r="H46" s="1246">
        <v>16.5</v>
      </c>
      <c r="I46" s="1264">
        <v>1</v>
      </c>
      <c r="J46" s="1246">
        <v>6.1614376687893845E-2</v>
      </c>
      <c r="K46"/>
      <c r="L46"/>
      <c r="M46"/>
      <c r="N46"/>
      <c r="O46"/>
    </row>
    <row r="47" spans="2:64" ht="13.8">
      <c r="G47" s="1262" t="s">
        <v>4193</v>
      </c>
      <c r="H47" s="1246">
        <v>23</v>
      </c>
      <c r="I47" s="1264">
        <v>1</v>
      </c>
      <c r="J47" s="1246">
        <v>4.3388429752066117E-2</v>
      </c>
      <c r="K47"/>
      <c r="L47"/>
      <c r="M47"/>
      <c r="N47"/>
      <c r="O47"/>
    </row>
    <row r="48" spans="2:64" ht="13.8">
      <c r="G48" s="1262" t="s">
        <v>4194</v>
      </c>
      <c r="H48" s="1246">
        <v>15.5</v>
      </c>
      <c r="I48" s="1264">
        <v>1</v>
      </c>
      <c r="J48" s="1246">
        <v>0.14577195648696209</v>
      </c>
      <c r="K48"/>
      <c r="L48"/>
      <c r="M48"/>
      <c r="N48"/>
      <c r="O48"/>
    </row>
    <row r="49" spans="7:15" ht="13.8">
      <c r="G49" s="1262" t="s">
        <v>4195</v>
      </c>
      <c r="H49" s="1246">
        <v>19</v>
      </c>
      <c r="I49" s="1264">
        <v>0</v>
      </c>
      <c r="J49" s="1246">
        <v>-9.9672026237900974E-2</v>
      </c>
      <c r="K49"/>
      <c r="L49"/>
      <c r="M49"/>
      <c r="N49"/>
      <c r="O49"/>
    </row>
    <row r="50" spans="7:15" ht="13.8">
      <c r="G50" s="1262" t="s">
        <v>4196</v>
      </c>
      <c r="H50" s="1246">
        <v>24</v>
      </c>
      <c r="I50" s="1264">
        <v>1</v>
      </c>
      <c r="J50" s="1246">
        <v>4.1518339266429345E-2</v>
      </c>
      <c r="K50"/>
      <c r="L50"/>
      <c r="M50"/>
      <c r="N50"/>
      <c r="O50"/>
    </row>
    <row r="51" spans="7:15" ht="13.8">
      <c r="G51" s="1262" t="s">
        <v>4197</v>
      </c>
      <c r="H51" s="1246">
        <v>18.5</v>
      </c>
      <c r="I51" s="1264">
        <v>1</v>
      </c>
      <c r="J51" s="1246">
        <v>5.4569609281237504E-2</v>
      </c>
      <c r="K51"/>
      <c r="L51"/>
      <c r="M51"/>
      <c r="N51"/>
      <c r="O51"/>
    </row>
    <row r="52" spans="7:15" ht="13.8">
      <c r="G52" s="1262" t="s">
        <v>1260</v>
      </c>
      <c r="H52" s="1246">
        <v>19.25</v>
      </c>
      <c r="I52" s="1264">
        <v>1</v>
      </c>
      <c r="J52" s="1246">
        <v>0.10482464441028588</v>
      </c>
      <c r="K52"/>
      <c r="L52"/>
      <c r="M52"/>
      <c r="N52"/>
      <c r="O52"/>
    </row>
    <row r="53" spans="7:15" ht="13.8">
      <c r="G53" s="1262" t="s">
        <v>3178</v>
      </c>
      <c r="H53" s="1246">
        <v>17</v>
      </c>
      <c r="I53" s="1264">
        <v>1</v>
      </c>
      <c r="J53" s="1246">
        <v>5.9694364851957969E-2</v>
      </c>
      <c r="K53"/>
      <c r="L53"/>
      <c r="M53"/>
      <c r="N53"/>
      <c r="O53"/>
    </row>
    <row r="54" spans="7:15" ht="13.8">
      <c r="G54" s="1262" t="s">
        <v>1238</v>
      </c>
      <c r="H54" s="1246">
        <v>18.5</v>
      </c>
      <c r="I54" s="1264">
        <v>1</v>
      </c>
      <c r="J54" s="1246">
        <v>5.4569609281237504E-2</v>
      </c>
      <c r="K54"/>
      <c r="L54"/>
      <c r="M54"/>
      <c r="N54"/>
      <c r="O54"/>
    </row>
    <row r="55" spans="7:15" ht="13.8">
      <c r="G55" s="1262" t="s">
        <v>4198</v>
      </c>
      <c r="H55" s="1246">
        <v>23</v>
      </c>
      <c r="I55" s="1264">
        <v>1</v>
      </c>
      <c r="J55" s="1246">
        <v>4.3413892445582587E-2</v>
      </c>
      <c r="K55"/>
      <c r="L55"/>
      <c r="M55"/>
      <c r="N55"/>
      <c r="O55"/>
    </row>
    <row r="56" spans="7:15" ht="13.8">
      <c r="G56" s="1262" t="s">
        <v>4199</v>
      </c>
      <c r="H56" s="1246">
        <v>11</v>
      </c>
      <c r="I56" s="1264">
        <v>1</v>
      </c>
      <c r="J56" s="1246">
        <v>5.2939182452642064E-2</v>
      </c>
      <c r="K56"/>
      <c r="L56"/>
      <c r="M56"/>
      <c r="N56"/>
      <c r="O56"/>
    </row>
    <row r="57" spans="7:15" ht="13.8">
      <c r="G57" s="1262" t="s">
        <v>1448</v>
      </c>
      <c r="H57" s="1246">
        <v>15.5</v>
      </c>
      <c r="I57" s="1264">
        <v>0</v>
      </c>
      <c r="J57" s="1246">
        <v>-0.99997368767267469</v>
      </c>
      <c r="K57"/>
      <c r="L57"/>
      <c r="M57"/>
      <c r="N57"/>
      <c r="O57"/>
    </row>
    <row r="58" spans="7:15" ht="13.8">
      <c r="G58" s="1262" t="s">
        <v>4200</v>
      </c>
      <c r="H58" s="1246">
        <v>16.5</v>
      </c>
      <c r="I58" s="1264">
        <v>1</v>
      </c>
      <c r="J58" s="1246">
        <v>6.1611374407582936E-2</v>
      </c>
      <c r="K58"/>
      <c r="L58"/>
      <c r="M58"/>
      <c r="N58"/>
      <c r="O58"/>
    </row>
    <row r="59" spans="7:15" ht="13.8">
      <c r="G59" s="1262" t="s">
        <v>4201</v>
      </c>
      <c r="H59" s="1246">
        <v>20</v>
      </c>
      <c r="I59" s="1264">
        <v>1</v>
      </c>
      <c r="J59" s="1246">
        <v>5.0263157894736843E-2</v>
      </c>
      <c r="K59"/>
      <c r="L59"/>
      <c r="M59"/>
      <c r="N59"/>
      <c r="O59"/>
    </row>
    <row r="60" spans="7:15" ht="13.8">
      <c r="G60" s="1262" t="s">
        <v>4202</v>
      </c>
      <c r="H60" s="1246">
        <v>20</v>
      </c>
      <c r="I60" s="1264">
        <v>1</v>
      </c>
      <c r="J60" s="1246">
        <v>5.0253720000980558E-2</v>
      </c>
      <c r="K60"/>
      <c r="L60"/>
      <c r="M60"/>
      <c r="N60"/>
      <c r="O60"/>
    </row>
    <row r="61" spans="7:15" ht="13.8">
      <c r="G61" s="1262" t="s">
        <v>4203</v>
      </c>
      <c r="H61" s="1246">
        <v>21</v>
      </c>
      <c r="I61" s="1264">
        <v>1</v>
      </c>
      <c r="J61" s="1246">
        <v>4.7741935483870963E-2</v>
      </c>
      <c r="L61"/>
      <c r="M61"/>
      <c r="N61"/>
      <c r="O61"/>
    </row>
    <row r="62" spans="7:15" ht="13.8">
      <c r="G62" s="1262" t="s">
        <v>4204</v>
      </c>
      <c r="H62" s="1246">
        <v>12.5</v>
      </c>
      <c r="I62" s="1264">
        <v>1</v>
      </c>
      <c r="J62" s="1246">
        <v>8.3051776093507446E-2</v>
      </c>
      <c r="L62"/>
      <c r="M62"/>
      <c r="N62"/>
      <c r="O62"/>
    </row>
    <row r="63" spans="7:15" ht="13.8">
      <c r="G63" s="1262" t="s">
        <v>3645</v>
      </c>
      <c r="H63" s="1246">
        <v>17</v>
      </c>
      <c r="I63" s="1264">
        <v>1</v>
      </c>
      <c r="J63" s="1246">
        <v>5.9687499999999998E-2</v>
      </c>
      <c r="L63"/>
      <c r="M63"/>
      <c r="N63"/>
      <c r="O63"/>
    </row>
    <row r="64" spans="7:15" ht="13.8">
      <c r="G64" s="1262" t="s">
        <v>4285</v>
      </c>
      <c r="H64" s="1246">
        <v>30</v>
      </c>
      <c r="I64" s="1264">
        <v>1</v>
      </c>
      <c r="J64" s="1246">
        <v>3.2940552784404442E-2</v>
      </c>
      <c r="L64"/>
      <c r="M64"/>
      <c r="N64"/>
      <c r="O64"/>
    </row>
    <row r="65" spans="7:15" ht="13.8">
      <c r="G65" s="1262" t="s">
        <v>4205</v>
      </c>
      <c r="H65" s="1246">
        <v>15.5</v>
      </c>
      <c r="I65" s="1264">
        <v>1</v>
      </c>
      <c r="J65" s="1246">
        <v>6.5847131135488055E-2</v>
      </c>
      <c r="L65"/>
      <c r="M65"/>
      <c r="N65"/>
      <c r="O65"/>
    </row>
    <row r="66" spans="7:15" ht="13.8">
      <c r="G66" s="1262" t="s">
        <v>4206</v>
      </c>
      <c r="H66" s="1246">
        <v>22</v>
      </c>
      <c r="I66" s="1264">
        <v>1</v>
      </c>
      <c r="J66" s="1246">
        <v>4.5486354093771872E-2</v>
      </c>
      <c r="L66"/>
      <c r="M66"/>
      <c r="N66"/>
      <c r="O66"/>
    </row>
    <row r="67" spans="7:15" ht="13.8">
      <c r="G67" s="1262" t="s">
        <v>4207</v>
      </c>
      <c r="H67" s="1246">
        <v>16</v>
      </c>
      <c r="I67" s="1264">
        <v>1</v>
      </c>
      <c r="J67" s="1246">
        <v>6.3669403688248749E-2</v>
      </c>
      <c r="L67"/>
      <c r="M67"/>
      <c r="N67"/>
      <c r="O67"/>
    </row>
    <row r="68" spans="7:15" ht="13.8">
      <c r="G68" s="1262" t="s">
        <v>4312</v>
      </c>
      <c r="H68" s="1246">
        <v>14</v>
      </c>
      <c r="I68" s="1264">
        <v>1</v>
      </c>
      <c r="J68" s="1246">
        <v>7.3455049894840474E-2</v>
      </c>
      <c r="L68"/>
      <c r="M68"/>
      <c r="N68"/>
      <c r="O68"/>
    </row>
    <row r="69" spans="7:15" ht="13.8">
      <c r="G69" s="1262" t="s">
        <v>4208</v>
      </c>
      <c r="H69" s="1246">
        <v>27.5</v>
      </c>
      <c r="I69" s="1264">
        <v>1</v>
      </c>
      <c r="J69" s="1246">
        <v>4.7750000000000001E-2</v>
      </c>
      <c r="L69"/>
      <c r="M69"/>
      <c r="N69"/>
    </row>
    <row r="70" spans="7:15" ht="13.8">
      <c r="G70" s="1262" t="s">
        <v>4249</v>
      </c>
      <c r="H70" s="1246">
        <v>21</v>
      </c>
      <c r="I70" s="1264">
        <v>1</v>
      </c>
      <c r="J70" s="1246">
        <v>4.7759036144578312E-2</v>
      </c>
      <c r="L70"/>
      <c r="M70"/>
      <c r="N70"/>
    </row>
    <row r="71" spans="7:15" ht="13.8">
      <c r="G71" s="1262" t="s">
        <v>4250</v>
      </c>
      <c r="H71" s="1246">
        <v>20</v>
      </c>
      <c r="I71" s="1264">
        <v>1</v>
      </c>
      <c r="J71" s="1246">
        <v>5.026990553306343E-2</v>
      </c>
      <c r="L71"/>
      <c r="M71"/>
      <c r="N71"/>
    </row>
    <row r="72" spans="7:15" ht="13.8">
      <c r="G72" s="1262" t="s">
        <v>4228</v>
      </c>
      <c r="H72" s="1246">
        <v>23</v>
      </c>
      <c r="I72" s="1264">
        <v>1</v>
      </c>
      <c r="J72" s="1246">
        <v>4.3404340434043405E-2</v>
      </c>
      <c r="L72"/>
      <c r="M72"/>
      <c r="N72"/>
    </row>
    <row r="73" spans="7:15" ht="13.8">
      <c r="G73" s="1262" t="s">
        <v>4251</v>
      </c>
      <c r="H73" s="1246">
        <v>26</v>
      </c>
      <c r="I73" s="1264">
        <v>1</v>
      </c>
      <c r="J73" s="1246">
        <v>3.8200000000000005E-2</v>
      </c>
      <c r="L73"/>
      <c r="M73"/>
      <c r="N73"/>
    </row>
    <row r="74" spans="7:15" ht="13.8">
      <c r="G74" s="1262" t="s">
        <v>4291</v>
      </c>
      <c r="H74" s="1246">
        <v>25</v>
      </c>
      <c r="I74" s="1264">
        <v>1</v>
      </c>
      <c r="J74" s="1246">
        <v>3.9783296130952384E-2</v>
      </c>
      <c r="L74"/>
      <c r="M74"/>
      <c r="N74"/>
    </row>
    <row r="75" spans="7:15" ht="13.8">
      <c r="G75" s="1262" t="s">
        <v>4275</v>
      </c>
      <c r="H75" s="1246">
        <v>25</v>
      </c>
      <c r="I75" s="1264">
        <v>1</v>
      </c>
      <c r="J75" s="1246">
        <v>3.9798460144927536E-2</v>
      </c>
      <c r="L75"/>
      <c r="M75"/>
      <c r="N75"/>
    </row>
    <row r="76" spans="7:15" ht="13.8">
      <c r="G76" s="1262" t="s">
        <v>4274</v>
      </c>
      <c r="H76" s="1246">
        <v>24</v>
      </c>
      <c r="I76" s="1264">
        <v>1</v>
      </c>
      <c r="J76" s="1246">
        <v>4.1521524104416632E-2</v>
      </c>
      <c r="L76"/>
      <c r="M76"/>
      <c r="N76"/>
    </row>
    <row r="77" spans="7:15" ht="13.8">
      <c r="G77" s="1262" t="s">
        <v>4276</v>
      </c>
      <c r="H77" s="1246">
        <v>19</v>
      </c>
      <c r="I77" s="1264">
        <v>1</v>
      </c>
      <c r="J77" s="1246">
        <v>5.3060298605955618E-2</v>
      </c>
      <c r="L77"/>
      <c r="M77"/>
      <c r="N77"/>
    </row>
    <row r="78" spans="7:15" ht="13.8">
      <c r="G78" s="1262" t="s">
        <v>267</v>
      </c>
      <c r="H78" s="1246">
        <v>19.952822475655395</v>
      </c>
      <c r="I78" s="1264">
        <v>0.89610389610389607</v>
      </c>
      <c r="J78" s="1246">
        <v>0.39444313635187667</v>
      </c>
      <c r="L78"/>
      <c r="M78"/>
      <c r="N78"/>
    </row>
    <row r="79" spans="7:15" ht="13.8">
      <c r="G79"/>
      <c r="H79"/>
      <c r="I79"/>
      <c r="J79"/>
      <c r="L79"/>
      <c r="M79"/>
      <c r="N79"/>
    </row>
    <row r="80" spans="7:15" ht="13.8">
      <c r="G80"/>
      <c r="H80"/>
      <c r="I80"/>
      <c r="J80"/>
      <c r="L80"/>
      <c r="M80"/>
      <c r="N80"/>
    </row>
    <row r="81" spans="12:14" ht="13.8">
      <c r="L81"/>
      <c r="M81"/>
      <c r="N81"/>
    </row>
    <row r="82" spans="12:14" ht="13.8">
      <c r="L82"/>
      <c r="M82"/>
      <c r="N82"/>
    </row>
    <row r="83" spans="12:14" ht="13.8">
      <c r="L83"/>
      <c r="M83"/>
      <c r="N83"/>
    </row>
    <row r="84" spans="12:14" ht="13.8">
      <c r="L84"/>
      <c r="M84"/>
      <c r="N84"/>
    </row>
    <row r="85" spans="12:14" ht="13.8">
      <c r="L85"/>
      <c r="M85"/>
      <c r="N85"/>
    </row>
    <row r="86" spans="12:14" ht="13.8">
      <c r="L86"/>
      <c r="M86"/>
      <c r="N86"/>
    </row>
    <row r="87" spans="12:14" ht="13.8">
      <c r="L87"/>
      <c r="M87"/>
      <c r="N87"/>
    </row>
    <row r="88" spans="12:14" ht="13.8">
      <c r="L88"/>
      <c r="M88"/>
      <c r="N88"/>
    </row>
    <row r="89" spans="12:14" ht="13.8">
      <c r="L89"/>
      <c r="M89"/>
      <c r="N89"/>
    </row>
    <row r="90" spans="12:14" ht="13.8">
      <c r="L90"/>
      <c r="M90"/>
      <c r="N90"/>
    </row>
    <row r="91" spans="12:14" ht="13.8">
      <c r="L91"/>
      <c r="M91"/>
      <c r="N91"/>
    </row>
    <row r="92" spans="12:14" ht="13.8">
      <c r="L92"/>
      <c r="M92"/>
      <c r="N92"/>
    </row>
    <row r="93" spans="12:14" ht="13.8">
      <c r="L93"/>
      <c r="M93"/>
      <c r="N93"/>
    </row>
    <row r="94" spans="12:14" ht="13.8">
      <c r="L94"/>
      <c r="M94"/>
      <c r="N94"/>
    </row>
    <row r="95" spans="12:14" ht="13.8">
      <c r="L95"/>
      <c r="M95"/>
      <c r="N95"/>
    </row>
    <row r="96" spans="12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R253"/>
  <sheetViews>
    <sheetView showGridLines="0" zoomScale="80" zoomScaleNormal="80" workbookViewId="0">
      <pane xSplit="2" ySplit="3" topLeftCell="C236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M254" sqref="AM254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8.796875" style="1" customWidth="1"/>
    <col min="4" max="4" width="5.3984375" style="1" customWidth="1" collapsed="1"/>
    <col min="5" max="5" width="7.09765625" style="1" customWidth="1"/>
    <col min="6" max="6" width="6.5" style="1" bestFit="1" customWidth="1"/>
    <col min="7" max="7" width="7.19921875" customWidth="1"/>
    <col min="8" max="8" width="6" style="1" customWidth="1"/>
    <col min="9" max="9" width="7.8984375" style="1" bestFit="1" customWidth="1"/>
    <col min="10" max="10" width="8.5" style="1" customWidth="1"/>
    <col min="11" max="11" width="8" customWidth="1"/>
    <col min="12" max="12" width="6.5" bestFit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8" style="1" hidden="1" customWidth="1" outlineLevel="1"/>
    <col min="23" max="23" width="10.296875" style="1" hidden="1" customWidth="1" outlineLevel="1"/>
    <col min="24" max="24" width="10.69921875" style="1" hidden="1" customWidth="1" outlineLevel="1"/>
    <col min="25" max="25" width="9.3984375" style="1" hidden="1" customWidth="1" outlineLevel="1"/>
    <col min="26" max="26" width="7" style="1" hidden="1" customWidth="1" outlineLevel="1"/>
    <col min="27" max="27" width="14.09765625" style="1" hidden="1" customWidth="1" outlineLevel="1"/>
    <col min="28" max="28" width="11" style="1" hidden="1" customWidth="1" outlineLevel="1"/>
    <col min="29" max="29" width="14.59765625" style="1" hidden="1" customWidth="1" outlineLevel="1"/>
    <col min="30" max="31" width="6.5" style="1" hidden="1" customWidth="1" outlineLevel="1"/>
    <col min="32" max="32" width="10" style="1" hidden="1" customWidth="1" outlineLevel="1"/>
    <col min="33" max="33" width="5.59765625" style="1" hidden="1" customWidth="1" outlineLevel="1"/>
    <col min="34" max="34" width="6.5" style="1" hidden="1" customWidth="1" outlineLevel="1"/>
    <col min="35" max="35" width="9.3984375" style="1" hidden="1" customWidth="1" outlineLevel="1"/>
    <col min="36" max="36" width="9.69921875" hidden="1" customWidth="1" outlineLevel="1"/>
    <col min="37" max="37" width="9.796875" style="1" hidden="1" customWidth="1" outlineLevel="1"/>
    <col min="38" max="38" width="8.19921875" style="1" customWidth="1" collapsed="1"/>
    <col min="39" max="39" width="6.5" style="1" customWidth="1"/>
    <col min="40" max="40" width="7.19921875" style="1" customWidth="1"/>
    <col min="41" max="41" width="2.69921875" style="1" customWidth="1"/>
    <col min="42" max="42" width="6.8984375" style="1" customWidth="1"/>
    <col min="43" max="43" width="5.796875" style="1" customWidth="1"/>
    <col min="44" max="44" width="8.3984375" style="1" customWidth="1"/>
    <col min="45" max="45" width="5.59765625" style="1" bestFit="1" customWidth="1"/>
    <col min="46" max="46" width="7.8984375" style="1" bestFit="1" customWidth="1"/>
    <col min="47" max="47" width="6" style="1" hidden="1" customWidth="1" outlineLevel="1"/>
    <col min="48" max="48" width="7.3984375" style="1" hidden="1" customWidth="1" outlineLevel="1"/>
    <col min="49" max="50" width="8.3984375" style="1" hidden="1" customWidth="1" outlineLevel="1"/>
    <col min="51" max="51" width="6.09765625" style="1" hidden="1" customWidth="1" outlineLevel="1"/>
    <col min="52" max="52" width="8.3984375" style="1" hidden="1" customWidth="1" outlineLevel="1"/>
    <col min="53" max="53" width="6" style="1" hidden="1" customWidth="1" outlineLevel="1"/>
    <col min="54" max="54" width="7.8984375" style="1" hidden="1" customWidth="1" outlineLevel="1"/>
    <col min="55" max="55" width="6.09765625" style="1" hidden="1" customWidth="1" outlineLevel="1"/>
    <col min="56" max="56" width="6" style="1" hidden="1" customWidth="1" outlineLevel="1"/>
    <col min="57" max="57" width="10.296875" style="1" customWidth="1" collapsed="1"/>
    <col min="58" max="58" width="5.796875" style="1" bestFit="1" customWidth="1"/>
    <col min="59" max="59" width="7.3984375" style="1" customWidth="1"/>
    <col min="60" max="60" width="2.69921875" style="1" customWidth="1"/>
    <col min="61" max="61" width="7.3984375" style="1" customWidth="1"/>
    <col min="62" max="62" width="7.8984375" style="1" bestFit="1" customWidth="1"/>
    <col min="63" max="63" width="6.69921875" style="1" customWidth="1"/>
    <col min="64" max="64" width="5.59765625" style="1" bestFit="1" customWidth="1"/>
    <col min="65" max="65" width="8.796875" style="1" hidden="1" customWidth="1" outlineLevel="1"/>
    <col min="66" max="67" width="8.09765625" style="1" hidden="1" customWidth="1" outlineLevel="1"/>
    <col min="68" max="68" width="8.796875" style="1" collapsed="1"/>
    <col min="69" max="69" width="5.796875" style="1" bestFit="1" customWidth="1"/>
    <col min="70" max="16384" width="8.796875" style="1"/>
  </cols>
  <sheetData>
    <row r="2" spans="2:70" ht="15" customHeight="1">
      <c r="D2" s="2"/>
      <c r="E2" s="2"/>
      <c r="F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K2" s="2"/>
      <c r="AL2" s="2"/>
      <c r="AO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H2" s="2"/>
    </row>
    <row r="3" spans="2:70" s="910" customFormat="1" ht="30" customHeight="1">
      <c r="C3" s="22" t="s">
        <v>151</v>
      </c>
      <c r="D3" s="22" t="s">
        <v>74</v>
      </c>
      <c r="E3" s="22" t="s">
        <v>179</v>
      </c>
      <c r="F3" s="22" t="s">
        <v>1666</v>
      </c>
      <c r="G3" s="22" t="s">
        <v>3661</v>
      </c>
      <c r="H3" s="22" t="s">
        <v>3271</v>
      </c>
      <c r="I3" s="22" t="s">
        <v>3330</v>
      </c>
      <c r="J3" s="22" t="s">
        <v>3334</v>
      </c>
      <c r="K3" s="22" t="s">
        <v>4313</v>
      </c>
      <c r="L3" s="22" t="s">
        <v>3868</v>
      </c>
      <c r="M3" s="22" t="s">
        <v>1838</v>
      </c>
      <c r="N3" s="22" t="s">
        <v>3631</v>
      </c>
      <c r="O3" s="22" t="s">
        <v>3581</v>
      </c>
      <c r="P3" s="22" t="s">
        <v>1558</v>
      </c>
      <c r="Q3" s="22" t="s">
        <v>3333</v>
      </c>
      <c r="R3" s="22" t="s">
        <v>3253</v>
      </c>
      <c r="S3" s="22" t="s">
        <v>3921</v>
      </c>
      <c r="T3" s="22" t="s">
        <v>3817</v>
      </c>
      <c r="U3" s="22" t="s">
        <v>3922</v>
      </c>
      <c r="V3" s="22" t="s">
        <v>3209</v>
      </c>
      <c r="W3" s="22" t="s">
        <v>314</v>
      </c>
      <c r="X3" s="22" t="s">
        <v>3188</v>
      </c>
      <c r="Y3" s="22" t="s">
        <v>150</v>
      </c>
      <c r="Z3" s="22" t="s">
        <v>294</v>
      </c>
      <c r="AA3" s="22" t="s">
        <v>3410</v>
      </c>
      <c r="AB3" s="22" t="s">
        <v>3411</v>
      </c>
      <c r="AC3" s="22" t="s">
        <v>3268</v>
      </c>
      <c r="AD3" s="22" t="s">
        <v>1555</v>
      </c>
      <c r="AE3" s="22" t="s">
        <v>73</v>
      </c>
      <c r="AF3" s="22" t="s">
        <v>3385</v>
      </c>
      <c r="AG3" s="22" t="s">
        <v>293</v>
      </c>
      <c r="AH3" s="22" t="s">
        <v>2148</v>
      </c>
      <c r="AI3" s="22" t="s">
        <v>2724</v>
      </c>
      <c r="AJ3" s="22" t="s">
        <v>2882</v>
      </c>
      <c r="AK3" s="22" t="s">
        <v>352</v>
      </c>
      <c r="AL3" s="22" t="s">
        <v>14</v>
      </c>
      <c r="AM3" s="22" t="s">
        <v>3531</v>
      </c>
      <c r="AN3" s="22" t="s">
        <v>2</v>
      </c>
      <c r="AP3" s="22" t="s">
        <v>151</v>
      </c>
      <c r="AQ3" s="22" t="s">
        <v>179</v>
      </c>
      <c r="AR3" s="22" t="s">
        <v>3334</v>
      </c>
      <c r="AS3" s="22" t="s">
        <v>3868</v>
      </c>
      <c r="AT3" s="22" t="s">
        <v>3330</v>
      </c>
      <c r="AU3" s="22" t="s">
        <v>3271</v>
      </c>
      <c r="AV3" s="22" t="s">
        <v>1838</v>
      </c>
      <c r="AW3" s="22" t="s">
        <v>3661</v>
      </c>
      <c r="AX3" s="22" t="s">
        <v>3817</v>
      </c>
      <c r="AY3" s="22" t="s">
        <v>3333</v>
      </c>
      <c r="AZ3" s="22" t="s">
        <v>3253</v>
      </c>
      <c r="BA3" s="22" t="s">
        <v>3922</v>
      </c>
      <c r="BB3" s="22" t="s">
        <v>3209</v>
      </c>
      <c r="BC3" s="22" t="s">
        <v>150</v>
      </c>
      <c r="BD3" s="22" t="s">
        <v>3385</v>
      </c>
      <c r="BE3" s="22" t="s">
        <v>14</v>
      </c>
      <c r="BF3" s="22" t="s">
        <v>15</v>
      </c>
      <c r="BG3" s="22" t="s">
        <v>1839</v>
      </c>
      <c r="BI3" s="22" t="s">
        <v>151</v>
      </c>
      <c r="BJ3" s="22" t="s">
        <v>3330</v>
      </c>
      <c r="BK3" s="22" t="s">
        <v>179</v>
      </c>
      <c r="BL3" s="22" t="s">
        <v>3868</v>
      </c>
      <c r="BM3" s="22" t="s">
        <v>3253</v>
      </c>
      <c r="BN3" s="22" t="s">
        <v>3661</v>
      </c>
      <c r="BO3" s="22" t="s">
        <v>3209</v>
      </c>
      <c r="BP3" s="22" t="s">
        <v>14</v>
      </c>
      <c r="BQ3" s="22" t="s">
        <v>15</v>
      </c>
      <c r="BR3" s="22" t="s">
        <v>3553</v>
      </c>
    </row>
    <row r="4" spans="2:70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v>0</v>
      </c>
      <c r="AM4" s="2"/>
      <c r="AN4" s="490">
        <v>1350.05</v>
      </c>
      <c r="BG4" s="2"/>
      <c r="BR4" s="2"/>
    </row>
    <row r="5" spans="2:70" ht="15" customHeight="1">
      <c r="B5" s="33">
        <v>45990</v>
      </c>
      <c r="C5" s="2">
        <f t="shared" ref="C5:C31" si="0">AN4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-32.873050000000006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v>0</v>
      </c>
      <c r="AM5" s="2">
        <v>-84.15</v>
      </c>
      <c r="AN5" s="490">
        <f t="shared" ref="AN5:AN68" si="1">SUM(C5:AM5)</f>
        <v>1233.0269499999999</v>
      </c>
      <c r="BG5" s="2"/>
      <c r="BR5" s="2"/>
    </row>
    <row r="6" spans="2:70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117.1088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v>0</v>
      </c>
      <c r="AM6" s="2">
        <v>-25.54</v>
      </c>
      <c r="AN6" s="490">
        <f t="shared" si="1"/>
        <v>1324.59575</v>
      </c>
      <c r="BG6" s="2"/>
      <c r="BR6" s="2"/>
    </row>
    <row r="7" spans="2:70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34.519999999999996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v>0</v>
      </c>
      <c r="AM7" s="2">
        <v>-1.2</v>
      </c>
      <c r="AN7" s="490">
        <f t="shared" si="1"/>
        <v>1357.9157499999999</v>
      </c>
      <c r="BG7" s="2"/>
      <c r="BR7" s="2"/>
    </row>
    <row r="8" spans="2:70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21.22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v>0</v>
      </c>
      <c r="AM8" s="2">
        <v>7.03</v>
      </c>
      <c r="AN8" s="490">
        <f t="shared" si="1"/>
        <v>1386.1657499999999</v>
      </c>
      <c r="BG8" s="2"/>
      <c r="BR8" s="2"/>
    </row>
    <row r="9" spans="2:70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92.235249999999994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v>0</v>
      </c>
      <c r="AM9" s="2">
        <v>2.61</v>
      </c>
      <c r="AN9" s="490">
        <f t="shared" si="1"/>
        <v>1528.1451499999998</v>
      </c>
      <c r="BG9" s="2"/>
      <c r="BR9" s="2"/>
    </row>
    <row r="10" spans="2:70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36.008650000000003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v>0</v>
      </c>
      <c r="AM10" s="2">
        <v>0.01</v>
      </c>
      <c r="AN10" s="490">
        <f t="shared" si="1"/>
        <v>1569.4735999999998</v>
      </c>
      <c r="BG10" s="2"/>
      <c r="BR10" s="2"/>
    </row>
    <row r="11" spans="2:70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93.467349999999996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v>0</v>
      </c>
      <c r="AM11" s="2"/>
      <c r="AN11" s="490">
        <f t="shared" si="1"/>
        <v>1669.7609499999996</v>
      </c>
    </row>
    <row r="12" spans="2:70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10.93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-43.67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v>0</v>
      </c>
      <c r="AM12" s="2">
        <v>-0.02</v>
      </c>
      <c r="AN12" s="490">
        <f t="shared" si="1"/>
        <v>1637.0009499999996</v>
      </c>
    </row>
    <row r="13" spans="2:70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8.3084999999999987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129.26499999999999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v>0</v>
      </c>
      <c r="AM13" s="2"/>
      <c r="AN13" s="490">
        <f t="shared" si="1"/>
        <v>1815.2152999999998</v>
      </c>
    </row>
    <row r="14" spans="2:70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110.48089999999999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v>0</v>
      </c>
      <c r="AM14" s="2">
        <v>-0.02</v>
      </c>
      <c r="AN14" s="490">
        <f t="shared" si="1"/>
        <v>1935.7361999999998</v>
      </c>
    </row>
    <row r="15" spans="2:70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3.68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53.941950000000006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v>0</v>
      </c>
      <c r="AM15" s="2"/>
      <c r="AN15" s="490">
        <f t="shared" si="1"/>
        <v>2007.5181499999997</v>
      </c>
    </row>
    <row r="16" spans="2:70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6.82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17.88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v>0</v>
      </c>
      <c r="AM16" s="2">
        <v>-0.01</v>
      </c>
      <c r="AN16" s="490">
        <f t="shared" si="1"/>
        <v>2056.9235499999995</v>
      </c>
      <c r="BF16" s="2"/>
      <c r="BQ16" s="2"/>
    </row>
    <row r="17" spans="2:69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-60.48149999999999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v>0</v>
      </c>
      <c r="AM17" s="2"/>
      <c r="AN17" s="490">
        <f t="shared" si="1"/>
        <v>1996.4420499999994</v>
      </c>
      <c r="BF17" s="2"/>
      <c r="BQ17" s="2"/>
    </row>
    <row r="18" spans="2:69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-70.113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v>0</v>
      </c>
      <c r="AM18" s="2"/>
      <c r="AN18" s="490">
        <f t="shared" si="1"/>
        <v>1933.9690499999995</v>
      </c>
      <c r="BF18" s="2"/>
      <c r="BQ18" s="2"/>
    </row>
    <row r="19" spans="2:69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3.6767499999999997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59.61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v>0</v>
      </c>
      <c r="AM19" s="2"/>
      <c r="AN19" s="490">
        <f t="shared" si="1"/>
        <v>2032.3542999999995</v>
      </c>
    </row>
    <row r="20" spans="2:69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12.69655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-246.01320000000001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v>0</v>
      </c>
      <c r="AM20" s="2"/>
      <c r="AN20" s="490">
        <f t="shared" si="1"/>
        <v>1817.2763499999994</v>
      </c>
    </row>
    <row r="21" spans="2:69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v>0</v>
      </c>
      <c r="AM21" s="2"/>
      <c r="AN21" s="490">
        <f t="shared" si="1"/>
        <v>1824.6163499999993</v>
      </c>
    </row>
    <row r="22" spans="2:69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v>0</v>
      </c>
      <c r="AM22" s="2">
        <v>-0.03</v>
      </c>
      <c r="AN22" s="490">
        <f t="shared" si="1"/>
        <v>1824.5863499999994</v>
      </c>
      <c r="AO22" s="2"/>
      <c r="BH22" s="2"/>
    </row>
    <row r="23" spans="2:69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32.26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23.88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v>0</v>
      </c>
      <c r="AM23" s="2"/>
      <c r="AN23" s="490">
        <f t="shared" si="1"/>
        <v>1880.7263499999995</v>
      </c>
    </row>
    <row r="24" spans="2:69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9.9499999999999975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-90.97999999999999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v>0</v>
      </c>
      <c r="AM24" s="2"/>
      <c r="AN24" s="490">
        <f t="shared" si="1"/>
        <v>1799.6963499999995</v>
      </c>
    </row>
    <row r="25" spans="2:69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0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86.52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-80.545000000000016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14.97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v>0</v>
      </c>
      <c r="AM25" s="2"/>
      <c r="AN25" s="490">
        <f t="shared" si="1"/>
        <v>1834.9663499999995</v>
      </c>
    </row>
    <row r="26" spans="2:69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0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240.22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25.09515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-183.96709999999999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-80</v>
      </c>
      <c r="AL26" s="2">
        <v>480</v>
      </c>
      <c r="AM26" s="2">
        <v>-0.03</v>
      </c>
      <c r="AN26" s="490">
        <f t="shared" si="1"/>
        <v>2323.9243999999994</v>
      </c>
    </row>
    <row r="27" spans="2:69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0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105.49000000000001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19.309999999999999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42.877849999999995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-150</v>
      </c>
      <c r="AL27" s="2">
        <v>0</v>
      </c>
      <c r="AM27" s="2">
        <v>-0.01</v>
      </c>
      <c r="AN27" s="490">
        <f t="shared" si="1"/>
        <v>2346.9422499999987</v>
      </c>
    </row>
    <row r="28" spans="2:69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-17.020000000000003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v>0</v>
      </c>
      <c r="AM28" s="2"/>
      <c r="AN28" s="490">
        <f t="shared" si="1"/>
        <v>2329.9222499999987</v>
      </c>
    </row>
    <row r="29" spans="2:69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0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67.17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v>0</v>
      </c>
      <c r="AM29" s="2"/>
      <c r="AN29" s="490">
        <f t="shared" si="1"/>
        <v>2417.2122499999987</v>
      </c>
    </row>
    <row r="30" spans="2:69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0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-6.7800000000000011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11.36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19.09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v>0</v>
      </c>
      <c r="AM30" s="2">
        <v>-0.01</v>
      </c>
      <c r="AN30" s="490">
        <f t="shared" si="1"/>
        <v>2450.4222499999987</v>
      </c>
    </row>
    <row r="31" spans="2:69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14.05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254</v>
      </c>
      <c r="AL31" s="2">
        <v>-480</v>
      </c>
      <c r="AM31" s="2">
        <v>0.01</v>
      </c>
      <c r="AN31" s="490">
        <f t="shared" si="1"/>
        <v>2243.9322499999989</v>
      </c>
      <c r="AO31" s="2"/>
      <c r="AP31" s="25"/>
      <c r="BH31" s="2"/>
      <c r="BI31" s="25"/>
      <c r="BJ31" s="25"/>
      <c r="BK31" s="25"/>
      <c r="BL31" s="25"/>
      <c r="BM31" s="25"/>
      <c r="BN31" s="25"/>
      <c r="BO31" s="25"/>
    </row>
    <row r="32" spans="2:69" ht="15" customHeight="1">
      <c r="B32" s="33">
        <v>46022</v>
      </c>
      <c r="C32" s="2">
        <f t="shared" ref="C32:C50" si="2">AN31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v>0</v>
      </c>
      <c r="AM32" s="2"/>
      <c r="AN32" s="490">
        <f t="shared" si="1"/>
        <v>2243.9322499999989</v>
      </c>
    </row>
    <row r="33" spans="2:40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54.376800000000003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v>0</v>
      </c>
      <c r="AM33" s="2">
        <v>-0.01</v>
      </c>
      <c r="AN33" s="490">
        <f t="shared" si="1"/>
        <v>2011.3990499999989</v>
      </c>
    </row>
    <row r="34" spans="2:40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v>0</v>
      </c>
      <c r="AM34" s="2"/>
      <c r="AN34" s="490">
        <f t="shared" si="1"/>
        <v>2034.2990499999989</v>
      </c>
    </row>
    <row r="35" spans="2:40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0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128.29999999999998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32.016149999999996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v>0</v>
      </c>
      <c r="AM35" s="2"/>
      <c r="AN35" s="490">
        <f t="shared" si="1"/>
        <v>2239.8344499999989</v>
      </c>
    </row>
    <row r="36" spans="2:40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0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-76.95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5.12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-10.913600000000002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v>0</v>
      </c>
      <c r="AM36" s="2">
        <v>-0.03</v>
      </c>
      <c r="AN36" s="490">
        <f t="shared" si="1"/>
        <v>2218.5456999999988</v>
      </c>
    </row>
    <row r="37" spans="2:40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43.091699999999996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14.47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v>0</v>
      </c>
      <c r="AM37" s="2">
        <v>-0.02</v>
      </c>
      <c r="AN37" s="490">
        <f t="shared" si="1"/>
        <v>2276.0873999999985</v>
      </c>
    </row>
    <row r="38" spans="2:40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-15.920000000000002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77.460000000000008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v>0</v>
      </c>
      <c r="AM38" s="2">
        <v>-0.01</v>
      </c>
      <c r="AN38" s="490">
        <f t="shared" si="1"/>
        <v>2337.6173999999983</v>
      </c>
    </row>
    <row r="39" spans="2:40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37.04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0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-30.939999999999998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11.030250000000001</v>
      </c>
      <c r="Z39" s="2">
        <f>SUMIFS(base[L/P Líquido],base[Data],Extrato!$B39,base[Método],Extrato!Z$3)</f>
        <v>-12.88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v>0</v>
      </c>
      <c r="AM39" s="2">
        <v>0.01</v>
      </c>
      <c r="AN39" s="490">
        <f t="shared" si="1"/>
        <v>2383.4862999999982</v>
      </c>
    </row>
    <row r="40" spans="2:40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0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37.82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-73.17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46.845399999999998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v>0</v>
      </c>
      <c r="AM40" s="2"/>
      <c r="AN40" s="490">
        <f t="shared" si="1"/>
        <v>2272.5617499999985</v>
      </c>
    </row>
    <row r="41" spans="2:40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-99.96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v>0</v>
      </c>
      <c r="AM41" s="2"/>
      <c r="AN41" s="490">
        <f t="shared" si="1"/>
        <v>2172.6017499999984</v>
      </c>
    </row>
    <row r="42" spans="2:40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0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24.679999999999993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8.9600000000000009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-65.240000000000009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v>0</v>
      </c>
      <c r="AM42" s="2">
        <v>-0.04</v>
      </c>
      <c r="AN42" s="490">
        <f t="shared" si="1"/>
        <v>2169.1767999999984</v>
      </c>
    </row>
    <row r="43" spans="2:40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0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134.65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-91.2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25.15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v>0</v>
      </c>
      <c r="AM43" s="2">
        <v>0.02</v>
      </c>
      <c r="AN43" s="490">
        <f t="shared" si="1"/>
        <v>2248.6567999999988</v>
      </c>
    </row>
    <row r="44" spans="2:40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42.4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-39.36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v>0</v>
      </c>
      <c r="AM44" s="2"/>
      <c r="AN44" s="490">
        <f t="shared" si="1"/>
        <v>2251.6967999999988</v>
      </c>
    </row>
    <row r="45" spans="2:40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41.26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-65.150000000000006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24.3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v>0</v>
      </c>
      <c r="AM45" s="2">
        <v>-0.02</v>
      </c>
      <c r="AN45" s="490">
        <f t="shared" si="1"/>
        <v>2275.4867999999992</v>
      </c>
    </row>
    <row r="46" spans="2:40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0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20.930000000000007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v>0</v>
      </c>
      <c r="AM46" s="2"/>
      <c r="AN46" s="490">
        <f t="shared" si="1"/>
        <v>2201.576849999999</v>
      </c>
    </row>
    <row r="47" spans="2:40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50.26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v>0</v>
      </c>
      <c r="AM47" s="2">
        <v>0.01</v>
      </c>
      <c r="AN47" s="490">
        <f t="shared" si="1"/>
        <v>2251.8468499999994</v>
      </c>
    </row>
    <row r="48" spans="2:40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-82.789999999999992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22.58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42.17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v>0</v>
      </c>
      <c r="AM48" s="2">
        <v>-0.01</v>
      </c>
      <c r="AN48" s="490">
        <f t="shared" si="1"/>
        <v>2233.7968499999993</v>
      </c>
    </row>
    <row r="49" spans="2:40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50.08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0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-79.89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15.93435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37.177449999999993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v>0</v>
      </c>
      <c r="AM49" s="2">
        <v>-0.03</v>
      </c>
      <c r="AN49" s="490">
        <f t="shared" si="1"/>
        <v>2296.9233499999991</v>
      </c>
    </row>
    <row r="50" spans="2:40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0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-245.94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-143.04730000000001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v>0</v>
      </c>
      <c r="AM50" s="2">
        <v>-0.01</v>
      </c>
      <c r="AN50" s="490">
        <f t="shared" si="1"/>
        <v>1955.0290999999988</v>
      </c>
    </row>
    <row r="51" spans="2:40" ht="15" customHeight="1">
      <c r="B51" s="33">
        <v>46041</v>
      </c>
      <c r="C51" s="2">
        <f t="shared" ref="C51:C82" si="3">AN50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v>0</v>
      </c>
      <c r="AM51" s="2"/>
      <c r="AN51" s="490">
        <f t="shared" si="1"/>
        <v>1955.0290999999988</v>
      </c>
    </row>
    <row r="52" spans="2:40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0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-202.67000000000002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52.887549999999997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v>0</v>
      </c>
      <c r="AM52" s="2">
        <v>-0.01</v>
      </c>
      <c r="AN52" s="490">
        <f t="shared" si="1"/>
        <v>1663.6466499999988</v>
      </c>
    </row>
    <row r="53" spans="2:40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0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-145.03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82.768300000000011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v>0</v>
      </c>
      <c r="AM53" s="2"/>
      <c r="AN53" s="490">
        <f t="shared" si="1"/>
        <v>1630.7249499999987</v>
      </c>
    </row>
    <row r="54" spans="2:40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31.12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v>0</v>
      </c>
      <c r="AM54" s="2">
        <v>-0.01</v>
      </c>
      <c r="AN54" s="490">
        <f t="shared" si="1"/>
        <v>1682.0249499999986</v>
      </c>
    </row>
    <row r="55" spans="2:40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0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-11.869999999999997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52.775499999999994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13.26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v>0</v>
      </c>
      <c r="AM55" s="2"/>
      <c r="AN55" s="490">
        <f t="shared" si="1"/>
        <v>1756.6104499999988</v>
      </c>
    </row>
    <row r="56" spans="2:40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0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21.090000000000003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19.850000000000001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-210.98439999999994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v>700</v>
      </c>
      <c r="AM56" s="2">
        <v>-0.03</v>
      </c>
      <c r="AN56" s="490">
        <f t="shared" si="1"/>
        <v>2224.6604499999985</v>
      </c>
    </row>
    <row r="57" spans="2:40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0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5.0200000000000102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45.291600000000003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v>0</v>
      </c>
      <c r="AM57" s="2">
        <v>-0.01</v>
      </c>
      <c r="AN57" s="490">
        <f t="shared" si="1"/>
        <v>2330.3486499999981</v>
      </c>
    </row>
    <row r="58" spans="2:40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0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46.249999999999993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12.9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v>0</v>
      </c>
      <c r="AM58" s="2"/>
      <c r="AN58" s="490">
        <f t="shared" si="1"/>
        <v>2245.2486499999982</v>
      </c>
    </row>
    <row r="59" spans="2:40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0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90.699999999999989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-85.98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v>0</v>
      </c>
      <c r="AM59" s="2"/>
      <c r="AN59" s="490">
        <f t="shared" si="1"/>
        <v>2264.3586499999979</v>
      </c>
    </row>
    <row r="60" spans="2:40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0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-77.430000000000007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-69.34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v>0</v>
      </c>
      <c r="AM60" s="2"/>
      <c r="AN60" s="490">
        <f t="shared" si="1"/>
        <v>2158.5986499999981</v>
      </c>
    </row>
    <row r="61" spans="2:40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-120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29.069500000000001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v>0</v>
      </c>
      <c r="AM61" s="2">
        <v>-0.02</v>
      </c>
      <c r="AN61" s="490">
        <f t="shared" si="1"/>
        <v>2108.6360499999982</v>
      </c>
    </row>
    <row r="62" spans="2:40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60.18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0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65.080000000000013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91.295400000000001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v>0</v>
      </c>
      <c r="AM62" s="2">
        <v>-0.01</v>
      </c>
      <c r="AN62" s="490">
        <f t="shared" si="1"/>
        <v>2352.3246499999977</v>
      </c>
    </row>
    <row r="63" spans="2:40" ht="15" customHeight="1">
      <c r="B63" s="33">
        <v>46053</v>
      </c>
      <c r="C63" s="2">
        <f t="shared" si="3"/>
        <v>2352.3246499999977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-104.51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0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360.58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26.98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127.15220000000004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v>0</v>
      </c>
      <c r="AM63" s="2">
        <v>-0.01</v>
      </c>
      <c r="AN63" s="490">
        <f t="shared" si="1"/>
        <v>2793.1768499999971</v>
      </c>
    </row>
    <row r="64" spans="2:40" ht="15" customHeight="1">
      <c r="B64" s="33">
        <v>46054</v>
      </c>
      <c r="C64" s="2">
        <f t="shared" si="3"/>
        <v>2793.1768499999971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0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-370.75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106.40400000000004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v>0</v>
      </c>
      <c r="AM64" s="2">
        <v>0.01</v>
      </c>
      <c r="AN64" s="490">
        <f t="shared" si="1"/>
        <v>2395.8908499999975</v>
      </c>
    </row>
    <row r="65" spans="2:40" ht="15" customHeight="1">
      <c r="B65" s="33">
        <v>46055</v>
      </c>
      <c r="C65" s="2">
        <f t="shared" si="3"/>
        <v>2395.8908499999975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-93.85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v>0</v>
      </c>
      <c r="AM65" s="2">
        <v>0.01</v>
      </c>
      <c r="AN65" s="490">
        <f t="shared" si="1"/>
        <v>2340.1308499999977</v>
      </c>
    </row>
    <row r="66" spans="2:40" ht="15" customHeight="1">
      <c r="B66" s="33">
        <v>46056</v>
      </c>
      <c r="C66" s="2">
        <f t="shared" si="3"/>
        <v>2340.1308499999977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-250.01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v>0</v>
      </c>
      <c r="AM66" s="2"/>
      <c r="AN66" s="490">
        <f t="shared" si="1"/>
        <v>2090.1208499999975</v>
      </c>
    </row>
    <row r="67" spans="2:40" ht="15" customHeight="1">
      <c r="B67" s="33">
        <v>46057</v>
      </c>
      <c r="C67" s="2">
        <f t="shared" si="3"/>
        <v>2090.1208499999975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69.52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v>0</v>
      </c>
      <c r="AM67" s="2"/>
      <c r="AN67" s="490">
        <f t="shared" si="1"/>
        <v>2176.3708499999975</v>
      </c>
    </row>
    <row r="68" spans="2:40" ht="15" customHeight="1">
      <c r="B68" s="33">
        <v>46058</v>
      </c>
      <c r="C68" s="2">
        <f t="shared" si="3"/>
        <v>2176.3708499999975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143.63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37.555499999999995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v>0</v>
      </c>
      <c r="AM68" s="2"/>
      <c r="AN68" s="490">
        <f t="shared" si="1"/>
        <v>2374.6163499999975</v>
      </c>
    </row>
    <row r="69" spans="2:40" ht="15" customHeight="1">
      <c r="B69" s="33">
        <v>46059</v>
      </c>
      <c r="C69" s="2">
        <f t="shared" si="3"/>
        <v>2374.6163499999975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236.34000000000003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-15.322199999999981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v>0</v>
      </c>
      <c r="AM69" s="2"/>
      <c r="AN69" s="490">
        <f t="shared" ref="AN69:AN132" si="4">SUM(C69:AM69)</f>
        <v>2595.6341499999976</v>
      </c>
    </row>
    <row r="70" spans="2:40" ht="15" customHeight="1">
      <c r="B70" s="33">
        <v>46060</v>
      </c>
      <c r="C70" s="2">
        <f t="shared" si="3"/>
        <v>2595.6341499999976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203.22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0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56.97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14.93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-149.15299999999996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v>350</v>
      </c>
      <c r="AM70" s="2">
        <v>0.01</v>
      </c>
      <c r="AN70" s="490">
        <f t="shared" si="4"/>
        <v>3091.5011499999973</v>
      </c>
    </row>
    <row r="71" spans="2:40" ht="15" customHeight="1">
      <c r="B71" s="33">
        <v>46061</v>
      </c>
      <c r="C71" s="2">
        <f t="shared" si="3"/>
        <v>3091.5011499999973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35.03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-240.07000000000002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-209.47479999999999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v>0</v>
      </c>
      <c r="AM71" s="2">
        <v>-0.01</v>
      </c>
      <c r="AN71" s="490">
        <f t="shared" si="4"/>
        <v>2472.886349999997</v>
      </c>
    </row>
    <row r="72" spans="2:40" ht="15" customHeight="1">
      <c r="B72" s="33">
        <v>46062</v>
      </c>
      <c r="C72" s="2">
        <f t="shared" si="3"/>
        <v>2472.886349999997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0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45.3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111.38919999999999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v>0</v>
      </c>
      <c r="AM72" s="2">
        <v>0.01</v>
      </c>
      <c r="AN72" s="490">
        <f t="shared" si="4"/>
        <v>2715.2643499999976</v>
      </c>
    </row>
    <row r="73" spans="2:40" ht="15" customHeight="1">
      <c r="B73" s="33">
        <v>46063</v>
      </c>
      <c r="C73" s="2">
        <f t="shared" si="3"/>
        <v>2715.2643499999976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98.019999999999982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83.958449999999999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v>0</v>
      </c>
      <c r="AM73" s="2">
        <v>0.01</v>
      </c>
      <c r="AN73" s="490">
        <f t="shared" si="4"/>
        <v>3018.482799999998</v>
      </c>
    </row>
    <row r="74" spans="2:40" ht="15" customHeight="1">
      <c r="B74" s="33">
        <v>46064</v>
      </c>
      <c r="C74" s="2">
        <f t="shared" si="3"/>
        <v>3018.482799999998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-139.78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0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-121.58000000000001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138.05539999999999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v>0</v>
      </c>
      <c r="AM74" s="2">
        <v>-0.02</v>
      </c>
      <c r="AN74" s="490">
        <f t="shared" si="4"/>
        <v>2867.928199999998</v>
      </c>
    </row>
    <row r="75" spans="2:40" ht="15" customHeight="1">
      <c r="B75" s="33">
        <v>46065</v>
      </c>
      <c r="C75" s="2">
        <f t="shared" si="3"/>
        <v>2867.928199999998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0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-92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-21.3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v>0</v>
      </c>
      <c r="AM75" s="2">
        <v>-0.01</v>
      </c>
      <c r="AN75" s="490">
        <f t="shared" si="4"/>
        <v>2738.0881999999974</v>
      </c>
    </row>
    <row r="76" spans="2:40" ht="15" customHeight="1">
      <c r="B76" s="33">
        <v>46066</v>
      </c>
      <c r="C76" s="2">
        <f t="shared" si="3"/>
        <v>2738.0881999999974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0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-271.87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10.380849999999999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128.97710000000001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v>0</v>
      </c>
      <c r="AM76" s="2">
        <v>0.01</v>
      </c>
      <c r="AN76" s="490">
        <f t="shared" si="4"/>
        <v>2615.9669999999978</v>
      </c>
    </row>
    <row r="77" spans="2:40" ht="15" customHeight="1">
      <c r="B77" s="33">
        <v>46067</v>
      </c>
      <c r="C77" s="2">
        <f t="shared" si="3"/>
        <v>2615.9669999999978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61.179999999999993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0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246.13000000000002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25.78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v>0</v>
      </c>
      <c r="AM77" s="2">
        <v>-0.01</v>
      </c>
      <c r="AN77" s="490">
        <f t="shared" si="4"/>
        <v>2971.9969999999976</v>
      </c>
    </row>
    <row r="78" spans="2:40" ht="15" customHeight="1">
      <c r="B78" s="33">
        <v>46068</v>
      </c>
      <c r="C78" s="2">
        <f t="shared" si="3"/>
        <v>2971.9969999999976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0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-50.75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-360.56699999999989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v>0</v>
      </c>
      <c r="AM78" s="2">
        <v>0.01</v>
      </c>
      <c r="AN78" s="490">
        <f t="shared" si="4"/>
        <v>2580.3599999999979</v>
      </c>
    </row>
    <row r="79" spans="2:40" ht="15" customHeight="1">
      <c r="B79" s="33">
        <v>46069</v>
      </c>
      <c r="C79" s="2">
        <f t="shared" si="3"/>
        <v>2580.3599999999979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0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58.06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29.11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v>0</v>
      </c>
      <c r="AM79" s="2"/>
      <c r="AN79" s="490">
        <f t="shared" si="4"/>
        <v>2675.6699999999978</v>
      </c>
    </row>
    <row r="80" spans="2:40" ht="15" customHeight="1">
      <c r="B80" s="33">
        <v>46070</v>
      </c>
      <c r="C80" s="2">
        <f t="shared" si="3"/>
        <v>2675.6699999999978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v>0</v>
      </c>
      <c r="AM80" s="2"/>
      <c r="AN80" s="490">
        <f t="shared" si="4"/>
        <v>2707.0599999999977</v>
      </c>
    </row>
    <row r="81" spans="2:40" ht="15" customHeight="1">
      <c r="B81" s="33">
        <v>46071</v>
      </c>
      <c r="C81" s="2">
        <f t="shared" si="3"/>
        <v>2707.0599999999977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0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126.82000000000001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10.7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v>0</v>
      </c>
      <c r="AM81" s="2"/>
      <c r="AN81" s="490">
        <f t="shared" si="4"/>
        <v>2859.5099999999975</v>
      </c>
    </row>
    <row r="82" spans="2:40" ht="15" customHeight="1">
      <c r="B82" s="33">
        <v>46072</v>
      </c>
      <c r="C82" s="2">
        <f t="shared" si="3"/>
        <v>2859.5099999999975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-105.23000000000002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v>0</v>
      </c>
      <c r="AM82" s="2">
        <v>-0.01</v>
      </c>
      <c r="AN82" s="490">
        <f t="shared" si="4"/>
        <v>2754.2699999999973</v>
      </c>
    </row>
    <row r="83" spans="2:40" ht="15" customHeight="1">
      <c r="B83" s="33">
        <v>46073</v>
      </c>
      <c r="C83" s="2">
        <f t="shared" ref="C83:C113" si="5">AN82</f>
        <v>2754.2699999999973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52.170000000000016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143.77870000000001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v>0</v>
      </c>
      <c r="AM83" s="2"/>
      <c r="AN83" s="490">
        <f t="shared" si="4"/>
        <v>2954.6386999999972</v>
      </c>
    </row>
    <row r="84" spans="2:40" ht="15" customHeight="1">
      <c r="B84" s="33">
        <v>46074</v>
      </c>
      <c r="C84" s="2">
        <f t="shared" si="5"/>
        <v>2954.6386999999972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-40.510000000000005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0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263.8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14.05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v>0</v>
      </c>
      <c r="AM84" s="2">
        <v>-0.01</v>
      </c>
      <c r="AN84" s="490">
        <f t="shared" si="4"/>
        <v>3253.0386999999973</v>
      </c>
    </row>
    <row r="85" spans="2:40" ht="15" customHeight="1">
      <c r="B85" s="33">
        <v>46075</v>
      </c>
      <c r="C85" s="2">
        <f t="shared" si="5"/>
        <v>3253.0386999999973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-52.029999999999987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0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-120.82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10.85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5.1399999999999944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v>0</v>
      </c>
      <c r="AM85" s="2"/>
      <c r="AN85" s="490">
        <f t="shared" si="4"/>
        <v>3117.8086999999969</v>
      </c>
    </row>
    <row r="86" spans="2:40" ht="15" customHeight="1">
      <c r="B86" s="33">
        <v>46076</v>
      </c>
      <c r="C86" s="2">
        <f t="shared" si="5"/>
        <v>3117.8086999999969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59.67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v>0</v>
      </c>
      <c r="AM86" s="2">
        <v>-0.02</v>
      </c>
      <c r="AN86" s="490">
        <f t="shared" si="4"/>
        <v>3221.668699999997</v>
      </c>
    </row>
    <row r="87" spans="2:40" ht="15" customHeight="1">
      <c r="B87" s="33">
        <v>46077</v>
      </c>
      <c r="C87" s="2">
        <f t="shared" si="5"/>
        <v>3221.668699999997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-175.27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128.35120000000001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v>0</v>
      </c>
      <c r="AM87" s="2"/>
      <c r="AN87" s="490">
        <f t="shared" si="4"/>
        <v>3174.7498999999971</v>
      </c>
    </row>
    <row r="88" spans="2:40" ht="15" customHeight="1">
      <c r="B88" s="33">
        <v>46078</v>
      </c>
      <c r="C88" s="2">
        <f t="shared" si="5"/>
        <v>3174.7498999999971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-96.01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v>0</v>
      </c>
      <c r="AM88" s="2">
        <v>-0.01</v>
      </c>
      <c r="AN88" s="490">
        <f t="shared" si="4"/>
        <v>3078.7298999999966</v>
      </c>
    </row>
    <row r="89" spans="2:40" ht="15" customHeight="1">
      <c r="B89" s="33">
        <v>46079</v>
      </c>
      <c r="C89" s="2">
        <f t="shared" si="5"/>
        <v>3078.7298999999966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-196.51855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v>0</v>
      </c>
      <c r="AM89" s="2"/>
      <c r="AN89" s="490">
        <f t="shared" si="4"/>
        <v>2907.8313499999967</v>
      </c>
    </row>
    <row r="90" spans="2:40" ht="15" customHeight="1">
      <c r="B90" s="33">
        <v>46080</v>
      </c>
      <c r="C90" s="2">
        <f t="shared" si="5"/>
        <v>2907.8313499999967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86.089999999999989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220.79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v>0</v>
      </c>
      <c r="AM90" s="2"/>
      <c r="AN90" s="490">
        <f t="shared" si="4"/>
        <v>3214.7113499999969</v>
      </c>
    </row>
    <row r="91" spans="2:40" ht="15" customHeight="1">
      <c r="B91" s="33">
        <v>46081</v>
      </c>
      <c r="C91" s="2">
        <f t="shared" si="5"/>
        <v>3214.7113499999969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-65.690000000000012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0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-100.50999999999999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v>0</v>
      </c>
      <c r="AM91" s="2"/>
      <c r="AN91" s="490">
        <f t="shared" si="4"/>
        <v>2912.4913499999966</v>
      </c>
    </row>
    <row r="92" spans="2:40" ht="15" customHeight="1">
      <c r="B92" s="33">
        <v>46082</v>
      </c>
      <c r="C92" s="2">
        <f t="shared" si="5"/>
        <v>2912.4913499999966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-187.43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0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-18.260000000000005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v>250</v>
      </c>
      <c r="AM92" s="2">
        <v>-0.02</v>
      </c>
      <c r="AN92" s="490">
        <f t="shared" si="4"/>
        <v>2984.1413499999967</v>
      </c>
    </row>
    <row r="93" spans="2:40" ht="15" customHeight="1">
      <c r="B93" s="33">
        <v>46083</v>
      </c>
      <c r="C93" s="2">
        <f t="shared" si="5"/>
        <v>2984.1413499999967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v>0</v>
      </c>
      <c r="AM93" s="2"/>
      <c r="AN93" s="490">
        <f t="shared" si="4"/>
        <v>2686.7913499999968</v>
      </c>
    </row>
    <row r="94" spans="2:40" ht="15" customHeight="1">
      <c r="B94" s="33">
        <v>46084</v>
      </c>
      <c r="C94" s="2">
        <f t="shared" si="5"/>
        <v>2686.7913499999968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-180.54000000000002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0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-231.29000000000002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v>0</v>
      </c>
      <c r="AM94" s="2"/>
      <c r="AN94" s="490">
        <f t="shared" si="4"/>
        <v>2113.6313499999969</v>
      </c>
    </row>
    <row r="95" spans="2:40" ht="15" customHeight="1">
      <c r="B95" s="33">
        <v>46085</v>
      </c>
      <c r="C95" s="2">
        <f t="shared" si="5"/>
        <v>2113.6313499999969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145.43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42.83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v>0</v>
      </c>
      <c r="AM95" s="2">
        <v>-0.02</v>
      </c>
      <c r="AN95" s="490">
        <f t="shared" si="4"/>
        <v>2340.5913499999965</v>
      </c>
    </row>
    <row r="96" spans="2:40" ht="15" customHeight="1">
      <c r="B96" s="33">
        <v>46086</v>
      </c>
      <c r="C96" s="2">
        <f t="shared" si="5"/>
        <v>2340.5913499999965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v>0</v>
      </c>
      <c r="AM96" s="2"/>
      <c r="AN96" s="490">
        <f t="shared" si="4"/>
        <v>2340.5913499999965</v>
      </c>
    </row>
    <row r="97" spans="2:40" ht="15" customHeight="1">
      <c r="B97" s="33">
        <v>46087</v>
      </c>
      <c r="C97" s="2">
        <f t="shared" si="5"/>
        <v>2340.5913499999965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0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76.73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v>0</v>
      </c>
      <c r="AM97" s="2">
        <v>0.01</v>
      </c>
      <c r="AN97" s="490">
        <f t="shared" si="4"/>
        <v>2104.6913499999969</v>
      </c>
    </row>
    <row r="98" spans="2:40" ht="15" customHeight="1">
      <c r="B98" s="33">
        <v>46088</v>
      </c>
      <c r="C98" s="2">
        <f t="shared" si="5"/>
        <v>2104.6913499999969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0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54.309999999999988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84.03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v>0</v>
      </c>
      <c r="AM98" s="2"/>
      <c r="AN98" s="490">
        <f t="shared" si="4"/>
        <v>2257.5613499999972</v>
      </c>
    </row>
    <row r="99" spans="2:40" ht="15" customHeight="1">
      <c r="B99" s="33">
        <v>46089</v>
      </c>
      <c r="C99" s="2">
        <f t="shared" si="5"/>
        <v>2257.5613499999972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69.69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0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228.89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v>0</v>
      </c>
      <c r="AM99" s="2">
        <v>-0.01</v>
      </c>
      <c r="AN99" s="490">
        <f t="shared" si="4"/>
        <v>2572.051349999997</v>
      </c>
    </row>
    <row r="100" spans="2:40" ht="15" customHeight="1">
      <c r="B100" s="33">
        <v>46090</v>
      </c>
      <c r="C100" s="2">
        <f t="shared" si="5"/>
        <v>2572.051349999997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v>0</v>
      </c>
      <c r="AM100" s="2"/>
      <c r="AN100" s="490">
        <f t="shared" si="4"/>
        <v>2590.281349999997</v>
      </c>
    </row>
    <row r="101" spans="2:40" ht="15" customHeight="1">
      <c r="B101" s="33">
        <v>46091</v>
      </c>
      <c r="C101" s="2">
        <f t="shared" si="5"/>
        <v>2590.281349999997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0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-39.009999999999991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-34.739999999999995</v>
      </c>
      <c r="Z101" s="2">
        <f>SUMIFS(base[L/P Líquido],base[Data],Extrato!$B101,base[Método],Extrato!Z$3)</f>
        <v>2.1799999999999997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v>0</v>
      </c>
      <c r="AM101" s="2">
        <v>0.01</v>
      </c>
      <c r="AN101" s="490">
        <f t="shared" si="4"/>
        <v>2584.0213499999977</v>
      </c>
    </row>
    <row r="102" spans="2:40" ht="15" customHeight="1">
      <c r="B102" s="33">
        <v>46092</v>
      </c>
      <c r="C102" s="2">
        <f t="shared" si="5"/>
        <v>2584.0213499999977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0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200.58999999999997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v>0</v>
      </c>
      <c r="AM102" s="2"/>
      <c r="AN102" s="490">
        <f t="shared" si="4"/>
        <v>2493.5113499999979</v>
      </c>
    </row>
    <row r="103" spans="2:40" ht="15" customHeight="1">
      <c r="B103" s="33">
        <v>46093</v>
      </c>
      <c r="C103" s="2">
        <f t="shared" si="5"/>
        <v>2493.5113499999979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v>0</v>
      </c>
      <c r="AM103" s="2">
        <v>-0.01</v>
      </c>
      <c r="AN103" s="490">
        <f t="shared" si="4"/>
        <v>2617.7713499999977</v>
      </c>
    </row>
    <row r="104" spans="2:40" ht="15" customHeight="1">
      <c r="B104" s="33">
        <v>46094</v>
      </c>
      <c r="C104" s="2">
        <f t="shared" si="5"/>
        <v>2617.7713499999977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-285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v>0</v>
      </c>
      <c r="AM104" s="2"/>
      <c r="AN104" s="490">
        <f t="shared" si="4"/>
        <v>2374.8713499999976</v>
      </c>
    </row>
    <row r="105" spans="2:40" ht="15" customHeight="1">
      <c r="B105" s="33">
        <v>46095</v>
      </c>
      <c r="C105" s="2">
        <f t="shared" si="5"/>
        <v>2374.8713499999976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0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368.85999999999996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33.67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v>0</v>
      </c>
      <c r="AM105" s="2">
        <v>0.01</v>
      </c>
      <c r="AN105" s="490">
        <f t="shared" si="4"/>
        <v>2858.741349999998</v>
      </c>
    </row>
    <row r="106" spans="2:40" ht="15" customHeight="1">
      <c r="B106" s="33">
        <v>46096</v>
      </c>
      <c r="C106" s="2">
        <f t="shared" si="5"/>
        <v>2858.741349999998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0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-38.49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-405.26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v>0</v>
      </c>
      <c r="AM106" s="2">
        <v>-0.01</v>
      </c>
      <c r="AN106" s="490">
        <f t="shared" si="4"/>
        <v>2434.7513499999977</v>
      </c>
    </row>
    <row r="107" spans="2:40" ht="15" customHeight="1">
      <c r="B107" s="33">
        <v>46097</v>
      </c>
      <c r="C107" s="2">
        <f t="shared" si="5"/>
        <v>2434.7513499999977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73.34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v>0</v>
      </c>
      <c r="AM107" s="2"/>
      <c r="AN107" s="490">
        <f t="shared" si="4"/>
        <v>2508.0913499999979</v>
      </c>
    </row>
    <row r="108" spans="2:40" ht="15" customHeight="1">
      <c r="B108" s="33">
        <v>46098</v>
      </c>
      <c r="C108" s="2">
        <f t="shared" si="5"/>
        <v>2508.0913499999979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0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-132.84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v>0</v>
      </c>
      <c r="AM108" s="2">
        <v>0.01</v>
      </c>
      <c r="AN108" s="490">
        <f t="shared" si="4"/>
        <v>2449.5313499999979</v>
      </c>
    </row>
    <row r="109" spans="2:40" ht="15" customHeight="1">
      <c r="B109" s="33">
        <v>46099</v>
      </c>
      <c r="C109" s="2">
        <f t="shared" si="5"/>
        <v>2449.5313499999979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0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-8.4699999999999989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26.36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v>0</v>
      </c>
      <c r="AM109" s="2">
        <v>-0.01</v>
      </c>
      <c r="AN109" s="490">
        <f t="shared" si="4"/>
        <v>2516.3213499999979</v>
      </c>
    </row>
    <row r="110" spans="2:40" ht="15" customHeight="1">
      <c r="B110" s="33">
        <v>46100</v>
      </c>
      <c r="C110" s="2">
        <f t="shared" si="5"/>
        <v>2516.3213499999979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36.550000000000011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v>0</v>
      </c>
      <c r="AM110" s="2"/>
      <c r="AN110" s="490">
        <f t="shared" si="4"/>
        <v>2552.8713499999981</v>
      </c>
    </row>
    <row r="111" spans="2:40" ht="15" customHeight="1">
      <c r="B111" s="33">
        <v>46101</v>
      </c>
      <c r="C111" s="2">
        <f t="shared" si="5"/>
        <v>2552.8713499999981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0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270.35000000000002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15.08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v>0</v>
      </c>
      <c r="AM111" s="2">
        <v>-0.01</v>
      </c>
      <c r="AN111" s="490">
        <f t="shared" si="4"/>
        <v>2873.6313499999978</v>
      </c>
    </row>
    <row r="112" spans="2:40" ht="15" customHeight="1">
      <c r="B112" s="33">
        <v>46102</v>
      </c>
      <c r="C112" s="2">
        <f t="shared" si="5"/>
        <v>2873.6313499999978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0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211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53.989999999999995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v>0</v>
      </c>
      <c r="AM112" s="2">
        <v>0.01</v>
      </c>
      <c r="AN112" s="490">
        <f t="shared" si="4"/>
        <v>3242.5713499999979</v>
      </c>
    </row>
    <row r="113" spans="2:40" ht="15" customHeight="1">
      <c r="B113" s="33">
        <v>46103</v>
      </c>
      <c r="C113" s="2">
        <f t="shared" si="5"/>
        <v>3242.5713499999979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0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112.76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-299.93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v>0</v>
      </c>
      <c r="AM113" s="2">
        <v>0.01</v>
      </c>
      <c r="AN113" s="490">
        <f t="shared" si="4"/>
        <v>3286.6413499999985</v>
      </c>
    </row>
    <row r="114" spans="2:40" ht="15" customHeight="1">
      <c r="B114" s="33">
        <v>46104</v>
      </c>
      <c r="C114" s="2">
        <f t="shared" ref="C114:C122" si="6">AN113</f>
        <v>3286.6413499999985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v>0</v>
      </c>
      <c r="AM114" s="2"/>
      <c r="AN114" s="490">
        <f t="shared" si="4"/>
        <v>3286.6413499999985</v>
      </c>
    </row>
    <row r="115" spans="2:40" ht="15" customHeight="1">
      <c r="B115" s="33">
        <v>46105</v>
      </c>
      <c r="C115" s="2">
        <f t="shared" si="6"/>
        <v>3286.6413499999985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v>0</v>
      </c>
      <c r="AM115" s="2"/>
      <c r="AN115" s="490">
        <f t="shared" si="4"/>
        <v>3286.6413499999985</v>
      </c>
    </row>
    <row r="116" spans="2:40" ht="15" customHeight="1">
      <c r="B116" s="33">
        <v>46106</v>
      </c>
      <c r="C116" s="2">
        <f t="shared" si="6"/>
        <v>3286.6413499999985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v>0</v>
      </c>
      <c r="AM116" s="2"/>
      <c r="AN116" s="490">
        <f t="shared" si="4"/>
        <v>3286.6413499999985</v>
      </c>
    </row>
    <row r="117" spans="2:40" ht="15" customHeight="1">
      <c r="B117" s="33">
        <v>46107</v>
      </c>
      <c r="C117" s="2">
        <f t="shared" si="6"/>
        <v>3286.6413499999985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v>0</v>
      </c>
      <c r="AM117" s="2"/>
      <c r="AN117" s="490">
        <f t="shared" si="4"/>
        <v>3286.6413499999985</v>
      </c>
    </row>
    <row r="118" spans="2:40" ht="15" customHeight="1">
      <c r="B118" s="33">
        <v>46108</v>
      </c>
      <c r="C118" s="2">
        <f t="shared" si="6"/>
        <v>3286.6413499999985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v>0</v>
      </c>
      <c r="AM118" s="2"/>
      <c r="AN118" s="490">
        <f t="shared" si="4"/>
        <v>3286.6413499999985</v>
      </c>
    </row>
    <row r="119" spans="2:40" ht="15" customHeight="1">
      <c r="B119" s="33">
        <v>46109</v>
      </c>
      <c r="C119" s="2">
        <f t="shared" si="6"/>
        <v>3286.6413499999985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v>0</v>
      </c>
      <c r="AM119" s="2"/>
      <c r="AN119" s="490">
        <f t="shared" si="4"/>
        <v>3305.7413499999984</v>
      </c>
    </row>
    <row r="120" spans="2:40" ht="15" customHeight="1">
      <c r="B120" s="33">
        <v>46110</v>
      </c>
      <c r="C120" s="2">
        <f t="shared" si="6"/>
        <v>3305.7413499999984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v>0</v>
      </c>
      <c r="AM120" s="2"/>
      <c r="AN120" s="490">
        <f t="shared" si="4"/>
        <v>3305.7413499999984</v>
      </c>
    </row>
    <row r="121" spans="2:40" ht="15" customHeight="1">
      <c r="B121" s="33">
        <v>46111</v>
      </c>
      <c r="C121" s="2">
        <f t="shared" si="6"/>
        <v>3305.7413499999984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v>0</v>
      </c>
      <c r="AM121" s="2"/>
      <c r="AN121" s="490">
        <f t="shared" si="4"/>
        <v>3305.7413499999984</v>
      </c>
    </row>
    <row r="122" spans="2:40" ht="15" customHeight="1">
      <c r="B122" s="33">
        <v>46112</v>
      </c>
      <c r="C122" s="2">
        <f t="shared" si="6"/>
        <v>3305.7413499999984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-95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v>0</v>
      </c>
      <c r="AM122" s="2"/>
      <c r="AN122" s="490">
        <f t="shared" si="4"/>
        <v>3210.7413499999984</v>
      </c>
    </row>
    <row r="123" spans="2:40" ht="15" customHeight="1">
      <c r="B123" s="33">
        <v>46113</v>
      </c>
      <c r="C123" s="2">
        <f t="shared" ref="C123:C154" si="7">AN122</f>
        <v>3210.7413499999984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9.3100000000000023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v>350</v>
      </c>
      <c r="AM123" s="2"/>
      <c r="AN123" s="490">
        <f t="shared" si="4"/>
        <v>3574.7513499999982</v>
      </c>
    </row>
    <row r="124" spans="2:40" ht="15" customHeight="1">
      <c r="B124" s="33">
        <v>46114</v>
      </c>
      <c r="C124" s="2">
        <f t="shared" si="7"/>
        <v>3574.7513499999982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0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163.32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v>0</v>
      </c>
      <c r="AM124" s="2"/>
      <c r="AN124" s="490">
        <f t="shared" si="4"/>
        <v>3825.6113499999983</v>
      </c>
    </row>
    <row r="125" spans="2:40" ht="15" customHeight="1">
      <c r="B125" s="33">
        <v>46115</v>
      </c>
      <c r="C125" s="2">
        <f t="shared" si="7"/>
        <v>3825.6113499999983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0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68.48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v>0</v>
      </c>
      <c r="AM125" s="2"/>
      <c r="AN125" s="490">
        <f t="shared" si="4"/>
        <v>3953.7113499999982</v>
      </c>
    </row>
    <row r="126" spans="2:40" ht="15" customHeight="1">
      <c r="B126" s="33">
        <v>46116</v>
      </c>
      <c r="C126" s="2">
        <f t="shared" si="7"/>
        <v>3953.7113499999982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0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-257.5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v>0</v>
      </c>
      <c r="AM126" s="2">
        <v>-0.01</v>
      </c>
      <c r="AN126" s="490">
        <f t="shared" si="4"/>
        <v>3808.6913499999978</v>
      </c>
    </row>
    <row r="127" spans="2:40" ht="15" customHeight="1">
      <c r="B127" s="33">
        <v>46117</v>
      </c>
      <c r="C127" s="2">
        <f t="shared" si="7"/>
        <v>3808.6913499999978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109.08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87.85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v>0</v>
      </c>
      <c r="AM127" s="2">
        <v>-0.01</v>
      </c>
      <c r="AN127" s="490">
        <f t="shared" si="4"/>
        <v>4005.6113499999974</v>
      </c>
    </row>
    <row r="128" spans="2:40" ht="15" customHeight="1">
      <c r="B128" s="33">
        <v>46118</v>
      </c>
      <c r="C128" s="2">
        <f t="shared" si="7"/>
        <v>4005.6113499999974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-315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-18.589999999999996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v>0</v>
      </c>
      <c r="AM128" s="2"/>
      <c r="AN128" s="490">
        <f t="shared" si="4"/>
        <v>3709.1613499999971</v>
      </c>
    </row>
    <row r="129" spans="2:40" ht="15" customHeight="1">
      <c r="B129" s="33">
        <v>46119</v>
      </c>
      <c r="C129" s="2">
        <f t="shared" si="7"/>
        <v>3709.1613499999971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-18.5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40.81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v>0</v>
      </c>
      <c r="AM129" s="2"/>
      <c r="AN129" s="490">
        <f t="shared" si="4"/>
        <v>3765.321349999997</v>
      </c>
    </row>
    <row r="130" spans="2:40" ht="15" customHeight="1">
      <c r="B130" s="33">
        <v>46120</v>
      </c>
      <c r="C130" s="2">
        <f t="shared" si="7"/>
        <v>3765.321349999997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-89.47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33.83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v>0</v>
      </c>
      <c r="AM130" s="2">
        <v>-0.01</v>
      </c>
      <c r="AN130" s="490">
        <f t="shared" si="4"/>
        <v>3741.8413499999965</v>
      </c>
    </row>
    <row r="131" spans="2:40" ht="15" customHeight="1">
      <c r="B131" s="33">
        <v>46121</v>
      </c>
      <c r="C131" s="2">
        <f t="shared" si="7"/>
        <v>3741.8413499999965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51.73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v>0</v>
      </c>
      <c r="AM131" s="2"/>
      <c r="AN131" s="490">
        <f t="shared" si="4"/>
        <v>3793.5713499999965</v>
      </c>
    </row>
    <row r="132" spans="2:40" ht="15" customHeight="1">
      <c r="B132" s="33">
        <v>46122</v>
      </c>
      <c r="C132" s="2">
        <f t="shared" si="7"/>
        <v>3793.5713499999965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0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-81.639999999999986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-100.99000000000001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v>0</v>
      </c>
      <c r="AM132" s="2">
        <v>-0.01</v>
      </c>
      <c r="AN132" s="490">
        <f t="shared" si="4"/>
        <v>3727.0013499999968</v>
      </c>
    </row>
    <row r="133" spans="2:40" ht="15" customHeight="1">
      <c r="B133" s="33">
        <v>46123</v>
      </c>
      <c r="C133" s="2">
        <f t="shared" si="7"/>
        <v>3727.0013499999968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0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-121.79999999999997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v>0</v>
      </c>
      <c r="AM133" s="2">
        <v>-0.01</v>
      </c>
      <c r="AN133" s="490">
        <f t="shared" ref="AN133:AN196" si="8">SUM(C133:AM133)</f>
        <v>2975.1813499999962</v>
      </c>
    </row>
    <row r="134" spans="2:40" ht="15" customHeight="1">
      <c r="B134" s="33">
        <v>46124</v>
      </c>
      <c r="C134" s="2">
        <f t="shared" si="7"/>
        <v>2975.1813499999962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0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-339.93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v>0</v>
      </c>
      <c r="AM134" s="2">
        <v>0.01</v>
      </c>
      <c r="AN134" s="490">
        <f t="shared" si="8"/>
        <v>2802.8613499999969</v>
      </c>
    </row>
    <row r="135" spans="2:40" ht="15" customHeight="1">
      <c r="B135" s="33">
        <v>46125</v>
      </c>
      <c r="C135" s="2">
        <f t="shared" si="7"/>
        <v>2802.8613499999969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v>0</v>
      </c>
      <c r="AM135" s="2"/>
      <c r="AN135" s="490">
        <f t="shared" si="8"/>
        <v>2452.8613499999969</v>
      </c>
    </row>
    <row r="136" spans="2:40" ht="15" customHeight="1">
      <c r="B136" s="33">
        <v>46126</v>
      </c>
      <c r="C136" s="2">
        <f t="shared" si="7"/>
        <v>2452.8613499999969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-10.01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24.49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v>0</v>
      </c>
      <c r="AM136" s="2">
        <v>-0.01</v>
      </c>
      <c r="AN136" s="490">
        <f t="shared" si="8"/>
        <v>2487.4113499999962</v>
      </c>
    </row>
    <row r="137" spans="2:40" ht="15" customHeight="1">
      <c r="B137" s="33">
        <v>46127</v>
      </c>
      <c r="C137" s="2">
        <f t="shared" si="7"/>
        <v>2487.4113499999962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v>0</v>
      </c>
      <c r="AM137" s="2">
        <v>0.01</v>
      </c>
      <c r="AN137" s="490">
        <f t="shared" si="8"/>
        <v>2508.2313499999964</v>
      </c>
    </row>
    <row r="138" spans="2:40" ht="15" customHeight="1">
      <c r="B138" s="33">
        <v>46128</v>
      </c>
      <c r="C138" s="2">
        <f t="shared" si="7"/>
        <v>2508.2313499999964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v>0</v>
      </c>
      <c r="AM138" s="2"/>
      <c r="AN138" s="490">
        <f t="shared" si="8"/>
        <v>2587.6313499999965</v>
      </c>
    </row>
    <row r="139" spans="2:40" ht="15" customHeight="1">
      <c r="B139" s="33">
        <v>46129</v>
      </c>
      <c r="C139" s="2">
        <f t="shared" si="7"/>
        <v>2587.6313499999965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119.45985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83.37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15.91985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v>0</v>
      </c>
      <c r="AM139" s="2">
        <v>-0.01</v>
      </c>
      <c r="AN139" s="490">
        <f t="shared" si="8"/>
        <v>2779.1210499999966</v>
      </c>
    </row>
    <row r="140" spans="2:40" ht="15" customHeight="1">
      <c r="B140" s="33">
        <v>46130</v>
      </c>
      <c r="C140" s="2">
        <f t="shared" si="7"/>
        <v>2779.1210499999966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v>0</v>
      </c>
      <c r="AM140" s="2"/>
      <c r="AN140" s="490">
        <f t="shared" si="8"/>
        <v>3113.9610499999967</v>
      </c>
    </row>
    <row r="141" spans="2:40" ht="15" customHeight="1">
      <c r="B141" s="33">
        <v>46131</v>
      </c>
      <c r="C141" s="2">
        <f t="shared" si="7"/>
        <v>3113.9610499999967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33.61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-80.510000000000005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v>0</v>
      </c>
      <c r="AM141" s="2"/>
      <c r="AN141" s="490">
        <f t="shared" si="8"/>
        <v>3249.9110499999965</v>
      </c>
    </row>
    <row r="142" spans="2:40" ht="15" customHeight="1">
      <c r="B142" s="33">
        <v>46132</v>
      </c>
      <c r="C142" s="2">
        <f t="shared" si="7"/>
        <v>3249.9110499999965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v>0</v>
      </c>
      <c r="AM142" s="2"/>
      <c r="AN142" s="490">
        <f t="shared" si="8"/>
        <v>3195.5910499999964</v>
      </c>
    </row>
    <row r="143" spans="2:40" ht="15" customHeight="1">
      <c r="B143" s="33">
        <v>46133</v>
      </c>
      <c r="C143" s="2">
        <f t="shared" si="7"/>
        <v>3195.5910499999964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14.04805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v>0</v>
      </c>
      <c r="AM143" s="2">
        <v>-0.01</v>
      </c>
      <c r="AN143" s="490">
        <f t="shared" si="8"/>
        <v>3395.279049999996</v>
      </c>
    </row>
    <row r="144" spans="2:40" ht="15" customHeight="1">
      <c r="B144" s="33">
        <v>46134</v>
      </c>
      <c r="C144" s="2">
        <f t="shared" si="7"/>
        <v>3395.279049999996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142.9701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-504.96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22.738549999999996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v>0</v>
      </c>
      <c r="AM144" s="2"/>
      <c r="AN144" s="490">
        <f t="shared" si="8"/>
        <v>2794.9376999999963</v>
      </c>
    </row>
    <row r="145" spans="2:70" ht="15" customHeight="1">
      <c r="B145" s="33">
        <v>46135</v>
      </c>
      <c r="C145" s="2">
        <f t="shared" si="7"/>
        <v>2794.9376999999963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v>0</v>
      </c>
      <c r="AM145" s="2">
        <v>0.02</v>
      </c>
      <c r="AN145" s="490">
        <f t="shared" si="8"/>
        <v>2807.3576999999964</v>
      </c>
    </row>
    <row r="146" spans="2:70" ht="15" customHeight="1">
      <c r="B146" s="33">
        <v>46136</v>
      </c>
      <c r="C146" s="2">
        <f t="shared" si="7"/>
        <v>2807.3576999999964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167.56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v>0</v>
      </c>
      <c r="AM146" s="2"/>
      <c r="AN146" s="490">
        <f t="shared" si="8"/>
        <v>2747.3176999999964</v>
      </c>
    </row>
    <row r="147" spans="2:70" ht="15" customHeight="1">
      <c r="B147" s="33">
        <v>46137</v>
      </c>
      <c r="C147" s="2">
        <f t="shared" si="7"/>
        <v>2747.3176999999964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178.1994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50.62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35.7224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v>0</v>
      </c>
      <c r="AM147" s="2"/>
      <c r="AN147" s="490">
        <f t="shared" si="8"/>
        <v>2964.3217499999964</v>
      </c>
    </row>
    <row r="148" spans="2:70" ht="15" customHeight="1">
      <c r="B148" s="33">
        <v>46138</v>
      </c>
      <c r="C148" s="2">
        <f t="shared" si="7"/>
        <v>2964.3217499999964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177.05314999999999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39.200000000000003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19.49155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v>0</v>
      </c>
      <c r="AM148" s="2">
        <v>0.01</v>
      </c>
      <c r="AN148" s="490">
        <f t="shared" si="8"/>
        <v>3189.7064499999969</v>
      </c>
    </row>
    <row r="149" spans="2:70" ht="15" customHeight="1">
      <c r="B149" s="33">
        <v>46139</v>
      </c>
      <c r="C149" s="2">
        <f t="shared" si="7"/>
        <v>3189.7064499999969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v>0</v>
      </c>
      <c r="AM149" s="2">
        <v>0.01</v>
      </c>
      <c r="AN149" s="490">
        <f t="shared" si="8"/>
        <v>3191.1379499999971</v>
      </c>
    </row>
    <row r="150" spans="2:70" ht="15" customHeight="1">
      <c r="B150" s="33">
        <v>46140</v>
      </c>
      <c r="C150" s="2">
        <f t="shared" si="7"/>
        <v>3191.1379499999971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20.95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29.84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v>0</v>
      </c>
      <c r="AM150" s="2">
        <v>0.01</v>
      </c>
      <c r="AN150" s="490">
        <f t="shared" si="8"/>
        <v>3179.9179499999968</v>
      </c>
      <c r="AP150" s="2">
        <v>1000</v>
      </c>
      <c r="AQ150" s="2"/>
      <c r="AR150" s="2"/>
      <c r="AS150" s="2"/>
      <c r="AT150" s="2"/>
      <c r="AU150" s="2"/>
      <c r="AV150" s="2">
        <f>SUMIF(BetFlow!B:B,Extrato!B150,BetFlow!M:M)</f>
        <v>14.260230000000002</v>
      </c>
      <c r="AW150" s="2"/>
      <c r="AX150" s="2"/>
      <c r="AY150" s="2"/>
      <c r="AZ150" s="2"/>
      <c r="BA150" s="2"/>
      <c r="BB150" s="2"/>
      <c r="BC150" s="2"/>
      <c r="BD150" s="2"/>
      <c r="BE150" s="2">
        <v>0</v>
      </c>
      <c r="BF150" s="2">
        <v>-0.05</v>
      </c>
      <c r="BG150" s="490">
        <f t="shared" ref="BG150:BG181" si="9">SUM(AP150:BF150)</f>
        <v>1014.21023</v>
      </c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2:70" ht="15" customHeight="1">
      <c r="B151" s="33">
        <v>46141</v>
      </c>
      <c r="C151" s="2">
        <f t="shared" si="7"/>
        <v>3179.9179499999968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v>0</v>
      </c>
      <c r="AM151" s="2">
        <v>0.01</v>
      </c>
      <c r="AN151" s="490">
        <f t="shared" si="8"/>
        <v>3238.991549999997</v>
      </c>
      <c r="AP151" s="2">
        <f t="shared" ref="AP151:AP162" si="10">BG150</f>
        <v>1014.21023</v>
      </c>
      <c r="AQ151" s="2"/>
      <c r="AR151" s="2"/>
      <c r="AS151" s="2"/>
      <c r="AT151" s="2"/>
      <c r="AU151" s="2"/>
      <c r="AV151" s="2">
        <f>SUMIF(BetFlow!B:B,Extrato!B151,BetFlow!M:M)</f>
        <v>-20.29</v>
      </c>
      <c r="AW151" s="2"/>
      <c r="AX151" s="2"/>
      <c r="AY151" s="2"/>
      <c r="AZ151" s="2"/>
      <c r="BA151" s="2"/>
      <c r="BB151" s="2"/>
      <c r="BC151" s="2"/>
      <c r="BD151" s="2"/>
      <c r="BE151" s="2">
        <v>0</v>
      </c>
      <c r="BF151" s="2">
        <v>0</v>
      </c>
      <c r="BG151" s="490">
        <f t="shared" si="9"/>
        <v>993.92023000000006</v>
      </c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2:70" ht="15" customHeight="1">
      <c r="B152" s="33">
        <v>46142</v>
      </c>
      <c r="C152" s="2">
        <f t="shared" si="7"/>
        <v>3238.991549999997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20.059999999999999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v>630</v>
      </c>
      <c r="AM152" s="2">
        <v>-0.02</v>
      </c>
      <c r="AN152" s="490">
        <f t="shared" si="8"/>
        <v>3874.0367499999966</v>
      </c>
      <c r="AP152" s="2">
        <f t="shared" si="10"/>
        <v>993.92023000000006</v>
      </c>
      <c r="AQ152" s="2"/>
      <c r="AR152" s="2"/>
      <c r="AS152" s="2"/>
      <c r="AT152" s="2"/>
      <c r="AU152" s="2"/>
      <c r="AV152" s="2">
        <f>SUMIF(BetFlow!B:B,Extrato!B152,BetFlow!M:M)</f>
        <v>24.810108</v>
      </c>
      <c r="AW152" s="2"/>
      <c r="AX152" s="2"/>
      <c r="AY152" s="2"/>
      <c r="AZ152" s="2"/>
      <c r="BA152" s="2"/>
      <c r="BB152" s="2"/>
      <c r="BC152" s="2"/>
      <c r="BD152" s="2"/>
      <c r="BE152" s="2">
        <v>0</v>
      </c>
      <c r="BF152" s="2">
        <v>0</v>
      </c>
      <c r="BG152" s="490">
        <f t="shared" si="9"/>
        <v>1018.7303380000001</v>
      </c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2:70" ht="15" customHeight="1">
      <c r="B153" s="33">
        <v>46143</v>
      </c>
      <c r="C153" s="2">
        <f t="shared" si="7"/>
        <v>3874.0367499999966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-267.02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v>0</v>
      </c>
      <c r="AM153" s="2">
        <v>0</v>
      </c>
      <c r="AN153" s="490">
        <f t="shared" si="8"/>
        <v>3678.6169499999965</v>
      </c>
      <c r="AP153" s="2">
        <f t="shared" si="10"/>
        <v>1018.7303380000001</v>
      </c>
      <c r="AQ153" s="2"/>
      <c r="AR153" s="2"/>
      <c r="AS153" s="2"/>
      <c r="AT153" s="2"/>
      <c r="AU153" s="2"/>
      <c r="AV153" s="2">
        <f>SUMIF(BetFlow!B:B,Extrato!B153,BetFlow!M:M)</f>
        <v>8.2466128000000083</v>
      </c>
      <c r="AW153" s="2"/>
      <c r="AX153" s="2"/>
      <c r="AY153" s="2"/>
      <c r="AZ153" s="2"/>
      <c r="BA153" s="2"/>
      <c r="BB153" s="2"/>
      <c r="BC153" s="2"/>
      <c r="BD153" s="2"/>
      <c r="BE153" s="2">
        <v>0</v>
      </c>
      <c r="BF153" s="2">
        <v>-0.01</v>
      </c>
      <c r="BG153" s="490">
        <f t="shared" si="9"/>
        <v>1026.9669508000002</v>
      </c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2:70" ht="15" customHeight="1">
      <c r="B154" s="33">
        <v>46144</v>
      </c>
      <c r="C154" s="2">
        <f t="shared" si="7"/>
        <v>3678.6169499999965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-181.48839999999998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0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-230.47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60.31</v>
      </c>
      <c r="Z154" s="2">
        <f>SUMIFS(base[L/P Líquido],base[Data],Extrato!$B154,base[Método],Extrato!Z$3)</f>
        <v>12.37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-87.756900000000002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v>0</v>
      </c>
      <c r="AM154" s="2">
        <v>-0.02</v>
      </c>
      <c r="AN154" s="490">
        <f t="shared" si="8"/>
        <v>3889.0680999999959</v>
      </c>
      <c r="AP154" s="2">
        <f t="shared" si="10"/>
        <v>1026.9669508000002</v>
      </c>
      <c r="AQ154" s="2"/>
      <c r="AR154" s="2"/>
      <c r="AS154" s="2"/>
      <c r="AT154" s="2"/>
      <c r="AU154" s="2"/>
      <c r="AV154" s="2">
        <f>SUMIF(BetFlow!B:B,Extrato!B154,BetFlow!M:M)</f>
        <v>-495.80295579280005</v>
      </c>
      <c r="AW154" s="2"/>
      <c r="AX154" s="2"/>
      <c r="AY154" s="2"/>
      <c r="AZ154" s="2"/>
      <c r="BA154" s="2"/>
      <c r="BB154" s="2"/>
      <c r="BC154" s="2"/>
      <c r="BD154" s="2"/>
      <c r="BE154" s="2">
        <v>50</v>
      </c>
      <c r="BF154" s="2">
        <v>0.01</v>
      </c>
      <c r="BG154" s="490">
        <f t="shared" si="9"/>
        <v>581.17399500720012</v>
      </c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2:70" ht="15" customHeight="1">
      <c r="B155" s="33">
        <v>46145</v>
      </c>
      <c r="C155" s="2">
        <f t="shared" ref="C155:C183" si="11">AN154</f>
        <v>3889.0680999999959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-237.49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0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78.09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-51.78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v>0</v>
      </c>
      <c r="AM155" s="2">
        <v>0.01</v>
      </c>
      <c r="AN155" s="490">
        <f t="shared" si="8"/>
        <v>3705.9265999999961</v>
      </c>
      <c r="AP155" s="2">
        <f t="shared" si="10"/>
        <v>581.17399500720012</v>
      </c>
      <c r="AQ155" s="2"/>
      <c r="AR155" s="2"/>
      <c r="AS155" s="2"/>
      <c r="AT155" s="2"/>
      <c r="AU155" s="2"/>
      <c r="AV155" s="2">
        <f>SUMIF(BetFlow!B:B,Extrato!B155,BetFlow!M:M)</f>
        <v>108.445626992</v>
      </c>
      <c r="AW155" s="2"/>
      <c r="AX155" s="2"/>
      <c r="AY155" s="2"/>
      <c r="AZ155" s="2"/>
      <c r="BA155" s="2"/>
      <c r="BB155" s="2"/>
      <c r="BC155" s="2"/>
      <c r="BD155" s="2"/>
      <c r="BE155" s="2">
        <v>0</v>
      </c>
      <c r="BF155" s="2">
        <v>0</v>
      </c>
      <c r="BG155" s="490">
        <f t="shared" si="9"/>
        <v>689.61962199920015</v>
      </c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2:70" ht="15" customHeight="1">
      <c r="B156" s="33">
        <v>46146</v>
      </c>
      <c r="C156" s="2">
        <f t="shared" si="11"/>
        <v>3705.9265999999961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49.05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24.4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v>0</v>
      </c>
      <c r="AM156" s="2">
        <v>0</v>
      </c>
      <c r="AN156" s="490">
        <f t="shared" si="8"/>
        <v>3802.3315999999963</v>
      </c>
      <c r="AP156" s="2">
        <f t="shared" si="10"/>
        <v>689.61962199920015</v>
      </c>
      <c r="AQ156" s="2"/>
      <c r="AR156" s="2"/>
      <c r="AS156" s="2"/>
      <c r="AT156" s="2"/>
      <c r="AU156" s="2"/>
      <c r="AV156" s="2">
        <f>SUMIF(BetFlow!B:B,Extrato!B156,BetFlow!M:M)</f>
        <v>2.1098196447999999</v>
      </c>
      <c r="AW156" s="2"/>
      <c r="AX156" s="2"/>
      <c r="AY156" s="2"/>
      <c r="AZ156" s="2"/>
      <c r="BA156" s="2"/>
      <c r="BB156" s="2"/>
      <c r="BC156" s="2"/>
      <c r="BD156" s="2"/>
      <c r="BE156" s="2">
        <v>0</v>
      </c>
      <c r="BF156" s="2">
        <v>0</v>
      </c>
      <c r="BG156" s="490">
        <f t="shared" si="9"/>
        <v>691.72944164400019</v>
      </c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2:70" ht="15" customHeight="1">
      <c r="B157" s="33">
        <v>46147</v>
      </c>
      <c r="C157" s="2">
        <f t="shared" si="11"/>
        <v>3802.3315999999963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-7.12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v>0</v>
      </c>
      <c r="AM157" s="2">
        <v>0</v>
      </c>
      <c r="AN157" s="490">
        <f t="shared" si="8"/>
        <v>3754.7605999999969</v>
      </c>
      <c r="AP157" s="2">
        <f t="shared" si="10"/>
        <v>691.72944164400019</v>
      </c>
      <c r="AQ157" s="2"/>
      <c r="AR157" s="2"/>
      <c r="AS157" s="2"/>
      <c r="AT157" s="2"/>
      <c r="AU157" s="2"/>
      <c r="AV157" s="2">
        <f>SUMIF(BetFlow!B:B,Extrato!B157,BetFlow!M:M)</f>
        <v>51.815646799999982</v>
      </c>
      <c r="AW157" s="2"/>
      <c r="AX157" s="2"/>
      <c r="AY157" s="2"/>
      <c r="AZ157" s="2"/>
      <c r="BA157" s="2"/>
      <c r="BB157" s="2"/>
      <c r="BC157" s="2"/>
      <c r="BD157" s="2"/>
      <c r="BE157" s="2">
        <v>0</v>
      </c>
      <c r="BF157" s="2">
        <v>0</v>
      </c>
      <c r="BG157" s="490">
        <f t="shared" si="9"/>
        <v>743.54508844400016</v>
      </c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2:70" ht="15" customHeight="1">
      <c r="B158" s="33">
        <v>46148</v>
      </c>
      <c r="C158" s="2">
        <f t="shared" si="11"/>
        <v>3754.7605999999969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v>0</v>
      </c>
      <c r="AM158" s="2">
        <v>0</v>
      </c>
      <c r="AN158" s="490">
        <f t="shared" si="8"/>
        <v>3627.471999999997</v>
      </c>
      <c r="AP158" s="2">
        <f t="shared" si="10"/>
        <v>743.54508844400016</v>
      </c>
      <c r="AQ158" s="2"/>
      <c r="AR158" s="2"/>
      <c r="AS158" s="2"/>
      <c r="AT158" s="2"/>
      <c r="AU158" s="2"/>
      <c r="AV158" s="2">
        <f>SUMIF(BetFlow!B:B,Extrato!B158,BetFlow!M:M)</f>
        <v>132.44980790080001</v>
      </c>
      <c r="AW158" s="2"/>
      <c r="AX158" s="2"/>
      <c r="AY158" s="2"/>
      <c r="AZ158" s="2"/>
      <c r="BA158" s="2"/>
      <c r="BB158" s="2"/>
      <c r="BC158" s="2"/>
      <c r="BD158" s="2"/>
      <c r="BE158" s="2">
        <v>0</v>
      </c>
      <c r="BF158" s="2">
        <v>0.03</v>
      </c>
      <c r="BG158" s="490">
        <f t="shared" si="9"/>
        <v>876.02489634480014</v>
      </c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2:70" ht="15" customHeight="1">
      <c r="B159" s="33">
        <v>46149</v>
      </c>
      <c r="C159" s="2">
        <f t="shared" si="11"/>
        <v>3627.471999999997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v>0</v>
      </c>
      <c r="AM159" s="2">
        <v>-0.01</v>
      </c>
      <c r="AN159" s="490">
        <f t="shared" si="8"/>
        <v>3633.9859999999967</v>
      </c>
      <c r="AP159" s="2">
        <f t="shared" si="10"/>
        <v>876.02489634480014</v>
      </c>
      <c r="AQ159" s="2"/>
      <c r="AR159" s="2"/>
      <c r="AS159" s="2"/>
      <c r="AT159" s="2"/>
      <c r="AU159" s="2"/>
      <c r="AV159" s="2">
        <f>SUMIF(BetFlow!B:B,Extrato!B159,BetFlow!M:M)</f>
        <v>66.872431673600005</v>
      </c>
      <c r="AW159" s="2"/>
      <c r="AX159" s="2"/>
      <c r="AY159" s="2"/>
      <c r="AZ159" s="2"/>
      <c r="BA159" s="2"/>
      <c r="BB159" s="2"/>
      <c r="BC159" s="2"/>
      <c r="BD159" s="2"/>
      <c r="BE159" s="2">
        <v>0</v>
      </c>
      <c r="BF159" s="2">
        <v>-0.01</v>
      </c>
      <c r="BG159" s="490">
        <f t="shared" si="9"/>
        <v>942.88732801840013</v>
      </c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2:70" ht="15" customHeight="1">
      <c r="B160" s="33">
        <v>46150</v>
      </c>
      <c r="C160" s="2">
        <f t="shared" si="11"/>
        <v>3633.9859999999967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169.95650000000001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-222.97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6.0299999999999976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v>0</v>
      </c>
      <c r="AM160" s="2">
        <v>-0.01</v>
      </c>
      <c r="AN160" s="490">
        <f t="shared" si="8"/>
        <v>3506.2368499999966</v>
      </c>
      <c r="AP160" s="2">
        <f t="shared" si="10"/>
        <v>942.88732801840013</v>
      </c>
      <c r="AQ160" s="2"/>
      <c r="AR160" s="2"/>
      <c r="AS160" s="2"/>
      <c r="AT160" s="2"/>
      <c r="AU160" s="2"/>
      <c r="AV160" s="2">
        <f>SUMIF(BetFlow!B:B,Extrato!B160,BetFlow!M:M)</f>
        <v>129.73038895439998</v>
      </c>
      <c r="AW160" s="2"/>
      <c r="AX160" s="2"/>
      <c r="AY160" s="2"/>
      <c r="AZ160" s="2"/>
      <c r="BA160" s="2"/>
      <c r="BB160" s="2"/>
      <c r="BC160" s="2"/>
      <c r="BD160" s="2"/>
      <c r="BE160" s="2">
        <v>0</v>
      </c>
      <c r="BF160" s="2">
        <v>0</v>
      </c>
      <c r="BG160" s="490">
        <f t="shared" si="9"/>
        <v>1072.6177169728001</v>
      </c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2:70" ht="15" customHeight="1">
      <c r="B161" s="33">
        <v>46151</v>
      </c>
      <c r="C161" s="2">
        <f t="shared" si="11"/>
        <v>3506.2368499999966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-95.78000000000003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73.360000000000014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-80.508449999999996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-204.63000000000005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v>0</v>
      </c>
      <c r="AM161" s="2">
        <v>0.64</v>
      </c>
      <c r="AN161" s="490">
        <f t="shared" si="8"/>
        <v>3279.2249499999966</v>
      </c>
      <c r="AP161" s="2">
        <f t="shared" si="10"/>
        <v>1072.6177169728001</v>
      </c>
      <c r="AQ161" s="2"/>
      <c r="AR161" s="2"/>
      <c r="AS161" s="2"/>
      <c r="AT161" s="2"/>
      <c r="AU161" s="2"/>
      <c r="AV161" s="2">
        <f>SUMIF(BetFlow!B:B,Extrato!B161,BetFlow!M:M)</f>
        <v>-0.92334176639999654</v>
      </c>
      <c r="AW161" s="2"/>
      <c r="AX161" s="2"/>
      <c r="AY161" s="2"/>
      <c r="AZ161" s="2"/>
      <c r="BA161" s="2"/>
      <c r="BB161" s="2"/>
      <c r="BC161" s="2"/>
      <c r="BD161" s="2"/>
      <c r="BE161" s="2">
        <v>0</v>
      </c>
      <c r="BF161" s="2">
        <v>0.01</v>
      </c>
      <c r="BG161" s="490">
        <f t="shared" si="9"/>
        <v>1071.7043752064001</v>
      </c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2:70" ht="15" customHeight="1">
      <c r="B162" s="33">
        <v>46152</v>
      </c>
      <c r="C162" s="2">
        <f t="shared" si="11"/>
        <v>3279.2249499999966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105.46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39.17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v>0</v>
      </c>
      <c r="AM162" s="2">
        <v>-0.62</v>
      </c>
      <c r="AN162" s="490">
        <f t="shared" si="8"/>
        <v>3532.157249999997</v>
      </c>
      <c r="AP162" s="2">
        <f t="shared" si="10"/>
        <v>1071.7043752064001</v>
      </c>
      <c r="AQ162" s="2"/>
      <c r="AR162" s="2"/>
      <c r="AS162" s="2"/>
      <c r="AT162" s="2"/>
      <c r="AU162" s="2"/>
      <c r="AV162" s="2">
        <f>SUMIF(BetFlow!B:B,Extrato!B162,BetFlow!M:M)</f>
        <v>-63.102366852399996</v>
      </c>
      <c r="AW162" s="2"/>
      <c r="AX162" s="2"/>
      <c r="AY162" s="2"/>
      <c r="AZ162" s="2"/>
      <c r="BA162" s="2"/>
      <c r="BB162" s="2"/>
      <c r="BC162" s="2"/>
      <c r="BD162" s="2"/>
      <c r="BE162" s="2">
        <v>0</v>
      </c>
      <c r="BF162" s="2">
        <v>0</v>
      </c>
      <c r="BG162" s="490">
        <f t="shared" si="9"/>
        <v>1008.6020083540001</v>
      </c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2:70" ht="15" customHeight="1">
      <c r="B163" s="33">
        <v>46153</v>
      </c>
      <c r="C163" s="2">
        <f t="shared" si="11"/>
        <v>3532.157249999997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157.91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50.94265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v>0</v>
      </c>
      <c r="AM163" s="2">
        <v>-0.01</v>
      </c>
      <c r="AN163" s="490">
        <f t="shared" si="8"/>
        <v>3819.9765999999968</v>
      </c>
      <c r="AP163" s="2">
        <f t="shared" ref="AP163:AP183" si="12">BG162</f>
        <v>1008.6020083540001</v>
      </c>
      <c r="AQ163" s="2"/>
      <c r="AR163" s="2"/>
      <c r="AS163" s="2"/>
      <c r="AT163" s="2"/>
      <c r="AU163" s="2"/>
      <c r="AV163" s="2">
        <f>SUMIF(BetFlow!B:B,Extrato!B163,BetFlow!M:M)</f>
        <v>-30.438102712399992</v>
      </c>
      <c r="AW163" s="2"/>
      <c r="AX163" s="2"/>
      <c r="AY163" s="2"/>
      <c r="AZ163" s="2"/>
      <c r="BA163" s="2"/>
      <c r="BB163" s="2"/>
      <c r="BC163" s="2"/>
      <c r="BD163" s="2"/>
      <c r="BE163" s="2">
        <v>0</v>
      </c>
      <c r="BF163" s="2">
        <v>0</v>
      </c>
      <c r="BG163" s="490">
        <f t="shared" si="9"/>
        <v>978.16390564160008</v>
      </c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2:70" ht="15" customHeight="1">
      <c r="B164" s="33">
        <v>46154</v>
      </c>
      <c r="C164" s="2">
        <f t="shared" si="11"/>
        <v>3819.9765999999968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0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159.91000000000003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12.79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25.849999999999998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v>0</v>
      </c>
      <c r="AM164" s="2">
        <v>0.01</v>
      </c>
      <c r="AN164" s="490">
        <f t="shared" si="8"/>
        <v>4240.5810999999976</v>
      </c>
      <c r="AP164" s="2">
        <f t="shared" si="12"/>
        <v>978.16390564160008</v>
      </c>
      <c r="AQ164" s="2"/>
      <c r="AR164" s="2"/>
      <c r="AS164" s="2"/>
      <c r="AT164" s="2"/>
      <c r="AU164" s="2"/>
      <c r="AV164" s="2">
        <f>SUMIF(BetFlow!B:B,Extrato!B164,BetFlow!M:M)</f>
        <v>-48.712618320000004</v>
      </c>
      <c r="AW164" s="2"/>
      <c r="AX164" s="2"/>
      <c r="AY164" s="2"/>
      <c r="AZ164" s="2"/>
      <c r="BA164" s="2"/>
      <c r="BB164" s="2"/>
      <c r="BC164" s="2"/>
      <c r="BD164" s="2"/>
      <c r="BE164" s="2">
        <v>950</v>
      </c>
      <c r="BF164" s="2">
        <v>0.02</v>
      </c>
      <c r="BG164" s="490">
        <f t="shared" si="9"/>
        <v>1879.4712873215999</v>
      </c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2:70" ht="15" customHeight="1">
      <c r="B165" s="33">
        <v>46155</v>
      </c>
      <c r="C165" s="2">
        <f t="shared" si="11"/>
        <v>4240.5810999999976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94.820000000000007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0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134.06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100.97999999999999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v>0</v>
      </c>
      <c r="AM165" s="2">
        <v>0.02</v>
      </c>
      <c r="AN165" s="490">
        <f t="shared" si="8"/>
        <v>4294.1957999999977</v>
      </c>
      <c r="AP165" s="2">
        <f t="shared" si="12"/>
        <v>1879.4712873215999</v>
      </c>
      <c r="AQ165" s="2"/>
      <c r="AR165" s="2"/>
      <c r="AS165" s="2"/>
      <c r="AT165" s="2"/>
      <c r="AU165" s="2"/>
      <c r="AV165" s="2">
        <f>SUMIF(BetFlow!B:B,Extrato!B165,BetFlow!M:M)</f>
        <v>-95.767627599999997</v>
      </c>
      <c r="AW165" s="2"/>
      <c r="AX165" s="2"/>
      <c r="AY165" s="2"/>
      <c r="AZ165" s="2"/>
      <c r="BA165" s="2"/>
      <c r="BB165" s="2"/>
      <c r="BC165" s="2"/>
      <c r="BD165" s="2"/>
      <c r="BE165" s="2">
        <v>0.02</v>
      </c>
      <c r="BF165" s="2">
        <v>-0.02</v>
      </c>
      <c r="BG165" s="490">
        <f t="shared" si="9"/>
        <v>1783.7036597215999</v>
      </c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2:70" ht="15" customHeight="1">
      <c r="B166" s="33">
        <v>46156</v>
      </c>
      <c r="C166" s="2">
        <f t="shared" si="11"/>
        <v>4294.1957999999977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-91.229699999999994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v>0</v>
      </c>
      <c r="AM166" s="2">
        <v>0.02</v>
      </c>
      <c r="AN166" s="490">
        <f t="shared" si="8"/>
        <v>4309.1450999999988</v>
      </c>
      <c r="AP166" s="2">
        <f t="shared" si="12"/>
        <v>1783.7036597215999</v>
      </c>
      <c r="AQ166" s="2"/>
      <c r="AR166" s="2"/>
      <c r="AS166" s="2"/>
      <c r="AT166" s="2"/>
      <c r="AU166" s="2"/>
      <c r="AV166" s="2">
        <f>SUMIF(BetFlow!B:B,Extrato!B166,BetFlow!M:M)</f>
        <v>-31.410780799999998</v>
      </c>
      <c r="AW166" s="2"/>
      <c r="AX166" s="2"/>
      <c r="AY166" s="2"/>
      <c r="AZ166" s="2"/>
      <c r="BA166" s="2"/>
      <c r="BB166" s="2"/>
      <c r="BC166" s="2"/>
      <c r="BD166" s="2"/>
      <c r="BE166" s="2">
        <v>0</v>
      </c>
      <c r="BF166" s="2">
        <v>0</v>
      </c>
      <c r="BG166" s="490">
        <f t="shared" si="9"/>
        <v>1752.2928789215998</v>
      </c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2:70" ht="15" customHeight="1">
      <c r="B167" s="33">
        <v>46157</v>
      </c>
      <c r="C167" s="2">
        <f t="shared" si="11"/>
        <v>4309.1450999999988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-115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-32.189999999999991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v>0</v>
      </c>
      <c r="AM167" s="2">
        <v>0.01</v>
      </c>
      <c r="AN167" s="490">
        <f t="shared" si="8"/>
        <v>4230.8833000000004</v>
      </c>
      <c r="AP167" s="2">
        <f t="shared" si="12"/>
        <v>1752.2928789215998</v>
      </c>
      <c r="AQ167" s="2"/>
      <c r="AR167" s="2"/>
      <c r="AS167" s="2"/>
      <c r="AT167" s="2"/>
      <c r="AU167" s="2"/>
      <c r="AV167" s="2">
        <f>SUMIF(BetFlow!B:B,Extrato!B167,BetFlow!M:M)</f>
        <v>-7.5178480000000008</v>
      </c>
      <c r="AW167" s="2"/>
      <c r="AX167" s="2"/>
      <c r="AY167" s="2"/>
      <c r="AZ167" s="2"/>
      <c r="BA167" s="2"/>
      <c r="BB167" s="2"/>
      <c r="BC167" s="2"/>
      <c r="BD167" s="2"/>
      <c r="BE167" s="2">
        <v>0</v>
      </c>
      <c r="BF167" s="2">
        <v>-0.01</v>
      </c>
      <c r="BG167" s="490">
        <f t="shared" si="9"/>
        <v>1744.7650309215999</v>
      </c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2:70" ht="15" customHeight="1">
      <c r="B168" s="33">
        <v>46158</v>
      </c>
      <c r="C168" s="2">
        <f t="shared" si="11"/>
        <v>4230.8833000000004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67.63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68.87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25.98555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35.64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v>0</v>
      </c>
      <c r="AM168" s="2">
        <v>-0.02</v>
      </c>
      <c r="AN168" s="490">
        <f t="shared" si="8"/>
        <v>4716.4505500000005</v>
      </c>
      <c r="AP168" s="2">
        <f t="shared" si="12"/>
        <v>1744.7650309215999</v>
      </c>
      <c r="AQ168" s="2"/>
      <c r="AR168" s="2"/>
      <c r="AS168" s="2"/>
      <c r="AT168" s="2"/>
      <c r="AU168" s="2"/>
      <c r="AV168" s="2">
        <f>SUMIF(BetFlow!B:B,Extrato!B168,BetFlow!M:M)</f>
        <v>-176.03386601400001</v>
      </c>
      <c r="AW168" s="2"/>
      <c r="AX168" s="2"/>
      <c r="AY168" s="2"/>
      <c r="AZ168" s="2"/>
      <c r="BA168" s="2"/>
      <c r="BB168" s="2"/>
      <c r="BC168" s="2"/>
      <c r="BD168" s="2"/>
      <c r="BE168" s="2">
        <v>0</v>
      </c>
      <c r="BF168" s="2">
        <v>0.01</v>
      </c>
      <c r="BG168" s="490">
        <f t="shared" si="9"/>
        <v>1568.7411649075998</v>
      </c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2:70" ht="15" customHeight="1">
      <c r="B169" s="33">
        <v>46159</v>
      </c>
      <c r="C169" s="2">
        <f t="shared" si="11"/>
        <v>4716.4505500000005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-383.63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v>0</v>
      </c>
      <c r="AM169" s="2">
        <v>-0.01</v>
      </c>
      <c r="AN169" s="490">
        <f t="shared" si="8"/>
        <v>4466.5666499999998</v>
      </c>
      <c r="AP169" s="2">
        <f t="shared" si="12"/>
        <v>1568.7411649075998</v>
      </c>
      <c r="AQ169" s="2"/>
      <c r="AR169" s="2"/>
      <c r="AS169" s="2"/>
      <c r="AT169" s="2"/>
      <c r="AU169" s="2"/>
      <c r="AV169" s="2">
        <f>SUMIF(BetFlow!B:B,Extrato!B169,BetFlow!M:M)</f>
        <v>17.275056000000006</v>
      </c>
      <c r="AW169" s="2"/>
      <c r="AX169" s="2"/>
      <c r="AY169" s="2"/>
      <c r="AZ169" s="2"/>
      <c r="BA169" s="2"/>
      <c r="BB169" s="2"/>
      <c r="BC169" s="2"/>
      <c r="BD169" s="2"/>
      <c r="BE169" s="2">
        <v>0</v>
      </c>
      <c r="BF169" s="2">
        <v>-0.01</v>
      </c>
      <c r="BG169" s="490">
        <f t="shared" si="9"/>
        <v>1586.0062209075998</v>
      </c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2:70" ht="15" customHeight="1">
      <c r="B170" s="33">
        <v>46160</v>
      </c>
      <c r="C170" s="2">
        <f t="shared" si="11"/>
        <v>4466.5666499999998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64.83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6.16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-21.989999999999991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v>0</v>
      </c>
      <c r="AM170" s="2">
        <v>-0.01</v>
      </c>
      <c r="AN170" s="490">
        <f t="shared" si="8"/>
        <v>4515.7866499999991</v>
      </c>
      <c r="AP170" s="2">
        <f t="shared" si="12"/>
        <v>1586.0062209075998</v>
      </c>
      <c r="AQ170" s="2"/>
      <c r="AR170" s="2"/>
      <c r="AS170" s="2"/>
      <c r="AT170" s="2"/>
      <c r="AU170" s="2"/>
      <c r="AV170" s="2">
        <f>SUMIF(BetFlow!B:B,Extrato!B170,BetFlow!M:M)</f>
        <v>0</v>
      </c>
      <c r="AW170" s="2"/>
      <c r="AX170" s="2"/>
      <c r="AY170" s="2"/>
      <c r="AZ170" s="2"/>
      <c r="BA170" s="2"/>
      <c r="BB170" s="2"/>
      <c r="BC170" s="2"/>
      <c r="BD170" s="2"/>
      <c r="BE170" s="2">
        <v>0</v>
      </c>
      <c r="BF170" s="2">
        <v>0</v>
      </c>
      <c r="BG170" s="490">
        <f t="shared" si="9"/>
        <v>1586.0062209075998</v>
      </c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2:70" ht="15" customHeight="1">
      <c r="B171" s="33">
        <v>46161</v>
      </c>
      <c r="C171" s="2">
        <f t="shared" si="11"/>
        <v>4515.7866499999991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84.980699999999999</v>
      </c>
      <c r="AI171" s="2">
        <f>SUMIFS(base[L/P Líquido],base[Data],Extrato!$B171,base[Método],Extrato!AI$3)</f>
        <v>8.5752500000000005</v>
      </c>
      <c r="AJ171" s="2">
        <f>SUMIFS(base[L/P Líquido],base[Data],Extrato!$B171,base[Método],Extrato!AJ$3)</f>
        <v>0</v>
      </c>
      <c r="AK171" s="2">
        <f>SUMIFS(base[L/P Líquido],base[Data],Extrato!$B171,base[Método],Extrato!AK$3)</f>
        <v>0</v>
      </c>
      <c r="AL171" s="2">
        <v>0</v>
      </c>
      <c r="AM171" s="2">
        <v>0.01</v>
      </c>
      <c r="AN171" s="490">
        <f t="shared" si="8"/>
        <v>4683.1694999999991</v>
      </c>
      <c r="AO171" s="2"/>
      <c r="AP171" s="2">
        <f t="shared" si="12"/>
        <v>1586.0062209075998</v>
      </c>
      <c r="AQ171" s="2"/>
      <c r="AR171" s="2"/>
      <c r="AS171" s="2"/>
      <c r="AT171" s="2"/>
      <c r="AU171" s="2"/>
      <c r="AV171" s="2">
        <f>SUMIF(BetFlow!B:B,Extrato!B171,BetFlow!M:M)</f>
        <v>-61.755407999999996</v>
      </c>
      <c r="AW171" s="2"/>
      <c r="AX171" s="2"/>
      <c r="AY171" s="2"/>
      <c r="AZ171" s="2"/>
      <c r="BA171" s="2"/>
      <c r="BB171" s="2"/>
      <c r="BC171" s="2"/>
      <c r="BD171" s="2"/>
      <c r="BE171" s="2">
        <v>0</v>
      </c>
      <c r="BF171" s="2">
        <v>0</v>
      </c>
      <c r="BG171" s="490">
        <f t="shared" si="9"/>
        <v>1524.2508129075998</v>
      </c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2:70" ht="15" customHeight="1">
      <c r="B172" s="33">
        <v>46162</v>
      </c>
      <c r="C172" s="2">
        <f t="shared" si="11"/>
        <v>4683.1694999999991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-770.01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-157.51999999999998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41.569999999999979</v>
      </c>
      <c r="AI172" s="2">
        <f>SUMIFS(base[L/P Líquido],base[Data],Extrato!$B172,base[Método],Extrato!AI$3)</f>
        <v>-53.076499999999996</v>
      </c>
      <c r="AJ172" s="2">
        <f>SUMIFS(base[L/P Líquido],base[Data],Extrato!$B172,base[Método],Extrato!AJ$3)</f>
        <v>0</v>
      </c>
      <c r="AK172" s="2">
        <f>SUMIFS(base[L/P Líquido],base[Data],Extrato!$B172,base[Método],Extrato!AK$3)</f>
        <v>0</v>
      </c>
      <c r="AL172" s="2">
        <v>0</v>
      </c>
      <c r="AM172" s="2">
        <v>0</v>
      </c>
      <c r="AN172" s="490">
        <f t="shared" si="8"/>
        <v>3777.7985499999986</v>
      </c>
      <c r="AO172" s="2"/>
      <c r="AP172" s="2">
        <f t="shared" si="12"/>
        <v>1524.2508129075998</v>
      </c>
      <c r="AQ172" s="2"/>
      <c r="AR172" s="2"/>
      <c r="AS172" s="2"/>
      <c r="AT172" s="2"/>
      <c r="AU172" s="2"/>
      <c r="AV172" s="2">
        <f>SUMIF(BetFlow!B:B,Extrato!B172,BetFlow!M:M)</f>
        <v>-22.86</v>
      </c>
      <c r="AW172" s="2"/>
      <c r="AX172" s="2"/>
      <c r="AY172" s="2"/>
      <c r="AZ172" s="2"/>
      <c r="BA172" s="2"/>
      <c r="BB172" s="2"/>
      <c r="BC172" s="2"/>
      <c r="BD172" s="2"/>
      <c r="BE172" s="2">
        <v>0</v>
      </c>
      <c r="BF172" s="2">
        <v>0</v>
      </c>
      <c r="BG172" s="490">
        <f t="shared" si="9"/>
        <v>1501.3908129075999</v>
      </c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2:70" ht="15" customHeight="1">
      <c r="B173" s="33">
        <v>46163</v>
      </c>
      <c r="C173" s="2">
        <f t="shared" si="11"/>
        <v>3777.7985499999986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-131.04999999999998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39.07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-14.850000000000001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v>0</v>
      </c>
      <c r="AM173" s="2">
        <v>0.01</v>
      </c>
      <c r="AN173" s="490">
        <f t="shared" si="8"/>
        <v>3719.0485499999991</v>
      </c>
      <c r="AP173" s="2">
        <f t="shared" si="12"/>
        <v>1501.3908129075999</v>
      </c>
      <c r="AQ173" s="2"/>
      <c r="AR173" s="2"/>
      <c r="AS173" s="2"/>
      <c r="AT173" s="2"/>
      <c r="AU173" s="2"/>
      <c r="AV173" s="2">
        <f>SUMIF(BetFlow!B:B,Extrato!B173,BetFlow!M:M)</f>
        <v>0</v>
      </c>
      <c r="AW173" s="2"/>
      <c r="AX173" s="2"/>
      <c r="AY173" s="2"/>
      <c r="AZ173" s="2"/>
      <c r="BA173" s="2"/>
      <c r="BB173" s="2"/>
      <c r="BC173" s="2"/>
      <c r="BD173" s="2"/>
      <c r="BE173" s="2">
        <v>0</v>
      </c>
      <c r="BF173" s="2">
        <v>0</v>
      </c>
      <c r="BG173" s="490">
        <f t="shared" si="9"/>
        <v>1501.3908129075999</v>
      </c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2:70" ht="15" customHeight="1">
      <c r="B174" s="33">
        <v>46164</v>
      </c>
      <c r="C174" s="2">
        <f t="shared" si="11"/>
        <v>3719.0485499999991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-115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-44.87</v>
      </c>
      <c r="AK174" s="2">
        <f>SUMIFS(base[L/P Líquido],base[Data],Extrato!$B174,base[Método],Extrato!AK$3)</f>
        <v>0</v>
      </c>
      <c r="AL174" s="2">
        <v>0</v>
      </c>
      <c r="AM174" s="2">
        <v>-0.01</v>
      </c>
      <c r="AN174" s="490">
        <f t="shared" si="8"/>
        <v>3119.4085499999987</v>
      </c>
      <c r="AP174" s="2">
        <f t="shared" si="12"/>
        <v>1501.3908129075999</v>
      </c>
      <c r="AQ174" s="2"/>
      <c r="AR174" s="2"/>
      <c r="AS174" s="2"/>
      <c r="AT174" s="2"/>
      <c r="AU174" s="2"/>
      <c r="AV174" s="2">
        <f>SUMIF(BetFlow!B:B,Extrato!B174,BetFlow!M:M)</f>
        <v>77.641141330472607</v>
      </c>
      <c r="AW174" s="2"/>
      <c r="AX174" s="2"/>
      <c r="AY174" s="2"/>
      <c r="AZ174" s="2"/>
      <c r="BA174" s="2"/>
      <c r="BB174" s="2"/>
      <c r="BC174" s="2"/>
      <c r="BD174" s="2"/>
      <c r="BE174" s="2">
        <v>0</v>
      </c>
      <c r="BF174" s="2">
        <v>0.01</v>
      </c>
      <c r="BG174" s="490">
        <f t="shared" si="9"/>
        <v>1579.0419542380725</v>
      </c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2:70" ht="15" customHeight="1">
      <c r="B175" s="33">
        <v>46165</v>
      </c>
      <c r="C175" s="2">
        <f t="shared" si="11"/>
        <v>3119.4085499999987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243.8954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-228.08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74.760000000000005</v>
      </c>
      <c r="Z175" s="2">
        <f>SUMIFS(base[L/P Líquido],base[Data],Extrato!$B175,base[Método],Extrato!Z$3)</f>
        <v>25.45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18.364650000000001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v>0</v>
      </c>
      <c r="AM175" s="2">
        <v>-0.04</v>
      </c>
      <c r="AN175" s="490">
        <f t="shared" si="8"/>
        <v>3330.936099999999</v>
      </c>
      <c r="AP175" s="2">
        <f t="shared" si="12"/>
        <v>1579.0419542380725</v>
      </c>
      <c r="AQ175" s="2"/>
      <c r="AR175" s="2"/>
      <c r="AS175" s="2"/>
      <c r="AT175" s="2"/>
      <c r="AU175" s="2"/>
      <c r="AV175" s="2">
        <f>SUMIF(BetFlow!B:B,Extrato!B175,BetFlow!M:M)</f>
        <v>-2.3609772679999947</v>
      </c>
      <c r="AW175" s="2"/>
      <c r="AX175" s="2"/>
      <c r="AY175" s="2"/>
      <c r="AZ175" s="2"/>
      <c r="BA175" s="2"/>
      <c r="BB175" s="2"/>
      <c r="BC175" s="2"/>
      <c r="BD175" s="2"/>
      <c r="BE175" s="2">
        <v>0</v>
      </c>
      <c r="BF175" s="2">
        <v>0</v>
      </c>
      <c r="BG175" s="490">
        <f t="shared" si="9"/>
        <v>1576.6809769700726</v>
      </c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2:70" ht="15" customHeight="1">
      <c r="B176" s="33">
        <v>46166</v>
      </c>
      <c r="C176" s="2">
        <f t="shared" si="11"/>
        <v>3330.936099999999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255.69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-35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v>0</v>
      </c>
      <c r="AM176" s="2">
        <v>0.01</v>
      </c>
      <c r="AN176" s="490">
        <f t="shared" si="8"/>
        <v>3486.025149999999</v>
      </c>
      <c r="AP176" s="2">
        <f t="shared" si="12"/>
        <v>1576.6809769700726</v>
      </c>
      <c r="AQ176" s="2"/>
      <c r="AR176" s="2"/>
      <c r="AS176" s="2"/>
      <c r="AT176" s="2"/>
      <c r="AU176" s="2"/>
      <c r="AV176" s="2">
        <f>SUMIF(BetFlow!B:B,Extrato!B176,BetFlow!M:M)</f>
        <v>27.204857769600004</v>
      </c>
      <c r="AW176" s="2"/>
      <c r="AX176" s="2"/>
      <c r="AY176" s="2"/>
      <c r="AZ176" s="2"/>
      <c r="BA176" s="2"/>
      <c r="BB176" s="2"/>
      <c r="BC176" s="2"/>
      <c r="BD176" s="2"/>
      <c r="BE176" s="2">
        <v>0</v>
      </c>
      <c r="BF176" s="2">
        <v>-0.01</v>
      </c>
      <c r="BG176" s="490">
        <f t="shared" si="9"/>
        <v>1603.8758347396727</v>
      </c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2:70" ht="15" customHeight="1">
      <c r="B177" s="33">
        <v>46167</v>
      </c>
      <c r="C177" s="2">
        <f t="shared" si="11"/>
        <v>3486.025149999999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-9.129999999999999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v>0</v>
      </c>
      <c r="AM177" s="2">
        <v>0.02</v>
      </c>
      <c r="AN177" s="490">
        <f t="shared" si="8"/>
        <v>3576.3451499999987</v>
      </c>
      <c r="AP177" s="2">
        <f t="shared" si="12"/>
        <v>1603.8758347396727</v>
      </c>
      <c r="AQ177" s="2"/>
      <c r="AR177" s="2"/>
      <c r="AS177" s="2"/>
      <c r="AT177" s="2"/>
      <c r="AU177" s="2"/>
      <c r="AV177" s="2">
        <f>SUMIF(BetFlow!B:B,Extrato!B177,BetFlow!M:M)</f>
        <v>13.205104736400001</v>
      </c>
      <c r="AW177" s="2"/>
      <c r="AX177" s="2"/>
      <c r="AY177" s="2"/>
      <c r="AZ177" s="2"/>
      <c r="BA177" s="2"/>
      <c r="BB177" s="2"/>
      <c r="BC177" s="2"/>
      <c r="BD177" s="2"/>
      <c r="BE177" s="2">
        <v>0</v>
      </c>
      <c r="BF177" s="2">
        <v>0.01</v>
      </c>
      <c r="BG177" s="490">
        <f t="shared" si="9"/>
        <v>1617.0909394760727</v>
      </c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pans="2:70" ht="15" customHeight="1">
      <c r="B178" s="33">
        <v>46168</v>
      </c>
      <c r="C178" s="2">
        <f t="shared" si="11"/>
        <v>3576.3451499999987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34.56</v>
      </c>
      <c r="Z178" s="2">
        <f>SUMIFS(base[L/P Líquido],base[Data],Extrato!$B178,base[Método],Extrato!Z$3)</f>
        <v>-11.07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v>0</v>
      </c>
      <c r="AM178" s="2">
        <v>0</v>
      </c>
      <c r="AN178" s="490">
        <f t="shared" si="8"/>
        <v>3612.5451499999986</v>
      </c>
      <c r="AP178" s="2">
        <f t="shared" si="12"/>
        <v>1617.0909394760727</v>
      </c>
      <c r="AQ178" s="2"/>
      <c r="AR178" s="2"/>
      <c r="AS178" s="2"/>
      <c r="AT178" s="2"/>
      <c r="AU178" s="2"/>
      <c r="AV178" s="2">
        <f>SUMIF(BetFlow!B:B,Extrato!B178,BetFlow!M:M)</f>
        <v>16.023763893599998</v>
      </c>
      <c r="AW178" s="2"/>
      <c r="AX178" s="2"/>
      <c r="AY178" s="2"/>
      <c r="AZ178" s="2"/>
      <c r="BA178" s="2"/>
      <c r="BB178" s="2"/>
      <c r="BC178" s="2"/>
      <c r="BD178" s="2"/>
      <c r="BE178" s="2">
        <v>0</v>
      </c>
      <c r="BF178" s="2">
        <v>0</v>
      </c>
      <c r="BG178" s="490">
        <f t="shared" si="9"/>
        <v>1633.1147033696727</v>
      </c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pans="2:70" ht="15" customHeight="1">
      <c r="B179" s="33">
        <v>46169</v>
      </c>
      <c r="C179" s="2">
        <f t="shared" si="11"/>
        <v>3612.5451499999986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v>0</v>
      </c>
      <c r="AM179" s="2">
        <v>0</v>
      </c>
      <c r="AN179" s="490">
        <f t="shared" si="8"/>
        <v>3590.1551499999987</v>
      </c>
      <c r="AP179" s="2">
        <f t="shared" si="12"/>
        <v>1633.1147033696727</v>
      </c>
      <c r="AQ179" s="2"/>
      <c r="AR179" s="2"/>
      <c r="AS179" s="2"/>
      <c r="AT179" s="2"/>
      <c r="AU179" s="2"/>
      <c r="AV179" s="2">
        <f>SUMIF(BetFlow!B:B,Extrato!B179,BetFlow!M:M)</f>
        <v>10.406995020000004</v>
      </c>
      <c r="AW179" s="2"/>
      <c r="AX179" s="2"/>
      <c r="AY179" s="2"/>
      <c r="AZ179" s="2"/>
      <c r="BA179" s="2"/>
      <c r="BB179" s="2"/>
      <c r="BC179" s="2"/>
      <c r="BD179" s="2"/>
      <c r="BE179" s="2">
        <v>0</v>
      </c>
      <c r="BF179" s="2">
        <v>0</v>
      </c>
      <c r="BG179" s="490">
        <f t="shared" si="9"/>
        <v>1643.5216983896728</v>
      </c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pans="2:70" ht="15" customHeight="1">
      <c r="B180" s="33">
        <v>46170</v>
      </c>
      <c r="C180" s="2">
        <f t="shared" si="11"/>
        <v>3590.1551499999987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v>0</v>
      </c>
      <c r="AM180" s="2">
        <v>0</v>
      </c>
      <c r="AN180" s="490">
        <f t="shared" si="8"/>
        <v>3666.843949999999</v>
      </c>
      <c r="AP180" s="2">
        <f t="shared" si="12"/>
        <v>1643.5216983896728</v>
      </c>
      <c r="AQ180" s="2"/>
      <c r="AR180" s="2"/>
      <c r="AS180" s="2"/>
      <c r="AT180" s="2"/>
      <c r="AU180" s="2"/>
      <c r="AV180" s="2">
        <f>SUMIF(BetFlow!B:B,Extrato!B180,BetFlow!M:M)</f>
        <v>-7.9965556000000015</v>
      </c>
      <c r="AW180" s="2"/>
      <c r="AX180" s="2"/>
      <c r="AY180" s="2"/>
      <c r="AZ180" s="2"/>
      <c r="BA180" s="2"/>
      <c r="BB180" s="2"/>
      <c r="BC180" s="2"/>
      <c r="BD180" s="2"/>
      <c r="BE180" s="2">
        <v>0</v>
      </c>
      <c r="BF180" s="2">
        <v>-0.01</v>
      </c>
      <c r="BG180" s="490">
        <f t="shared" si="9"/>
        <v>1635.5151427896728</v>
      </c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pans="2:70" ht="15" customHeight="1">
      <c r="B181" s="33">
        <v>46171</v>
      </c>
      <c r="C181" s="2">
        <f t="shared" si="11"/>
        <v>3666.843949999999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v>0</v>
      </c>
      <c r="AM181" s="2">
        <v>0</v>
      </c>
      <c r="AN181" s="490">
        <f t="shared" si="8"/>
        <v>3661.8709499999991</v>
      </c>
      <c r="AP181" s="2">
        <f t="shared" si="12"/>
        <v>1635.5151427896728</v>
      </c>
      <c r="AQ181" s="2"/>
      <c r="AR181" s="2"/>
      <c r="AS181" s="2"/>
      <c r="AT181" s="2"/>
      <c r="AU181" s="2"/>
      <c r="AV181" s="2">
        <f>SUMIF(BetFlow!B:B,Extrato!B181,BetFlow!M:M)</f>
        <v>-10.468688000000006</v>
      </c>
      <c r="AW181" s="2"/>
      <c r="AX181" s="2"/>
      <c r="AY181" s="2"/>
      <c r="AZ181" s="2"/>
      <c r="BA181" s="2"/>
      <c r="BB181" s="2"/>
      <c r="BC181" s="2"/>
      <c r="BD181" s="2"/>
      <c r="BE181" s="2">
        <v>0</v>
      </c>
      <c r="BF181" s="2">
        <v>0</v>
      </c>
      <c r="BG181" s="490">
        <f t="shared" si="9"/>
        <v>1625.0464547896729</v>
      </c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pans="2:70" ht="15" customHeight="1">
      <c r="B182" s="33">
        <v>46172</v>
      </c>
      <c r="C182" s="2">
        <f t="shared" si="11"/>
        <v>3661.8709499999991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v>0</v>
      </c>
      <c r="AM182" s="2">
        <v>-0.03</v>
      </c>
      <c r="AN182" s="490">
        <f t="shared" si="8"/>
        <v>3889.0261999999989</v>
      </c>
      <c r="AP182" s="2">
        <f t="shared" si="12"/>
        <v>1625.0464547896729</v>
      </c>
      <c r="AQ182" s="2"/>
      <c r="AR182" s="2"/>
      <c r="AS182" s="2"/>
      <c r="AT182" s="2"/>
      <c r="AU182" s="2"/>
      <c r="AV182" s="2">
        <f>SUMIF(BetFlow!B:B,Extrato!B182,BetFlow!M:M)</f>
        <v>-9.7078296239999951</v>
      </c>
      <c r="AW182" s="2"/>
      <c r="AX182" s="2"/>
      <c r="AY182" s="2"/>
      <c r="AZ182" s="2"/>
      <c r="BA182" s="2"/>
      <c r="BB182" s="2"/>
      <c r="BC182" s="2"/>
      <c r="BD182" s="2"/>
      <c r="BE182" s="2">
        <v>0</v>
      </c>
      <c r="BF182" s="2">
        <v>-3.3333333333333401E-3</v>
      </c>
      <c r="BG182" s="490">
        <f t="shared" ref="BG182:BG213" si="13">SUM(AP182:BF182)</f>
        <v>1615.3352918323396</v>
      </c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pans="2:70" ht="15" customHeight="1">
      <c r="B183" s="33">
        <v>46173</v>
      </c>
      <c r="C183" s="2">
        <f t="shared" si="11"/>
        <v>3889.0261999999989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225.16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12.2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v>0</v>
      </c>
      <c r="AM183" s="2">
        <v>-0.01</v>
      </c>
      <c r="AN183" s="490">
        <f t="shared" si="8"/>
        <v>4217.2601999999988</v>
      </c>
      <c r="AP183" s="2">
        <f t="shared" si="12"/>
        <v>1615.3352918323396</v>
      </c>
      <c r="AQ183" s="2"/>
      <c r="AR183" s="2"/>
      <c r="AS183" s="2"/>
      <c r="AT183" s="2"/>
      <c r="AU183" s="2"/>
      <c r="AV183" s="2">
        <f>SUMIF(BetFlow!B:B,Extrato!B183,BetFlow!M:M)</f>
        <v>-20.121639767600001</v>
      </c>
      <c r="AW183" s="2"/>
      <c r="AX183" s="2"/>
      <c r="AY183" s="2"/>
      <c r="AZ183" s="2"/>
      <c r="BA183" s="2"/>
      <c r="BB183" s="2"/>
      <c r="BC183" s="2"/>
      <c r="BD183" s="2"/>
      <c r="BE183" s="2">
        <v>0</v>
      </c>
      <c r="BF183" s="2">
        <v>0.01</v>
      </c>
      <c r="BG183" s="490">
        <f t="shared" si="13"/>
        <v>1595.2236520647396</v>
      </c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pans="2:70" ht="15" customHeight="1">
      <c r="B184" s="33">
        <v>46174</v>
      </c>
      <c r="C184" s="2">
        <f t="shared" ref="C184:C185" si="14">AN183</f>
        <v>4217.2601999999988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v>0</v>
      </c>
      <c r="AM184" s="2">
        <v>0</v>
      </c>
      <c r="AN184" s="490">
        <f t="shared" si="8"/>
        <v>4258.7290999999987</v>
      </c>
      <c r="AP184" s="2">
        <f t="shared" ref="AP184:AP185" si="15">BG183</f>
        <v>1595.2236520647396</v>
      </c>
      <c r="AQ184" s="2"/>
      <c r="AR184" s="2"/>
      <c r="AS184" s="2"/>
      <c r="AT184" s="2"/>
      <c r="AU184" s="2"/>
      <c r="AV184" s="2">
        <f>SUMIF(BetFlow!B:B,Extrato!B184,BetFlow!M:M)</f>
        <v>-38.246365600000004</v>
      </c>
      <c r="AW184" s="2"/>
      <c r="AX184" s="2"/>
      <c r="AY184" s="2"/>
      <c r="AZ184" s="2"/>
      <c r="BA184" s="2"/>
      <c r="BB184" s="2"/>
      <c r="BC184" s="2"/>
      <c r="BD184" s="2"/>
      <c r="BE184" s="2">
        <v>0</v>
      </c>
      <c r="BF184" s="2">
        <v>0</v>
      </c>
      <c r="BG184" s="490">
        <f t="shared" si="13"/>
        <v>1556.9772864647396</v>
      </c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pans="2:70" ht="15" customHeight="1">
      <c r="B185" s="33">
        <v>46175</v>
      </c>
      <c r="C185" s="2">
        <f t="shared" si="14"/>
        <v>4258.7290999999987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38.200000000000003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v>0</v>
      </c>
      <c r="AM185" s="2">
        <v>-0.01</v>
      </c>
      <c r="AN185" s="490">
        <f t="shared" si="8"/>
        <v>4296.699099999998</v>
      </c>
      <c r="AP185" s="2">
        <f t="shared" si="15"/>
        <v>1556.9772864647396</v>
      </c>
      <c r="AQ185" s="2"/>
      <c r="AR185" s="2"/>
      <c r="AS185" s="2"/>
      <c r="AT185" s="2"/>
      <c r="AU185" s="2"/>
      <c r="AV185" s="2">
        <f>SUMIF(BetFlow!B:B,Extrato!B185,BetFlow!M:M)</f>
        <v>0</v>
      </c>
      <c r="AW185" s="2"/>
      <c r="AX185" s="2"/>
      <c r="AY185" s="2"/>
      <c r="AZ185" s="2"/>
      <c r="BA185" s="2"/>
      <c r="BB185" s="2"/>
      <c r="BC185" s="2"/>
      <c r="BD185" s="2"/>
      <c r="BE185" s="2">
        <v>0</v>
      </c>
      <c r="BF185" s="2">
        <v>0</v>
      </c>
      <c r="BG185" s="490">
        <f t="shared" si="13"/>
        <v>1556.9772864647396</v>
      </c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pans="2:70" ht="15" customHeight="1">
      <c r="B186" s="33">
        <v>46176</v>
      </c>
      <c r="C186" s="2">
        <f t="shared" ref="C186:C190" si="16">AN185</f>
        <v>4296.699099999998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v>0</v>
      </c>
      <c r="AM186" s="2">
        <v>0</v>
      </c>
      <c r="AN186" s="490">
        <f t="shared" si="8"/>
        <v>4320.3164999999981</v>
      </c>
      <c r="AP186" s="2">
        <f t="shared" ref="AP186:AP190" si="17">BG185</f>
        <v>1556.9772864647396</v>
      </c>
      <c r="AQ186" s="2"/>
      <c r="AR186" s="2"/>
      <c r="AS186" s="2"/>
      <c r="AT186" s="2"/>
      <c r="AU186" s="2"/>
      <c r="AV186" s="2">
        <f>SUMIF(BetFlow!B:B,Extrato!B186,BetFlow!M:M)</f>
        <v>-23.36</v>
      </c>
      <c r="AW186" s="2"/>
      <c r="AX186" s="2"/>
      <c r="AY186" s="2"/>
      <c r="AZ186" s="2"/>
      <c r="BA186" s="2"/>
      <c r="BB186" s="2"/>
      <c r="BC186" s="2"/>
      <c r="BD186" s="2"/>
      <c r="BE186" s="2">
        <v>0</v>
      </c>
      <c r="BF186" s="2">
        <v>0</v>
      </c>
      <c r="BG186" s="490">
        <f t="shared" si="13"/>
        <v>1533.6172864647397</v>
      </c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pans="2:70" ht="15" customHeight="1">
      <c r="B187" s="33">
        <v>46177</v>
      </c>
      <c r="C187" s="2">
        <f t="shared" si="16"/>
        <v>4320.3164999999981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38.200000000000003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v>0</v>
      </c>
      <c r="AM187" s="2">
        <v>0</v>
      </c>
      <c r="AN187" s="490">
        <f t="shared" si="8"/>
        <v>4358.2964999999976</v>
      </c>
      <c r="AP187" s="2">
        <f t="shared" si="17"/>
        <v>1533.6172864647397</v>
      </c>
      <c r="AQ187" s="2"/>
      <c r="AR187" s="2"/>
      <c r="AS187" s="2"/>
      <c r="AT187" s="2"/>
      <c r="AU187" s="2"/>
      <c r="AV187" s="2">
        <f>SUMIF(BetFlow!B:B,Extrato!B187,BetFlow!M:M)</f>
        <v>0</v>
      </c>
      <c r="AW187" s="2"/>
      <c r="AX187" s="2"/>
      <c r="AY187" s="2"/>
      <c r="AZ187" s="2"/>
      <c r="BA187" s="2"/>
      <c r="BB187" s="2"/>
      <c r="BC187" s="2"/>
      <c r="BD187" s="2"/>
      <c r="BE187" s="2">
        <v>0</v>
      </c>
      <c r="BF187" s="2">
        <v>0</v>
      </c>
      <c r="BG187" s="490">
        <f t="shared" si="13"/>
        <v>1533.6172864647397</v>
      </c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pans="2:70" ht="15" customHeight="1">
      <c r="B188" s="33">
        <v>46178</v>
      </c>
      <c r="C188" s="2">
        <f t="shared" si="16"/>
        <v>4358.2964999999976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v>0</v>
      </c>
      <c r="AM188" s="2">
        <v>-0.01</v>
      </c>
      <c r="AN188" s="490">
        <f t="shared" si="8"/>
        <v>4232.9664999999977</v>
      </c>
      <c r="AP188" s="2">
        <f t="shared" si="17"/>
        <v>1533.6172864647397</v>
      </c>
      <c r="AQ188" s="2"/>
      <c r="AR188" s="2"/>
      <c r="AS188" s="2"/>
      <c r="AT188" s="2"/>
      <c r="AU188" s="2"/>
      <c r="AV188" s="2">
        <f>SUMIF(BetFlow!B:B,Extrato!B188,BetFlow!M:M)</f>
        <v>11.826894563999996</v>
      </c>
      <c r="AW188" s="2"/>
      <c r="AX188" s="2"/>
      <c r="AY188" s="2"/>
      <c r="AZ188" s="2"/>
      <c r="BA188" s="2"/>
      <c r="BB188" s="2"/>
      <c r="BC188" s="2"/>
      <c r="BD188" s="2"/>
      <c r="BE188" s="2">
        <v>0</v>
      </c>
      <c r="BF188" s="2">
        <v>-0.14000000000000001</v>
      </c>
      <c r="BG188" s="490">
        <f t="shared" si="13"/>
        <v>1545.3041810287395</v>
      </c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pans="2:70" ht="15" customHeight="1">
      <c r="B189" s="33">
        <v>46179</v>
      </c>
      <c r="C189" s="2">
        <f t="shared" si="16"/>
        <v>4232.9664999999977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40.340000000000003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v>0</v>
      </c>
      <c r="AM189" s="2">
        <v>0</v>
      </c>
      <c r="AN189" s="490">
        <f t="shared" si="8"/>
        <v>4312.8997999999983</v>
      </c>
      <c r="AP189" s="2">
        <f t="shared" si="17"/>
        <v>1545.3041810287395</v>
      </c>
      <c r="AQ189" s="2"/>
      <c r="AR189" s="2"/>
      <c r="AS189" s="2"/>
      <c r="AT189" s="2"/>
      <c r="AU189" s="2"/>
      <c r="AV189" s="2">
        <f>SUMIF(BetFlow!B:B,Extrato!B189,BetFlow!M:M)</f>
        <v>-43.977167999999999</v>
      </c>
      <c r="AW189" s="2"/>
      <c r="AX189" s="2"/>
      <c r="AY189" s="2"/>
      <c r="AZ189" s="2"/>
      <c r="BA189" s="2"/>
      <c r="BB189" s="2"/>
      <c r="BC189" s="2"/>
      <c r="BD189" s="2"/>
      <c r="BE189" s="2">
        <v>0</v>
      </c>
      <c r="BF189" s="2">
        <v>0</v>
      </c>
      <c r="BG189" s="490">
        <f t="shared" si="13"/>
        <v>1501.3270130287397</v>
      </c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pans="2:70" ht="15" customHeight="1">
      <c r="B190" s="33">
        <v>46180</v>
      </c>
      <c r="C190" s="2">
        <f t="shared" si="16"/>
        <v>4312.8997999999983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-99.99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v>0</v>
      </c>
      <c r="AM190" s="2">
        <v>-0.01</v>
      </c>
      <c r="AN190" s="490">
        <f t="shared" si="8"/>
        <v>4258.9397999999983</v>
      </c>
      <c r="AP190" s="2">
        <f t="shared" si="17"/>
        <v>1501.3270130287397</v>
      </c>
      <c r="AQ190" s="2"/>
      <c r="AR190" s="2"/>
      <c r="AS190" s="2"/>
      <c r="AT190" s="2"/>
      <c r="AU190" s="2"/>
      <c r="AV190" s="2">
        <f>SUMIF(BetFlow!B:B,Extrato!B190,BetFlow!M:M)</f>
        <v>20.903321505599997</v>
      </c>
      <c r="AW190" s="2"/>
      <c r="AX190" s="2"/>
      <c r="AY190" s="2"/>
      <c r="AZ190" s="2"/>
      <c r="BA190" s="2"/>
      <c r="BB190" s="2"/>
      <c r="BC190" s="2"/>
      <c r="BD190" s="2"/>
      <c r="BE190" s="2">
        <v>0</v>
      </c>
      <c r="BF190" s="2">
        <v>0.14000000000000001</v>
      </c>
      <c r="BG190" s="490">
        <f t="shared" si="13"/>
        <v>1522.3703345343397</v>
      </c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pans="2:70" ht="15" customHeight="1">
      <c r="B191" s="33">
        <v>46181</v>
      </c>
      <c r="C191" s="2">
        <f t="shared" ref="C191" si="18">AN190</f>
        <v>4258.9397999999983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30.28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4.51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v>0</v>
      </c>
      <c r="AM191" s="2">
        <v>0.01</v>
      </c>
      <c r="AN191" s="490">
        <f t="shared" si="8"/>
        <v>4300.1197999999986</v>
      </c>
      <c r="AP191" s="2">
        <f t="shared" ref="AP191" si="19">BG190</f>
        <v>1522.3703345343397</v>
      </c>
      <c r="AQ191" s="2"/>
      <c r="AR191" s="2"/>
      <c r="AS191" s="2"/>
      <c r="AT191" s="2"/>
      <c r="AU191" s="2"/>
      <c r="AV191" s="2">
        <f>SUMIF(BetFlow!B:B,Extrato!B191,BetFlow!M:M)</f>
        <v>0</v>
      </c>
      <c r="AW191" s="2"/>
      <c r="AX191" s="2"/>
      <c r="AY191" s="2"/>
      <c r="AZ191" s="2"/>
      <c r="BA191" s="2"/>
      <c r="BB191" s="2"/>
      <c r="BC191" s="2"/>
      <c r="BD191" s="2"/>
      <c r="BE191" s="2">
        <v>0</v>
      </c>
      <c r="BF191" s="2">
        <v>0</v>
      </c>
      <c r="BG191" s="490">
        <f t="shared" si="13"/>
        <v>1522.3703345343397</v>
      </c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pans="2:70" ht="15" customHeight="1">
      <c r="B192" s="33">
        <v>46182</v>
      </c>
      <c r="C192" s="2">
        <f t="shared" ref="C192:C194" si="20">AN191</f>
        <v>4300.1197999999986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53.53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v>0</v>
      </c>
      <c r="AM192" s="2">
        <v>0.01</v>
      </c>
      <c r="AN192" s="490">
        <f t="shared" si="8"/>
        <v>4166.6597999999985</v>
      </c>
      <c r="AP192" s="2">
        <f t="shared" ref="AP192:AP194" si="21">BG191</f>
        <v>1522.3703345343397</v>
      </c>
      <c r="AQ192" s="2"/>
      <c r="AR192" s="2"/>
      <c r="AS192" s="2"/>
      <c r="AT192" s="2"/>
      <c r="AU192" s="2"/>
      <c r="AV192" s="2">
        <f>SUMIF(BetFlow!B:B,Extrato!B192,BetFlow!M:M)</f>
        <v>2.8638405359999282</v>
      </c>
      <c r="AW192" s="2"/>
      <c r="AX192" s="2"/>
      <c r="AY192" s="2"/>
      <c r="AZ192" s="2"/>
      <c r="BA192" s="2"/>
      <c r="BB192" s="2"/>
      <c r="BC192" s="2"/>
      <c r="BD192" s="2"/>
      <c r="BE192" s="2">
        <v>0</v>
      </c>
      <c r="BF192" s="2">
        <v>0.01</v>
      </c>
      <c r="BG192" s="490">
        <f t="shared" si="13"/>
        <v>1525.2441750703397</v>
      </c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pans="2:70" ht="15" customHeight="1">
      <c r="B193" s="33">
        <v>46183</v>
      </c>
      <c r="C193" s="2">
        <f t="shared" si="20"/>
        <v>4166.6597999999985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0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-41.08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8.68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v>0</v>
      </c>
      <c r="AM193" s="2">
        <v>0</v>
      </c>
      <c r="AN193" s="490">
        <f t="shared" si="8"/>
        <v>4284.2785999999996</v>
      </c>
      <c r="AP193" s="2">
        <f t="shared" si="21"/>
        <v>1525.2441750703397</v>
      </c>
      <c r="AQ193" s="2"/>
      <c r="AR193" s="2"/>
      <c r="AS193" s="2"/>
      <c r="AT193" s="2"/>
      <c r="AU193" s="2"/>
      <c r="AV193" s="2">
        <f>SUMIF(BetFlow!B:B,Extrato!B193,BetFlow!M:M)</f>
        <v>-1.5747655340000009</v>
      </c>
      <c r="AW193" s="2"/>
      <c r="AX193" s="2"/>
      <c r="AY193" s="2"/>
      <c r="AZ193" s="2"/>
      <c r="BA193" s="2"/>
      <c r="BB193" s="2"/>
      <c r="BC193" s="2"/>
      <c r="BD193" s="2"/>
      <c r="BE193" s="2">
        <v>0</v>
      </c>
      <c r="BF193" s="2">
        <v>-0.01</v>
      </c>
      <c r="BG193" s="490">
        <f t="shared" si="13"/>
        <v>1523.6594095363396</v>
      </c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pans="2:70" ht="15" customHeight="1">
      <c r="B194" s="33">
        <v>46184</v>
      </c>
      <c r="C194" s="2">
        <f t="shared" si="20"/>
        <v>4284.2785999999996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76.400000000000006</v>
      </c>
      <c r="Y194" s="2">
        <f>SUMIFS(base[L/P Líquido],base[Data],Extrato!$B194,base[Método],Extrato!Y$3)</f>
        <v>22.51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v>0</v>
      </c>
      <c r="AM194" s="2">
        <v>-0.01</v>
      </c>
      <c r="AN194" s="490">
        <f t="shared" si="8"/>
        <v>4437.208599999999</v>
      </c>
      <c r="AP194" s="2">
        <f t="shared" si="21"/>
        <v>1523.6594095363396</v>
      </c>
      <c r="AQ194" s="2"/>
      <c r="AR194" s="2"/>
      <c r="AS194" s="2"/>
      <c r="AT194" s="2"/>
      <c r="AU194" s="2"/>
      <c r="AV194" s="2">
        <f>SUMIF(BetFlow!B:B,Extrato!B194,BetFlow!M:M)</f>
        <v>0</v>
      </c>
      <c r="AW194" s="2"/>
      <c r="AX194" s="2"/>
      <c r="AY194" s="2"/>
      <c r="AZ194" s="2"/>
      <c r="BA194" s="2"/>
      <c r="BB194" s="2"/>
      <c r="BC194" s="2"/>
      <c r="BD194" s="2"/>
      <c r="BE194" s="2">
        <v>0</v>
      </c>
      <c r="BF194" s="2">
        <v>0</v>
      </c>
      <c r="BG194" s="490">
        <f t="shared" si="13"/>
        <v>1523.6594095363396</v>
      </c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pans="2:70" ht="15" customHeight="1">
      <c r="B195" s="33">
        <v>46185</v>
      </c>
      <c r="C195" s="2">
        <f t="shared" ref="C195:C196" si="22">AN194</f>
        <v>4437.208599999999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65.710000000000008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152.80000000000001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46.579549999999998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v>800</v>
      </c>
      <c r="AM195" s="2">
        <v>0</v>
      </c>
      <c r="AN195" s="490">
        <f t="shared" si="8"/>
        <v>5594.4468500000003</v>
      </c>
      <c r="AP195" s="2">
        <f t="shared" ref="AP195:AP196" si="23">BG194</f>
        <v>1523.6594095363396</v>
      </c>
      <c r="AQ195" s="2"/>
      <c r="AR195" s="2"/>
      <c r="AS195" s="2"/>
      <c r="AT195" s="2"/>
      <c r="AU195" s="2"/>
      <c r="AV195" s="2">
        <f>SUMIF(BetFlow!B:B,Extrato!B195,BetFlow!M:M)</f>
        <v>0</v>
      </c>
      <c r="AW195" s="2"/>
      <c r="AX195" s="2"/>
      <c r="AY195" s="2"/>
      <c r="AZ195" s="2"/>
      <c r="BA195" s="2"/>
      <c r="BB195" s="2"/>
      <c r="BC195" s="2"/>
      <c r="BD195" s="2"/>
      <c r="BE195" s="2">
        <v>0</v>
      </c>
      <c r="BF195" s="2">
        <v>0</v>
      </c>
      <c r="BG195" s="490">
        <f t="shared" si="13"/>
        <v>1523.6594095363396</v>
      </c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pans="2:70" ht="15" customHeight="1">
      <c r="B196" s="33">
        <v>46186</v>
      </c>
      <c r="C196" s="2">
        <f t="shared" si="22"/>
        <v>5594.4468500000003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0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8.17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0.27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76.400000000000006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-156.9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v>0</v>
      </c>
      <c r="AM196" s="2">
        <v>-0.01</v>
      </c>
      <c r="AN196" s="490">
        <f t="shared" si="8"/>
        <v>5599.5968500000008</v>
      </c>
      <c r="AP196" s="2">
        <f t="shared" si="23"/>
        <v>1523.6594095363396</v>
      </c>
      <c r="AQ196" s="2"/>
      <c r="AR196" s="2"/>
      <c r="AS196" s="2"/>
      <c r="AT196" s="2"/>
      <c r="AU196" s="2"/>
      <c r="AV196" s="2">
        <f>SUMIF(BetFlow!B:B,Extrato!B196,BetFlow!M:M)</f>
        <v>0</v>
      </c>
      <c r="AW196" s="2"/>
      <c r="AX196" s="2"/>
      <c r="AY196" s="2"/>
      <c r="AZ196" s="2"/>
      <c r="BA196" s="2"/>
      <c r="BB196" s="2"/>
      <c r="BC196" s="2"/>
      <c r="BD196" s="2"/>
      <c r="BE196" s="2">
        <v>0</v>
      </c>
      <c r="BF196" s="2">
        <v>0</v>
      </c>
      <c r="BG196" s="490">
        <f t="shared" si="13"/>
        <v>1523.6594095363396</v>
      </c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pans="2:70" ht="15" customHeight="1">
      <c r="B197" s="33">
        <v>46187</v>
      </c>
      <c r="C197" s="2">
        <f t="shared" ref="C197" si="24">AN196</f>
        <v>5599.5968500000008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171.0341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0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86.68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-27.399999999999991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12.54</v>
      </c>
      <c r="AD197" s="2">
        <f>SUMIFS(base[L/P Líquido],base[Data],Extrato!$B197,base[Método],Extrato!AD$3)</f>
        <v>14.143549999999999</v>
      </c>
      <c r="AE197" s="2">
        <f>SUMIFS(base[L/P Líquido],base[Data],Extrato!$B197,base[Método],Extrato!AE$3)</f>
        <v>0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v>0</v>
      </c>
      <c r="AM197" s="2">
        <v>-0.01</v>
      </c>
      <c r="AN197" s="490">
        <f t="shared" ref="AN197:AN249" si="25">SUM(C197:AM197)</f>
        <v>6014.2096500000007</v>
      </c>
      <c r="AP197" s="2">
        <f t="shared" ref="AP197" si="26">BG196</f>
        <v>1523.6594095363396</v>
      </c>
      <c r="AQ197" s="2"/>
      <c r="AR197" s="2"/>
      <c r="AS197" s="2"/>
      <c r="AT197" s="2"/>
      <c r="AU197" s="2"/>
      <c r="AV197" s="2">
        <f>SUMIF(BetFlow!B:B,Extrato!B197,BetFlow!M:M)</f>
        <v>7.6874342760000012</v>
      </c>
      <c r="AW197" s="2"/>
      <c r="AX197" s="2"/>
      <c r="AY197" s="2"/>
      <c r="AZ197" s="2"/>
      <c r="BA197" s="2"/>
      <c r="BB197" s="2"/>
      <c r="BC197" s="2"/>
      <c r="BD197" s="2"/>
      <c r="BE197" s="2">
        <v>0</v>
      </c>
      <c r="BF197" s="2">
        <v>0</v>
      </c>
      <c r="BG197" s="490">
        <f t="shared" si="13"/>
        <v>1531.3468438123396</v>
      </c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pans="2:70" ht="15" customHeight="1">
      <c r="B198" s="33">
        <v>46188</v>
      </c>
      <c r="C198" s="2">
        <f t="shared" ref="C198:C199" si="27">AN197</f>
        <v>6014.2096500000007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77.52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8.42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35.7361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71.000000000000014</v>
      </c>
      <c r="Y198" s="2">
        <f>SUMIFS(base[L/P Líquido],base[Data],Extrato!$B198,base[Método],Extrato!Y$3)</f>
        <v>36.159999999999997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0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-400.01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v>0</v>
      </c>
      <c r="AM198" s="2">
        <v>-0.01</v>
      </c>
      <c r="AN198" s="490">
        <f t="shared" si="25"/>
        <v>5917.1655500000006</v>
      </c>
      <c r="AP198" s="2">
        <f t="shared" ref="AP198:AP199" si="28">BG197</f>
        <v>1531.3468438123396</v>
      </c>
      <c r="AQ198" s="2"/>
      <c r="AR198" s="2"/>
      <c r="AS198" s="2"/>
      <c r="AT198" s="2"/>
      <c r="AU198" s="2"/>
      <c r="AV198" s="2">
        <f>SUMIF(BetFlow!B:B,Extrato!B198,BetFlow!M:M)</f>
        <v>5.4455162759999993</v>
      </c>
      <c r="AW198" s="2"/>
      <c r="AX198" s="2"/>
      <c r="AY198" s="2"/>
      <c r="AZ198" s="2"/>
      <c r="BA198" s="2"/>
      <c r="BB198" s="2"/>
      <c r="BC198" s="2"/>
      <c r="BD198" s="2"/>
      <c r="BE198" s="2">
        <v>0</v>
      </c>
      <c r="BF198" s="2">
        <v>0</v>
      </c>
      <c r="BG198" s="490">
        <f t="shared" si="13"/>
        <v>1536.7923600883396</v>
      </c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pans="2:70" ht="15" customHeight="1">
      <c r="B199" s="918">
        <v>46189</v>
      </c>
      <c r="C199" s="919">
        <f t="shared" si="27"/>
        <v>5917.1655500000006</v>
      </c>
      <c r="D199" s="919">
        <f>SUMIFS(base[L/P Líquido],base[Data],Extrato!$B199,base[Método],Extrato!D$3)</f>
        <v>0</v>
      </c>
      <c r="E199" s="919">
        <f>SUMIFS(base[L/P Líquido],base[Data],Extrato!$B199,base[Método],Extrato!E$3)</f>
        <v>-452.19</v>
      </c>
      <c r="F199" s="919">
        <f>SUMIFS(base[L/P Líquido],base[Data],Extrato!$B199,base[Método],Extrato!F$3)</f>
        <v>1.53</v>
      </c>
      <c r="G199" s="919">
        <f>SUMIFS(base[L/P Líquido],base[Data],Extrato!$B199,base[Método],Extrato!G$3)</f>
        <v>0</v>
      </c>
      <c r="H199" s="919">
        <f>SUMIFS(base[L/P Líquido],base[Data],Extrato!$B199,base[Método],Extrato!H$3)</f>
        <v>0</v>
      </c>
      <c r="I199" s="919">
        <f>SUMIFS(base[L/P Líquido],base[Data],Extrato!$B199,base[Método],Extrato!I$3)</f>
        <v>0</v>
      </c>
      <c r="J199" s="919">
        <f>SUMIFS(base[L/P Líquido],base[Data],Extrato!$B199,base[Método],Extrato!J$3)</f>
        <v>59.992000000000004</v>
      </c>
      <c r="K199" s="919">
        <f>SUMIFS(base[L/P Líquido],base[Data],Extrato!$B199,base[Método],Extrato!K$3)</f>
        <v>0</v>
      </c>
      <c r="L199" s="919">
        <f>SUMIFS(base[L/P Líquido],base[Data],Extrato!$B199,base[Método],Extrato!L$3)</f>
        <v>0</v>
      </c>
      <c r="M199" s="919">
        <f>SUMIF(BetFlow!B:B,B199,BetFlow!J:J)</f>
        <v>0</v>
      </c>
      <c r="N199" s="919">
        <f>SUMIFS(base[L/P Líquido],base[Data],Extrato!$B199,base[Método],Extrato!N$3)</f>
        <v>0</v>
      </c>
      <c r="O199" s="919">
        <f>SUMIFS(base[L/P Líquido],base[Data],Extrato!$B199,base[Método],Extrato!O$3)</f>
        <v>0</v>
      </c>
      <c r="P199" s="919">
        <f>SUMIFS(base[L/P Líquido],base[Data],Extrato!$B199,base[Método],Extrato!P$3)</f>
        <v>0</v>
      </c>
      <c r="Q199" s="919">
        <f>SUMIFS(base[L/P Líquido],base[Data],Extrato!$B199,base[Método],Extrato!Q$3)</f>
        <v>-100</v>
      </c>
      <c r="R199" s="919">
        <f>SUMIFS(base[L/P Líquido],base[Data],Extrato!$B199,base[Método],Extrato!R$3)</f>
        <v>0</v>
      </c>
      <c r="S199" s="919">
        <f>SUMIFS(base[L/P Líquido],base[Data],Extrato!$B199,base[Método],Extrato!S$3)</f>
        <v>0</v>
      </c>
      <c r="T199" s="919">
        <f>SUMIFS(base[L/P Líquido],base[Data],Extrato!$B199,base[Método],Extrato!T$3)</f>
        <v>0</v>
      </c>
      <c r="U199" s="919">
        <f>SUMIFS(base[L/P Líquido],base[Data],Extrato!$B199,base[Método],Extrato!U$3)</f>
        <v>0</v>
      </c>
      <c r="V199" s="919">
        <f>SUMIFS(base[L/P Líquido],base[Data],Extrato!$B199,base[Método],Extrato!V$3)</f>
        <v>32.135749999999994</v>
      </c>
      <c r="W199" s="919">
        <f>SUMIFS(base[L/P Líquido],base[Data],Extrato!$B199,base[Método],Extrato!W$3)</f>
        <v>0</v>
      </c>
      <c r="X199" s="919">
        <f>SUMIFS(base[L/P Líquido],base[Data],Extrato!$B199,base[Método],Extrato!X$3)</f>
        <v>-409.11999999999995</v>
      </c>
      <c r="Y199" s="919">
        <f>SUMIFS(base[L/P Líquido],base[Data],Extrato!$B199,base[Método],Extrato!Y$3)</f>
        <v>0</v>
      </c>
      <c r="Z199" s="919">
        <f>SUMIFS(base[L/P Líquido],base[Data],Extrato!$B199,base[Método],Extrato!Z$3)</f>
        <v>0</v>
      </c>
      <c r="AA199" s="919">
        <f>SUMIFS(base[L/P Líquido],base[Data],Extrato!$B199,base[Método],Extrato!AA$3)</f>
        <v>0</v>
      </c>
      <c r="AB199" s="919">
        <f>SUMIFS(base[L/P Líquido],base[Data],Extrato!$B199,base[Método],Extrato!AB$3)</f>
        <v>0</v>
      </c>
      <c r="AC199" s="919">
        <f>SUMIFS(base[L/P Líquido],base[Data],Extrato!$B199,base[Método],Extrato!AC$3)</f>
        <v>-112.5</v>
      </c>
      <c r="AD199" s="919">
        <f>SUMIFS(base[L/P Líquido],base[Data],Extrato!$B199,base[Método],Extrato!AD$3)</f>
        <v>0</v>
      </c>
      <c r="AE199" s="919">
        <f>SUMIFS(base[L/P Líquido],base[Data],Extrato!$B199,base[Método],Extrato!AE$3)</f>
        <v>0</v>
      </c>
      <c r="AF199" s="919">
        <f>SUMIFS(base[L/P Líquido],base[Data],Extrato!$B199,base[Método],Extrato!AF$3,base[Exchange],"Fulltbet")</f>
        <v>-7.37</v>
      </c>
      <c r="AG199" s="919">
        <f>SUMIFS(base[L/P Líquido],base[Data],Extrato!$B199,base[Método],Extrato!AG$3)</f>
        <v>0</v>
      </c>
      <c r="AH199" s="919">
        <f>SUMIFS(base[L/P Líquido],base[Data],Extrato!$B199,base[Método],Extrato!AH$3)</f>
        <v>0</v>
      </c>
      <c r="AI199" s="919">
        <f>SUMIFS(base[L/P Líquido],base[Data],Extrato!$B199,base[Método],Extrato!AI$3)</f>
        <v>0</v>
      </c>
      <c r="AJ199" s="919">
        <f>SUMIFS(base[L/P Líquido],base[Data],Extrato!$B199,base[Método],Extrato!AJ$3)</f>
        <v>0</v>
      </c>
      <c r="AK199" s="919">
        <f>SUMIFS(base[L/P Líquido],base[Data],Extrato!$B199,base[Método],Extrato!AK$3)</f>
        <v>0</v>
      </c>
      <c r="AL199" s="919">
        <v>0</v>
      </c>
      <c r="AM199" s="919">
        <v>0.01</v>
      </c>
      <c r="AN199" s="988">
        <f t="shared" si="25"/>
        <v>4929.6533000000018</v>
      </c>
      <c r="AO199" s="920"/>
      <c r="AP199" s="919">
        <f t="shared" si="28"/>
        <v>1536.7923600883396</v>
      </c>
      <c r="AQ199" s="919">
        <f>SUMIFS(base[L/P Líquido],base[Data],Extrato!$B199,base[Método],Extrato!AQ$3,base[Exchange],"Betbra")</f>
        <v>0</v>
      </c>
      <c r="AR199" s="919">
        <f>SUMIFS(base[L/P Líquido],base[Data],Extrato!$B199,base[Método],Extrato!AR$3,base[Exchange],"Betbra")</f>
        <v>0</v>
      </c>
      <c r="AS199" s="919">
        <f>SUMIFS(base[L/P Líquido],base[Data],Extrato!$B199,base[Método],Extrato!AS$3,base[Exchange],"Betbra")</f>
        <v>0</v>
      </c>
      <c r="AT199" s="919">
        <f>SUMIFS(base[L/P Líquido],base[Data],Extrato!$B199,base[Método],Extrato!AT$3,base[Exchange],"Betbra")</f>
        <v>0</v>
      </c>
      <c r="AU199" s="919">
        <f>SUMIFS(base[L/P Líquido],base[Data],Extrato!$B199,base[Método],Extrato!AU$3,base[Exchange],"Betbra")</f>
        <v>0</v>
      </c>
      <c r="AV199" s="919">
        <f>SUMIF(BetFlow!B:B,Extrato!B199,BetFlow!M:M)</f>
        <v>0</v>
      </c>
      <c r="AW199" s="919">
        <f>SUMIFS(base[L/P Líquido],base[Data],Extrato!$B199,base[Método],Extrato!AW$3,base[Exchange],"Betbra")</f>
        <v>0</v>
      </c>
      <c r="AX199" s="919">
        <f>SUMIFS(base[L/P Líquido],base[Data],Extrato!$B199,base[Método],Extrato!AX$3,base[Exchange],"Betbra")</f>
        <v>0</v>
      </c>
      <c r="AY199" s="919">
        <f>SUMIFS(base[L/P Líquido],base[Data],Extrato!$B199,base[Método],Extrato!AY$3,base[Exchange],"Betbra")</f>
        <v>0</v>
      </c>
      <c r="AZ199" s="919">
        <f>SUMIFS(base[L/P Líquido],base[Data],Extrato!$B199,base[Método],Extrato!AZ$3,base[Exchange],"Betbra")</f>
        <v>0</v>
      </c>
      <c r="BA199" s="919">
        <f>SUMIFS(base[L/P Líquido],base[Data],Extrato!$B199,base[Método],Extrato!BA$3,base[Exchange],"Betbra")</f>
        <v>0</v>
      </c>
      <c r="BB199" s="919">
        <f>SUMIFS(base[L/P Líquido],base[Data],Extrato!$B199,base[Método],Extrato!BB$3,base[Exchange],"Betbra")</f>
        <v>0</v>
      </c>
      <c r="BC199" s="919">
        <f>SUMIFS(base[L/P Líquido],base[Data],Extrato!$B199,base[Método],Extrato!BC$3,base[Exchange],"Betbra")</f>
        <v>0</v>
      </c>
      <c r="BD199" s="919">
        <f>SUMIFS(base[L/P Líquido],base[Data],Extrato!$B199,base[Método],Extrato!BD$3,base[Exchange],"Betbra")</f>
        <v>-22.15</v>
      </c>
      <c r="BE199" s="919">
        <v>0</v>
      </c>
      <c r="BF199" s="919">
        <v>0</v>
      </c>
      <c r="BG199" s="988">
        <f t="shared" si="13"/>
        <v>1514.6423600883395</v>
      </c>
      <c r="BH199" s="920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pans="2:70" ht="15" customHeight="1">
      <c r="B200" s="918">
        <v>46190</v>
      </c>
      <c r="C200" s="919">
        <f t="shared" ref="C200" si="29">AN199</f>
        <v>4929.6533000000018</v>
      </c>
      <c r="D200" s="919">
        <f>SUMIFS(base[L/P Líquido],base[Data],Extrato!$B200,base[Método],Extrato!D$3)</f>
        <v>33.21</v>
      </c>
      <c r="E200" s="919">
        <f>SUMIFS(base[L/P Líquido],base[Data],Extrato!$B200,base[Método],Extrato!E$3)</f>
        <v>76.05</v>
      </c>
      <c r="F200" s="919">
        <f>SUMIFS(base[L/P Líquido],base[Data],Extrato!$B200,base[Método],Extrato!F$3)</f>
        <v>0</v>
      </c>
      <c r="G200" s="919">
        <f>SUMIFS(base[L/P Líquido],base[Data],Extrato!$B200,base[Método],Extrato!G$3)</f>
        <v>0</v>
      </c>
      <c r="H200" s="919">
        <f>SUMIFS(base[L/P Líquido],base[Data],Extrato!$B200,base[Método],Extrato!H$3)</f>
        <v>0</v>
      </c>
      <c r="I200" s="919">
        <f>SUMIFS(base[L/P Líquido],base[Data],Extrato!$B200,base[Método],Extrato!I$3)</f>
        <v>32.949999999999996</v>
      </c>
      <c r="J200" s="919">
        <f>SUMIFS(base[L/P Líquido],base[Data],Extrato!$B200,base[Método],Extrato!J$3,base[Exchange],"Fulltbet")</f>
        <v>22.23</v>
      </c>
      <c r="K200" s="919">
        <f>SUMIFS(base[L/P Líquido],base[Data],Extrato!$B200,base[Método],Extrato!K$3,base[Exchange],"Fulltbet")</f>
        <v>0</v>
      </c>
      <c r="L200" s="919">
        <f>SUMIFS(base[L/P Líquido],base[Data],Extrato!$B200,base[Método],Extrato!L$3)</f>
        <v>0</v>
      </c>
      <c r="M200" s="919">
        <f>SUMIF(BetFlow!B:B,B200,BetFlow!J:J)</f>
        <v>0</v>
      </c>
      <c r="N200" s="919">
        <f>SUMIFS(base[L/P Líquido],base[Data],Extrato!$B200,base[Método],Extrato!N$3)</f>
        <v>0</v>
      </c>
      <c r="O200" s="919">
        <f>SUMIFS(base[L/P Líquido],base[Data],Extrato!$B200,base[Método],Extrato!O$3)</f>
        <v>0</v>
      </c>
      <c r="P200" s="919">
        <f>SUMIFS(base[L/P Líquido],base[Data],Extrato!$B200,base[Método],Extrato!P$3)</f>
        <v>0</v>
      </c>
      <c r="Q200" s="919">
        <f>SUMIFS(base[L/P Líquido],base[Data],Extrato!$B200,base[Método],Extrato!Q$3)</f>
        <v>0</v>
      </c>
      <c r="R200" s="919">
        <f>SUMIFS(base[L/P Líquido],base[Data],Extrato!$B200,base[Método],Extrato!R$3)</f>
        <v>0</v>
      </c>
      <c r="S200" s="919">
        <f>SUMIFS(base[L/P Líquido],base[Data],Extrato!$B200,base[Método],Extrato!S$3)</f>
        <v>0</v>
      </c>
      <c r="T200" s="919">
        <f>SUMIFS(base[L/P Líquido],base[Data],Extrato!$B200,base[Método],Extrato!T$3)</f>
        <v>0</v>
      </c>
      <c r="U200" s="919">
        <f>SUMIFS(base[L/P Líquido],base[Data],Extrato!$B200,base[Método],Extrato!U$3)</f>
        <v>0</v>
      </c>
      <c r="V200" s="919">
        <f>SUMIFS(base[L/P Líquido],base[Data],Extrato!$B200,base[Método],Extrato!V$3)</f>
        <v>0.2</v>
      </c>
      <c r="W200" s="919">
        <f>SUMIFS(base[L/P Líquido],base[Data],Extrato!$B200,base[Método],Extrato!W$3)</f>
        <v>0</v>
      </c>
      <c r="X200" s="919">
        <f>SUMIFS(base[L/P Líquido],base[Data],Extrato!$B200,base[Método],Extrato!X$3)</f>
        <v>-238.92</v>
      </c>
      <c r="Y200" s="919">
        <f>SUMIFS(base[L/P Líquido],base[Data],Extrato!$B200,base[Método],Extrato!Y$3)</f>
        <v>0</v>
      </c>
      <c r="Z200" s="919">
        <f>SUMIFS(base[L/P Líquido],base[Data],Extrato!$B200,base[Método],Extrato!Z$3)</f>
        <v>0</v>
      </c>
      <c r="AA200" s="919">
        <f>SUMIFS(base[L/P Líquido],base[Data],Extrato!$B200,base[Método],Extrato!AA$3)</f>
        <v>0</v>
      </c>
      <c r="AB200" s="919">
        <f>SUMIFS(base[L/P Líquido],base[Data],Extrato!$B200,base[Método],Extrato!AB$3)</f>
        <v>0</v>
      </c>
      <c r="AC200" s="919">
        <f>SUMIFS(base[L/P Líquido],base[Data],Extrato!$B200,base[Método],Extrato!AC$3)</f>
        <v>0</v>
      </c>
      <c r="AD200" s="919">
        <f>SUMIFS(base[L/P Líquido],base[Data],Extrato!$B200,base[Método],Extrato!AD$3)</f>
        <v>0</v>
      </c>
      <c r="AE200" s="919">
        <f>SUMIFS(base[L/P Líquido],base[Data],Extrato!$B200,base[Método],Extrato!AE$3)</f>
        <v>0</v>
      </c>
      <c r="AF200" s="919">
        <f>SUMIFS(base[L/P Líquido],base[Data],Extrato!$B200,base[Método],Extrato!AF$3)</f>
        <v>0</v>
      </c>
      <c r="AG200" s="919">
        <f>SUMIFS(base[L/P Líquido],base[Data],Extrato!$B200,base[Método],Extrato!AG$3)</f>
        <v>0</v>
      </c>
      <c r="AH200" s="919">
        <f>SUMIFS(base[L/P Líquido],base[Data],Extrato!$B200,base[Método],Extrato!AH$3)</f>
        <v>0</v>
      </c>
      <c r="AI200" s="919">
        <f>SUMIFS(base[L/P Líquido],base[Data],Extrato!$B200,base[Método],Extrato!AI$3)</f>
        <v>0</v>
      </c>
      <c r="AJ200" s="919">
        <f>SUMIFS(base[L/P Líquido],base[Data],Extrato!$B200,base[Método],Extrato!AJ$3)</f>
        <v>0</v>
      </c>
      <c r="AK200" s="919">
        <f>SUMIFS(base[L/P Líquido],base[Data],Extrato!$B200,base[Método],Extrato!AK$3)</f>
        <v>0</v>
      </c>
      <c r="AL200" s="919">
        <v>0</v>
      </c>
      <c r="AM200" s="919">
        <v>0</v>
      </c>
      <c r="AN200" s="988">
        <f t="shared" si="25"/>
        <v>4855.3733000000011</v>
      </c>
      <c r="AO200" s="920"/>
      <c r="AP200" s="919">
        <f t="shared" ref="AP200" si="30">BG199</f>
        <v>1514.6423600883395</v>
      </c>
      <c r="AQ200" s="919">
        <f>SUMIFS(base[L/P Líquido],base[Data],Extrato!$B200,base[Método],Extrato!AQ$3,base[Exchange],"Betbra")</f>
        <v>0</v>
      </c>
      <c r="AR200" s="919">
        <f>SUMIFS(base[L/P Líquido],base[Data],Extrato!$B200,base[Método],Extrato!AR$3,base[Exchange],"Betbra")</f>
        <v>27.16</v>
      </c>
      <c r="AS200" s="919">
        <f>SUMIFS(base[L/P Líquido],base[Data],Extrato!$B200,base[Método],Extrato!AS$3,base[Exchange],"Betbra")</f>
        <v>0</v>
      </c>
      <c r="AT200" s="919">
        <f>SUMIFS(base[L/P Líquido],base[Data],Extrato!$B200,base[Método],Extrato!AT$3,base[Exchange],"Betbra")</f>
        <v>0</v>
      </c>
      <c r="AU200" s="919">
        <f>SUMIFS(base[L/P Líquido],base[Data],Extrato!$B200,base[Método],Extrato!AU$3,base[Exchange],"Betbra")</f>
        <v>0</v>
      </c>
      <c r="AV200" s="919">
        <f>SUMIF(BetFlow!B:B,Extrato!B200,BetFlow!M:M)</f>
        <v>0</v>
      </c>
      <c r="AW200" s="919">
        <f>SUMIFS(base[L/P Líquido],base[Data],Extrato!$B200,base[Método],Extrato!AW$3,base[Exchange],"Betbra")</f>
        <v>0</v>
      </c>
      <c r="AX200" s="919">
        <f>SUMIFS(base[L/P Líquido],base[Data],Extrato!$B200,base[Método],Extrato!AX$3,base[Exchange],"Betbra")</f>
        <v>0</v>
      </c>
      <c r="AY200" s="919">
        <f>SUMIFS(base[L/P Líquido],base[Data],Extrato!$B200,base[Método],Extrato!AY$3,base[Exchange],"Betbra")</f>
        <v>0</v>
      </c>
      <c r="AZ200" s="919">
        <f>SUMIFS(base[L/P Líquido],base[Data],Extrato!$B200,base[Método],Extrato!AZ$3,base[Exchange],"Betbra")</f>
        <v>0</v>
      </c>
      <c r="BA200" s="919">
        <f>SUMIFS(base[L/P Líquido],base[Data],Extrato!$B200,base[Método],Extrato!BA$3,base[Exchange],"Betbra")</f>
        <v>0</v>
      </c>
      <c r="BB200" s="919">
        <f>SUMIFS(base[L/P Líquido],base[Data],Extrato!$B200,base[Método],Extrato!BB$3,base[Exchange],"Betbra")</f>
        <v>0</v>
      </c>
      <c r="BC200" s="919">
        <f>SUMIFS(base[L/P Líquido],base[Data],Extrato!$B200,base[Método],Extrato!BC$3,base[Exchange],"Betbra")</f>
        <v>0</v>
      </c>
      <c r="BD200" s="919">
        <f>SUMIFS(base[L/P Líquido],base[Data],Extrato!$B200,base[Método],Extrato!BD$3,base[Exchange],"Betbra")</f>
        <v>0</v>
      </c>
      <c r="BE200" s="919">
        <v>0</v>
      </c>
      <c r="BF200" s="919">
        <v>0</v>
      </c>
      <c r="BG200" s="988">
        <f t="shared" si="13"/>
        <v>1541.8023600883396</v>
      </c>
      <c r="BH200" s="920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pans="2:70" ht="15" customHeight="1">
      <c r="B201" s="918">
        <v>46191</v>
      </c>
      <c r="C201" s="919">
        <f t="shared" ref="C201:C204" si="31">AN200</f>
        <v>4855.3733000000011</v>
      </c>
      <c r="D201" s="919">
        <f>SUMIFS(base[L/P Líquido],base[Data],Extrato!$B201,base[Método],Extrato!D$3)</f>
        <v>0</v>
      </c>
      <c r="E201" s="919">
        <f>SUMIFS(base[L/P Líquido],base[Data],Extrato!$B201,base[Método],Extrato!E$3)</f>
        <v>134.44505000000001</v>
      </c>
      <c r="F201" s="919">
        <f>SUMIFS(base[L/P Líquido],base[Data],Extrato!$B201,base[Método],Extrato!F$3)</f>
        <v>10.65</v>
      </c>
      <c r="G201" s="919">
        <f>SUMIFS(base[L/P Líquido],base[Data],Extrato!$B201,base[Método],Extrato!G$3,base[Exchange],"Fulltbet")</f>
        <v>0</v>
      </c>
      <c r="H201" s="919">
        <f>SUMIFS(base[L/P Líquido],base[Data],Extrato!$B201,base[Método],Extrato!H$3)</f>
        <v>0</v>
      </c>
      <c r="I201" s="919">
        <f>SUMIFS(base[L/P Líquido],base[Data],Extrato!$B201,base[Método],Extrato!I$3,base[Exchange],"Fulltbet")</f>
        <v>7.44</v>
      </c>
      <c r="J201" s="919">
        <f>SUMIFS(base[L/P Líquido],base[Data],Extrato!$B201,base[Método],Extrato!J$3,base[Exchange],"Fulltbet")</f>
        <v>0</v>
      </c>
      <c r="K201" s="919">
        <f>SUMIFS(base[L/P Líquido],base[Data],Extrato!$B201,base[Método],Extrato!K$3,base[Exchange],"Fulltbet")</f>
        <v>0</v>
      </c>
      <c r="L201" s="919">
        <f>SUMIFS(base[L/P Líquido],base[Data],Extrato!$B201,base[Método],Extrato!L$3)</f>
        <v>0</v>
      </c>
      <c r="M201" s="919">
        <f>SUMIF(BetFlow!B:B,B201,BetFlow!J:J)</f>
        <v>-29.589999999999996</v>
      </c>
      <c r="N201" s="919">
        <f>SUMIFS(base[L/P Líquido],base[Data],Extrato!$B201,base[Método],Extrato!N$3)</f>
        <v>0</v>
      </c>
      <c r="O201" s="919">
        <f>SUMIFS(base[L/P Líquido],base[Data],Extrato!$B201,base[Método],Extrato!O$3)</f>
        <v>0</v>
      </c>
      <c r="P201" s="919">
        <f>SUMIFS(base[L/P Líquido],base[Data],Extrato!$B201,base[Método],Extrato!P$3)</f>
        <v>0</v>
      </c>
      <c r="Q201" s="919">
        <f>SUMIFS(base[L/P Líquido],base[Data],Extrato!$B201,base[Método],Extrato!Q$3)</f>
        <v>0</v>
      </c>
      <c r="R201" s="919">
        <f>SUMIFS(base[L/P Líquido],base[Data],Extrato!$B201,base[Método],Extrato!R$3)</f>
        <v>0</v>
      </c>
      <c r="S201" s="919">
        <f>SUMIFS(base[L/P Líquido],base[Data],Extrato!$B201,base[Método],Extrato!S$3)</f>
        <v>0</v>
      </c>
      <c r="T201" s="919">
        <f>SUMIFS(base[L/P Líquido],base[Data],Extrato!$B201,base[Método],Extrato!T$3)</f>
        <v>0</v>
      </c>
      <c r="U201" s="919">
        <f>SUMIFS(base[L/P Líquido],base[Data],Extrato!$B201,base[Método],Extrato!U$3)</f>
        <v>0</v>
      </c>
      <c r="V201" s="919">
        <f>SUMIFS(base[L/P Líquido],base[Data],Extrato!$B201,base[Método],Extrato!V$3,base[Exchange],"Fulltbet")</f>
        <v>70.010000000000005</v>
      </c>
      <c r="W201" s="919">
        <f>SUMIFS(base[L/P Líquido],base[Data],Extrato!$B201,base[Método],Extrato!W$3)</f>
        <v>0</v>
      </c>
      <c r="X201" s="919">
        <f>SUMIFS(base[L/P Líquido],base[Data],Extrato!$B201,base[Método],Extrato!X$3)</f>
        <v>-5.3999999999999915</v>
      </c>
      <c r="Y201" s="919">
        <f>SUMIFS(base[L/P Líquido],base[Data],Extrato!$B201,base[Método],Extrato!Y$3)</f>
        <v>20.100000000000001</v>
      </c>
      <c r="Z201" s="919">
        <f>SUMIFS(base[L/P Líquido],base[Data],Extrato!$B201,base[Método],Extrato!Z$3)</f>
        <v>0</v>
      </c>
      <c r="AA201" s="919">
        <f>SUMIFS(base[L/P Líquido],base[Data],Extrato!$B201,base[Método],Extrato!AA$3)</f>
        <v>-22.26</v>
      </c>
      <c r="AB201" s="919">
        <f>SUMIFS(base[L/P Líquido],base[Data],Extrato!$B201,base[Método],Extrato!AB$3)</f>
        <v>0</v>
      </c>
      <c r="AC201" s="919">
        <f>SUMIFS(base[L/P Líquido],base[Data],Extrato!$B201,base[Método],Extrato!AC$3)</f>
        <v>0</v>
      </c>
      <c r="AD201" s="919">
        <f>SUMIFS(base[L/P Líquido],base[Data],Extrato!$B201,base[Método],Extrato!AD$3)</f>
        <v>93.169799999999995</v>
      </c>
      <c r="AE201" s="919">
        <f>SUMIFS(base[L/P Líquido],base[Data],Extrato!$B201,base[Método],Extrato!AE$3)</f>
        <v>0</v>
      </c>
      <c r="AF201" s="919">
        <f>SUMIFS(base[L/P Líquido],base[Data],Extrato!$B201,base[Método],Extrato!AF$3)</f>
        <v>0</v>
      </c>
      <c r="AG201" s="919">
        <f>SUMIFS(base[L/P Líquido],base[Data],Extrato!$B201,base[Método],Extrato!AG$3)</f>
        <v>0</v>
      </c>
      <c r="AH201" s="919">
        <f>SUMIFS(base[L/P Líquido],base[Data],Extrato!$B201,base[Método],Extrato!AH$3)</f>
        <v>0</v>
      </c>
      <c r="AI201" s="919">
        <f>SUMIFS(base[L/P Líquido],base[Data],Extrato!$B201,base[Método],Extrato!AI$3)</f>
        <v>0</v>
      </c>
      <c r="AJ201" s="919">
        <f>SUMIFS(base[L/P Líquido],base[Data],Extrato!$B201,base[Método],Extrato!AJ$3)</f>
        <v>0</v>
      </c>
      <c r="AK201" s="919">
        <f>SUMIFS(base[L/P Líquido],base[Data],Extrato!$B201,base[Método],Extrato!AK$3)</f>
        <v>0</v>
      </c>
      <c r="AL201" s="919">
        <v>5.01</v>
      </c>
      <c r="AM201" s="919">
        <v>0.01</v>
      </c>
      <c r="AN201" s="988">
        <f t="shared" si="25"/>
        <v>5138.9581500000013</v>
      </c>
      <c r="AO201" s="920"/>
      <c r="AP201" s="919">
        <f t="shared" ref="AP201:AP204" si="32">BG200</f>
        <v>1541.8023600883396</v>
      </c>
      <c r="AQ201" s="919">
        <f>SUMIFS(base[L/P Líquido],base[Data],Extrato!$B201,base[Método],Extrato!AQ$3,base[Exchange],"Betbra")</f>
        <v>0</v>
      </c>
      <c r="AR201" s="919">
        <f>SUMIFS(base[L/P Líquido],base[Data],Extrato!$B201,base[Método],Extrato!AR$3,base[Exchange],"Betbra")</f>
        <v>54.57</v>
      </c>
      <c r="AS201" s="919">
        <f>SUMIFS(base[L/P Líquido],base[Data],Extrato!$B201,base[Método],Extrato!AS$3,base[Exchange],"Betbra")</f>
        <v>0</v>
      </c>
      <c r="AT201" s="919">
        <f>SUMIFS(base[L/P Líquido],base[Data],Extrato!$B201,base[Método],Extrato!AT$3,base[Exchange],"Betbra")</f>
        <v>1.3</v>
      </c>
      <c r="AU201" s="2">
        <f>SUMIFS(base[L/P Líquido],base[Data],Extrato!$B201,base[Método],Extrato!AU$3,base[Exchange],"Betbra")</f>
        <v>0</v>
      </c>
      <c r="AV201" s="919">
        <f>SUMIF(BetFlow!B:B,Extrato!B201,BetFlow!M:M)</f>
        <v>30.602047238509062</v>
      </c>
      <c r="AW201" s="919">
        <f>SUMIFS(base[L/P Líquido],base[Data],Extrato!$B201,base[Método],Extrato!AW$3,base[Exchange],"Betbra")</f>
        <v>0</v>
      </c>
      <c r="AX201" s="919">
        <f>SUMIFS(base[L/P Líquido],base[Data],Extrato!$B201,base[Método],Extrato!AX$3,base[Exchange],"Betbra")</f>
        <v>0</v>
      </c>
      <c r="AY201" s="919">
        <f>SUMIFS(base[L/P Líquido],base[Data],Extrato!$B201,base[Método],Extrato!AY$3,base[Exchange],"Betbra")</f>
        <v>0</v>
      </c>
      <c r="AZ201" s="919">
        <f>SUMIFS(base[L/P Líquido],base[Data],Extrato!$B201,base[Método],Extrato!AZ$3,base[Exchange],"Betbra")</f>
        <v>0</v>
      </c>
      <c r="BA201" s="2">
        <f>SUMIFS(base[L/P Líquido],base[Data],Extrato!$B201,base[Método],Extrato!BA$3,base[Exchange],"Betbra")</f>
        <v>0</v>
      </c>
      <c r="BB201" s="919">
        <f>SUMIFS(base[L/P Líquido],base[Data],Extrato!$B201,base[Método],Extrato!BB$3,base[Exchange],"Betbra")</f>
        <v>37.380000000000003</v>
      </c>
      <c r="BC201" s="919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919">
        <v>0</v>
      </c>
      <c r="BF201" s="919">
        <v>0</v>
      </c>
      <c r="BG201" s="988">
        <f t="shared" si="13"/>
        <v>1665.6544073268487</v>
      </c>
      <c r="BH201" s="920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pans="2:70" ht="15" customHeight="1">
      <c r="B202" s="33">
        <v>46192</v>
      </c>
      <c r="C202" s="2">
        <f t="shared" si="31"/>
        <v>5138.9581500000013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-173.18000000000006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Líquido],base[Data],Extrato!$B202,base[Método],Extrato!G$3,base[Exchange],"Fulltbet")</f>
        <v>0</v>
      </c>
      <c r="H202" s="2">
        <f>SUMIFS(base[L/P Líquido],base[Data],Extrato!$B202,base[Método],Extrato!H$3)</f>
        <v>0</v>
      </c>
      <c r="I202" s="2">
        <f>SUMIFS(base[L/P Líquido],base[Data],Extrato!$B202,base[Método],Extrato!I$3,base[Exchange],"Fulltbet")</f>
        <v>-0.92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Líquido],base[Data],Extrato!$B202,base[Método],Extrato!V$3,base[Exchange],"Fulltbet")</f>
        <v>66.86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-239</v>
      </c>
      <c r="Y202" s="2">
        <f>SUMIFS(base[L/P Líquido],base[Data],Extrato!$B202,base[Método],Extrato!Y$3)</f>
        <v>0</v>
      </c>
      <c r="Z202" s="2">
        <f>SUMIFS(base[L/P Líquido],base[Data],Extrato!$B202,base[Método],Extrato!Z$3)</f>
        <v>0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23.15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34.723799999999997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v>93.25</v>
      </c>
      <c r="AM202" s="2">
        <v>0</v>
      </c>
      <c r="AN202" s="490">
        <f t="shared" si="25"/>
        <v>4949.92</v>
      </c>
      <c r="AP202" s="2">
        <f t="shared" si="32"/>
        <v>1665.6544073268487</v>
      </c>
      <c r="AQ202" s="2">
        <f>SUMIFS(base[L/P Líquido],base[Data],Extrato!$B202,base[Método],Extrato!AQ$3,base[Exchange],"Betbra")</f>
        <v>0</v>
      </c>
      <c r="AR202" s="2">
        <f>SUMIFS(base[L/P Líquido],base[Data],Extrato!$B202,base[Método],Extrato!AR$3,base[Exchange],"Betbra")</f>
        <v>67.010000000000005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6.45</v>
      </c>
      <c r="AU202" s="2">
        <f>SUMIFS(base[L/P Líquido],base[Data],Extrato!$B202,base[Método],Extrato!AU$3,base[Exchange],"Betbra")</f>
        <v>0</v>
      </c>
      <c r="AV202" s="2">
        <f>SUMIF(BetFlow!B:B,Extrato!B202,BetFlow!M:M)</f>
        <v>0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0</v>
      </c>
      <c r="AY202" s="2">
        <f>SUMIFS(base[L/P Líquido],base[Data],Extrato!$B202,base[Método],Extrato!AY$3,base[Exchange],"Betbra")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v>-98.26</v>
      </c>
      <c r="BF202" s="2">
        <v>0.01</v>
      </c>
      <c r="BG202" s="490">
        <f t="shared" si="13"/>
        <v>1640.8644073268488</v>
      </c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pans="2:70" ht="15" customHeight="1">
      <c r="B203" s="33">
        <v>46193</v>
      </c>
      <c r="C203" s="2">
        <f t="shared" si="31"/>
        <v>4949.92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Líquido],base[Data],Extrato!$B203,base[Método],Extrato!G$3,base[Exchange],"Fulltbet")</f>
        <v>0</v>
      </c>
      <c r="H203" s="2">
        <f>SUMIFS(base[L/P Líquido],base[Data],Extrato!$B203,base[Método],Extrato!H$3)</f>
        <v>0</v>
      </c>
      <c r="I203" s="2">
        <f>SUMIFS(base[L/P Líquido],base[Data],Extrato!$B203,base[Método],Extrato!I$3,base[Exchange],"Fulltbet")</f>
        <v>24.36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39.97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-123.47999999999999</v>
      </c>
      <c r="Y203" s="2">
        <f>SUMIFS(base[L/P Líquido],base[Data],Extrato!$B203,base[Método],Extrato!Y$3,base[Exchange],"Fulltbet")</f>
        <v>19.099999999999998</v>
      </c>
      <c r="Z203" s="2">
        <f>SUMIFS(base[L/P Líquido],base[Data],Extrato!$B203,base[Método],Extrato!Z$3)</f>
        <v>0</v>
      </c>
      <c r="AA203" s="2">
        <f>SUMIFS(base[L/P Líquido],base[Data],Extrato!$B203,base[Método],Extrato!AA$3)</f>
        <v>-37.840000000000003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v>0</v>
      </c>
      <c r="AM203" s="2">
        <v>0</v>
      </c>
      <c r="AN203" s="490">
        <f t="shared" si="25"/>
        <v>4993.1787500000009</v>
      </c>
      <c r="AP203" s="2">
        <f t="shared" si="32"/>
        <v>1640.8644073268488</v>
      </c>
      <c r="AQ203" s="2">
        <f>SUMIFS(base[L/P Líquido],base[Data],Extrato!$B203,base[Método],Extrato!AQ$3,base[Exchange],"Betbra")</f>
        <v>0</v>
      </c>
      <c r="AR203" s="2">
        <f>SUMIFS(base[L/P Líquido],base[Data],Extrato!$B203,base[Método],Extrato!AR$3,base[Exchange],"Betbra")</f>
        <v>-370.03000000000003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SUMIF(BetFlow!B:B,Extrato!B203,BetFlow!M:M)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-100.53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v>0</v>
      </c>
      <c r="BF203" s="2">
        <v>0</v>
      </c>
      <c r="BG203" s="490">
        <f t="shared" si="13"/>
        <v>1170.3044073268488</v>
      </c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pans="2:70" ht="15" customHeight="1">
      <c r="B204" s="33">
        <v>46194</v>
      </c>
      <c r="C204" s="2">
        <f t="shared" si="31"/>
        <v>4993.1787500000009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0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Líquido],base[Data],Extrato!$B204,base[Método],Extrato!I$3,base[Exchange],"Fulltbet")</f>
        <v>-298.47000000000003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-438.85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Líquido],base[Data],Extrato!$B204,base[Método],Extrato!Z$3)</f>
        <v>0</v>
      </c>
      <c r="AA204" s="2">
        <f>SUMIFS(base[L/P Líquido],base[Data],Extrato!$B204,base[Método],Extrato!AA$3)</f>
        <v>-49.56</v>
      </c>
      <c r="AB204" s="2">
        <f>SUMIFS(base[L/P Líquido],base[Data],Extrato!$B204,base[Método],Extrato!AB$3)</f>
        <v>94.789999999999992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v>400</v>
      </c>
      <c r="AM204" s="2">
        <v>0</v>
      </c>
      <c r="AN204" s="490">
        <f t="shared" si="25"/>
        <v>4673.8187499999995</v>
      </c>
      <c r="AP204" s="2">
        <f t="shared" si="32"/>
        <v>1170.3044073268488</v>
      </c>
      <c r="AQ204" s="2">
        <f>SUMIFS(base[L/P Líquido],base[Data],Extrato!$B204,base[Método],Extrato!AQ$3,base[Exchange],"Betbra")</f>
        <v>0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2.1</v>
      </c>
      <c r="AV204" s="2">
        <f>SUMIF(BetFlow!B:B,Extrato!B204,BetFlow!M:M)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v>0</v>
      </c>
      <c r="BF204" s="2">
        <v>0</v>
      </c>
      <c r="BG204" s="490">
        <f t="shared" si="13"/>
        <v>1172.4044073268487</v>
      </c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pans="2:70" ht="15" customHeight="1">
      <c r="B205" s="33">
        <v>46195</v>
      </c>
      <c r="C205" s="2">
        <f t="shared" ref="C205:C206" si="33">AN204</f>
        <v>4673.8187499999995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Líquido],base[Data],Extrato!$B205,base[Método],Extrato!G$3)</f>
        <v>0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Líquido],base[Data],Extrato!$B205,base[Método],Extrato!I$3,base[Exchange],"Fulltbet")</f>
        <v>23.5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15.92</v>
      </c>
      <c r="Z205" s="2">
        <f>SUMIFS(base[L/P Líquido],base[Data],Extrato!$B205,base[Método],Extrato!Z$3)</f>
        <v>0</v>
      </c>
      <c r="AA205" s="2">
        <f>SUMIFS(base[L/P Líquido],base[Data],Extrato!$B205,base[Método],Extrato!AA$3)</f>
        <v>0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28.29665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v>0</v>
      </c>
      <c r="AM205" s="2">
        <v>0.01</v>
      </c>
      <c r="AN205" s="490">
        <f t="shared" si="25"/>
        <v>4735.19895</v>
      </c>
      <c r="AP205" s="2">
        <f t="shared" ref="AP205:AP206" si="34">BG204</f>
        <v>1172.4044073268487</v>
      </c>
      <c r="AQ205" s="2">
        <f>SUMIFS(base[L/P Líquido],base[Data],Extrato!$B205,base[Método],Extrato!AQ$3,base[Exchange],"Betbra")</f>
        <v>48.6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SUMIF(BetFlow!B:B,Extrato!B205,BetFlow!M:M)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v>0</v>
      </c>
      <c r="BF205" s="2">
        <v>0</v>
      </c>
      <c r="BG205" s="490">
        <f t="shared" si="13"/>
        <v>1221.0044073268486</v>
      </c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pans="2:70" ht="15" customHeight="1">
      <c r="B206" s="33">
        <v>46196</v>
      </c>
      <c r="C206" s="2">
        <f t="shared" si="33"/>
        <v>4735.19895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0</v>
      </c>
      <c r="I206" s="2">
        <f>SUMIFS(base[L/P Líquido],base[Data],Extrato!$B206,base[Método],Extrato!I$3,base[Exchange],"Fulltbet")</f>
        <v>34.46555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Líquido],base[Data],Extrato!$B206,base[Método],Extrato!L$3,base[Exchange],"Fulltbet")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Líquido],base[Data],Extrato!$B206,base[Método],Extrato!W$3)</f>
        <v>0</v>
      </c>
      <c r="X206" s="2">
        <f>SUMIFS(base[L/P Líquido],base[Data],Extrato!$B206,base[Método],Extrato!X$3)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Líquido],base[Data],Extrato!$B206,base[Método],Extrato!Z$3)</f>
        <v>0</v>
      </c>
      <c r="AA206" s="2">
        <f>SUMIFS(base[L/P Líquido],base[Data],Extrato!$B206,base[Método],Extrato!AA$3)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v>0</v>
      </c>
      <c r="AM206" s="2">
        <v>-0.01</v>
      </c>
      <c r="AN206" s="490">
        <f t="shared" si="25"/>
        <v>4838.8989499999998</v>
      </c>
      <c r="AP206" s="2">
        <f t="shared" si="34"/>
        <v>1221.0044073268486</v>
      </c>
      <c r="AQ206" s="2">
        <f>SUMIFS(base[L/P Líquido],base[Data],Extrato!$B206,base[Método],Extrato!AQ$3,base[Exchange],"Betbra")</f>
        <v>92.81</v>
      </c>
      <c r="AR206" s="2">
        <f>SUMIFS(base[L/P Líquido],base[Data],Extrato!$B206,base[Método],Extrato!AR$3,base[Exchange],"Betbra")</f>
        <v>0</v>
      </c>
      <c r="AS206" s="2">
        <f>SUMIFS(base[L/P Líquido],base[Data],Extrato!$B206,base[Método],Extrato!AS$3,base[Exchange],"Betbra")</f>
        <v>0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SUMIF(BetFlow!B:B,Extrato!B206,BetFlow!M:M)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34.54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v>0</v>
      </c>
      <c r="BF206" s="2">
        <v>0.02</v>
      </c>
      <c r="BG206" s="490">
        <f t="shared" si="13"/>
        <v>1348.3744073268485</v>
      </c>
      <c r="BI206" s="2">
        <v>300.01</v>
      </c>
      <c r="BJ206" s="2">
        <f>SUMIFS(base[L/P Líquido],base[Data],Extrato!$B206,base[Método],Extrato!BJ$3,base[Exchange],"Bolsa")</f>
        <v>0</v>
      </c>
      <c r="BK206" s="2">
        <f>SUMIFS(base[L/P Líquido],base[Data],Extrato!$B206,base[Método],Extrato!BK$3,base[Exchange],"Bolsa")</f>
        <v>0</v>
      </c>
      <c r="BL206" s="2">
        <f>SUMIFS(base[L/P Líquido],base[Data],Extrato!$B206,base[Método],Extrato!BL$3,base[Exchange],"Bolsa")</f>
        <v>0</v>
      </c>
      <c r="BM206" s="2">
        <f>SUMIFS(base[L/P Líquido],base[Data],Extrato!$B206,base[Método],Extrato!BM$3,base[Exchange],"Bolsa")</f>
        <v>26.69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v>0</v>
      </c>
      <c r="BQ206" s="2">
        <v>0</v>
      </c>
      <c r="BR206" s="490">
        <f t="shared" ref="BR206:BR247" si="35">SUM(BI206:BQ206)</f>
        <v>326.7</v>
      </c>
    </row>
    <row r="207" spans="2:70" ht="15" customHeight="1">
      <c r="B207" s="33">
        <v>46197</v>
      </c>
      <c r="C207" s="2">
        <f t="shared" ref="C207" si="36">AN206</f>
        <v>4838.8989499999998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Líquido],base[Data],Extrato!$B207,base[Método],Extrato!I$3,base[Exchange],"Fulltbet")</f>
        <v>-147.78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Líquido],base[Data],Extrato!$B207,base[Método],Extrato!L$3,base[Exchange],"Fulltbet")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Líquido],base[Data],Extrato!$B207,base[Método],Extrato!W$3)</f>
        <v>0</v>
      </c>
      <c r="X207" s="2">
        <f>SUMIFS(base[L/P Líquido],base[Data],Extrato!$B207,base[Método],Extrato!X$3)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Líquido],base[Data],Extrato!$B207,base[Método],Extrato!Z$3)</f>
        <v>0</v>
      </c>
      <c r="AA207" s="2">
        <f>SUMIFS(base[L/P Líquido],base[Data],Extrato!$B207,base[Método],Extrato!AA$3)</f>
        <v>0</v>
      </c>
      <c r="AB207" s="2">
        <f>SUMIFS(base[L/P Líquido],base[Data],Extrato!$B207,base[Método],Extrato!AB$3)</f>
        <v>84.83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v>0</v>
      </c>
      <c r="AM207" s="2">
        <v>0</v>
      </c>
      <c r="AN207" s="490">
        <f t="shared" si="25"/>
        <v>4787.3189499999999</v>
      </c>
      <c r="AP207" s="2">
        <f t="shared" ref="AP207" si="37">BG206</f>
        <v>1348.3744073268485</v>
      </c>
      <c r="AQ207" s="2">
        <f>SUMIFS(base[L/P Líquido],base[Data],Extrato!$B207,base[Método],Extrato!AQ$3,base[Exchange],"Betbra")</f>
        <v>114.46</v>
      </c>
      <c r="AR207" s="2">
        <f>SUMIFS(base[L/P Líquido],base[Data],Extrato!$B207,base[Método],Extrato!AR$3,base[Exchange],"Betbra")</f>
        <v>0</v>
      </c>
      <c r="AS207" s="2">
        <f>SUMIFS(base[L/P Líquido],base[Data],Extrato!$B207,base[Método],Extrato!AS$3,base[Exchange],"Betbra")</f>
        <v>0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SUMIF(BetFlow!B:B,Extrato!B207,BetFlow!M:M)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29.957249999999998</v>
      </c>
      <c r="BC207" s="2">
        <f>SUMIFS(base[L/P Líquido],base[Data],Extrato!$B207,base[Método],Extrato!BC$3,base[Exchange],"Betbra")</f>
        <v>18.19275</v>
      </c>
      <c r="BD207" s="2">
        <f>SUMIFS(base[L/P Líquido],base[Data],Extrato!$B207,base[Método],Extrato!BD$3,base[Exchange],"Betbra")</f>
        <v>0</v>
      </c>
      <c r="BE207" s="2">
        <v>0</v>
      </c>
      <c r="BF207" s="2">
        <v>0</v>
      </c>
      <c r="BG207" s="490">
        <f t="shared" si="13"/>
        <v>1510.9844073268484</v>
      </c>
      <c r="BI207" s="2">
        <f>BR206</f>
        <v>326.7</v>
      </c>
      <c r="BJ207" s="2">
        <f>SUMIFS(base[L/P Líquido],base[Data],Extrato!$B207,base[Método],Extrato!BJ$3,base[Exchange],"Bolsa")</f>
        <v>0</v>
      </c>
      <c r="BK207" s="2">
        <f>SUMIFS(base[L/P Líquido],base[Data],Extrato!$B207,base[Método],Extrato!BK$3,base[Exchange],"Bolsa")</f>
        <v>0</v>
      </c>
      <c r="BL207" s="2">
        <f>SUMIFS(base[L/P Líquido],base[Data],Extrato!$B207,base[Método],Extrato!BL$3,base[Exchange],"Bolsa")</f>
        <v>0</v>
      </c>
      <c r="BM207" s="2">
        <f>SUMIFS(base[L/P Líquido],base[Data],Extrato!$B207,base[Método],Extrato!BM$3,base[Exchange],"Bolsa")</f>
        <v>49.379999999999995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v>0</v>
      </c>
      <c r="BQ207" s="2">
        <v>0</v>
      </c>
      <c r="BR207" s="490">
        <f t="shared" si="35"/>
        <v>376.08</v>
      </c>
    </row>
    <row r="208" spans="2:70" ht="15" customHeight="1">
      <c r="B208" s="33">
        <v>46198</v>
      </c>
      <c r="C208" s="2">
        <f t="shared" ref="C208" si="38">AN207</f>
        <v>4787.3189499999999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Líquido],base[Data],Extrato!$B208,base[Método],Extrato!I$3,base[Exchange],"Fulltbet")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Líquido],base[Data],Extrato!$B208,base[Método],Extrato!L$3,base[Exchange],"Fulltbet")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Líquido],base[Data],Extrato!$B208,base[Método],Extrato!W$3)</f>
        <v>0</v>
      </c>
      <c r="X208" s="2">
        <f>SUMIFS(base[L/P Líquido],base[Data],Extrato!$B208,base[Método],Extrato!X$3)</f>
        <v>-81.8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0</v>
      </c>
      <c r="AA208" s="2">
        <f>SUMIFS(base[L/P Líquido],base[Data],Extrato!$B208,base[Método],Extrato!AA$3)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v>0</v>
      </c>
      <c r="AM208" s="2">
        <v>-0.01</v>
      </c>
      <c r="AN208" s="490">
        <f t="shared" si="25"/>
        <v>4804.19895</v>
      </c>
      <c r="AP208" s="2">
        <f t="shared" ref="AP208" si="39">BG207</f>
        <v>1510.9844073268484</v>
      </c>
      <c r="AQ208" s="2">
        <f>SUMIFS(base[L/P Líquido],base[Data],Extrato!$B208,base[Método],Extrato!AQ$3,base[Exchange],"Betbra")</f>
        <v>0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SUMIF(BetFlow!B:B,Extrato!B208,BetFlow!M:M)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v>0</v>
      </c>
      <c r="BF208" s="2">
        <v>0</v>
      </c>
      <c r="BG208" s="490">
        <f t="shared" si="13"/>
        <v>1510.9844073268484</v>
      </c>
      <c r="BI208" s="2">
        <f>BR207</f>
        <v>376.08</v>
      </c>
      <c r="BJ208" s="2">
        <f>SUMIFS(base[L/P Líquido],base[Data],Extrato!$B208,base[Método],Extrato!BJ$3,base[Exchange],"Bolsa")</f>
        <v>0</v>
      </c>
      <c r="BK208" s="2">
        <f>SUMIFS(base[L/P Líquido],base[Data],Extrato!$B208,base[Método],Extrato!BK$3,base[Exchange],"Bolsa")</f>
        <v>0</v>
      </c>
      <c r="BL208" s="2">
        <f>SUMIFS(base[L/P Líquido],base[Data],Extrato!$B208,base[Método],Extrato!BL$3,base[Exchange],"Bolsa")</f>
        <v>0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v>0</v>
      </c>
      <c r="BQ208" s="2">
        <v>0</v>
      </c>
      <c r="BR208" s="490">
        <f t="shared" si="35"/>
        <v>376.08</v>
      </c>
    </row>
    <row r="209" spans="2:70" ht="15" customHeight="1">
      <c r="B209" s="33">
        <v>46199</v>
      </c>
      <c r="C209" s="2">
        <f t="shared" ref="C209:C211" si="40">AN208</f>
        <v>4804.19895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Líquido],base[Data],Extrato!$B209,base[Método],Extrato!F$3)</f>
        <v>2.6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27.28</v>
      </c>
      <c r="I209" s="2">
        <f>SUMIFS(base[L/P Líquido],base[Data],Extrato!$B209,base[Método],Extrato!I$3,base[Exchange],"Fulltbet")</f>
        <v>5.51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Líquido],base[Data],Extrato!$B209,base[Método],Extrato!L$3,base[Exchange],"Fulltbet")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Líquido],base[Data],Extrato!$B209,base[Método],Extrato!W$3)</f>
        <v>0</v>
      </c>
      <c r="X209" s="2">
        <f>SUMIFS(base[L/P Líquido],base[Data],Extrato!$B209,base[Método],Extrato!X$3)</f>
        <v>78.2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Líquido],base[Data],Extrato!$B209,base[Método],Extrato!Z$3)</f>
        <v>0</v>
      </c>
      <c r="AA209" s="2">
        <f>SUMIFS(base[L/P Líquido],base[Data],Extrato!$B209,base[Método],Extrato!AA$3)</f>
        <v>0</v>
      </c>
      <c r="AB209" s="2">
        <f>SUMIFS(base[L/P Líquido],base[Data],Extrato!$B209,base[Método],Extrato!AB$3)</f>
        <v>47.75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v>0</v>
      </c>
      <c r="AM209" s="2">
        <v>0</v>
      </c>
      <c r="AN209" s="490">
        <f t="shared" si="25"/>
        <v>4385.86895</v>
      </c>
      <c r="AP209" s="2">
        <f t="shared" ref="AP209:AP211" si="41">BG208</f>
        <v>1510.9844073268484</v>
      </c>
      <c r="AQ209" s="2">
        <f>SUMIFS(base[L/P Líquido],base[Data],Extrato!$B209,base[Método],Extrato!AQ$3,base[Exchange],"Betbra")</f>
        <v>72</v>
      </c>
      <c r="AR209" s="2">
        <f>SUMIFS(base[L/P Líquido],base[Data],Extrato!$B209,base[Método],Extrato!AR$3,base[Exchange],"Betbra")</f>
        <v>0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SUMIF(BetFlow!B:B,Extrato!B209,BetFlow!M:M)</f>
        <v>6.4783799999999996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SUMIFS(base[L/P Líquido],base[Data],Extrato!$B209,base[Método],Extrato!AZ$3,base[Exchange],"Betbra")</f>
        <v>17.03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-201.39</v>
      </c>
      <c r="BD209" s="2">
        <f>SUMIFS(base[L/P Líquido],base[Data],Extrato!$B209,base[Método],Extrato!BD$3,base[Exchange],"Betbra")</f>
        <v>0</v>
      </c>
      <c r="BE209" s="2">
        <v>0</v>
      </c>
      <c r="BF209" s="2">
        <v>-0.01</v>
      </c>
      <c r="BG209" s="490">
        <f t="shared" si="13"/>
        <v>1405.0927873268486</v>
      </c>
      <c r="BI209" s="2">
        <f t="shared" ref="BI209:BI211" si="42">BR208</f>
        <v>376.08</v>
      </c>
      <c r="BJ209" s="2">
        <f>SUMIFS(base[L/P Líquido],base[Data],Extrato!$B209,base[Método],Extrato!BJ$3,base[Exchange],"Bolsa")</f>
        <v>0</v>
      </c>
      <c r="BK209" s="2">
        <f>SUMIFS(base[L/P Líquido],base[Data],Extrato!$B209,base[Método],Extrato!BK$3,base[Exchange],"Bolsa")</f>
        <v>0</v>
      </c>
      <c r="BL209" s="2">
        <f>SUMIFS(base[L/P Líquido],base[Data],Extrato!$B209,base[Método],Extrato!BL$3,base[Exchange],"Bolsa")</f>
        <v>0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v>0</v>
      </c>
      <c r="BQ209" s="2">
        <v>0</v>
      </c>
      <c r="BR209" s="490">
        <f t="shared" si="35"/>
        <v>376.08</v>
      </c>
    </row>
    <row r="210" spans="2:70" ht="15" customHeight="1">
      <c r="B210" s="33">
        <v>46200</v>
      </c>
      <c r="C210" s="2">
        <f t="shared" si="40"/>
        <v>4385.86895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Líquido],base[Data],Extrato!$B210,base[Método],Extrato!G$3,base[Exchange],"Fulltbet")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Líquido],base[Data],Extrato!$B210,base[Método],Extrato!I$3,base[Exchange],"Fulltbet")</f>
        <v>196.53000000000003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Líquido],base[Data],Extrato!$B210,base[Método],Extrato!L$3,base[Exchange],"Fulltbet")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Líquido],base[Data],Extrato!$B210,base[Método],Extrato!W$3)</f>
        <v>0</v>
      </c>
      <c r="X210" s="2">
        <f>SUMIFS(base[L/P Líquido],base[Data],Extrato!$B210,base[Método],Extrato!X$3)</f>
        <v>39.28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Líquido],base[Data],Extrato!$B210,base[Método],Extrato!Z$3)</f>
        <v>0</v>
      </c>
      <c r="AA210" s="2">
        <f>SUMIFS(base[L/P Líquido],base[Data],Extrato!$B210,base[Método],Extrato!AA$3)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v>0</v>
      </c>
      <c r="AM210" s="2">
        <v>0</v>
      </c>
      <c r="AN210" s="490">
        <f t="shared" si="25"/>
        <v>4767.8989499999998</v>
      </c>
      <c r="AP210" s="2">
        <f t="shared" si="41"/>
        <v>1405.0927873268486</v>
      </c>
      <c r="AQ210" s="2">
        <f>SUMIFS(base[L/P Líquido],base[Data],Extrato!$B210,base[Método],Extrato!AQ$3,base[Exchange],"Betbra")</f>
        <v>25.09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SUMIF(BetFlow!B:B,Extrato!B210,BetFlow!M:M)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SUMIFS(base[L/P Líquido],base[Data],Extrato!$B210,base[Método],Extrato!AZ$3,base[Exchange],"Betbra")</f>
        <v>-57.410000000000004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0</v>
      </c>
      <c r="BE210" s="2">
        <v>0</v>
      </c>
      <c r="BF210" s="2">
        <v>-0.01</v>
      </c>
      <c r="BG210" s="490">
        <f t="shared" si="13"/>
        <v>1372.7627873268484</v>
      </c>
      <c r="BI210" s="2">
        <f t="shared" si="42"/>
        <v>376.08</v>
      </c>
      <c r="BJ210" s="2">
        <f>SUMIFS(base[L/P Líquido],base[Data],Extrato!$B210,base[Método],Extrato!BJ$3,base[Exchange],"Bolsa")</f>
        <v>0</v>
      </c>
      <c r="BK210" s="2">
        <f>SUMIFS(base[L/P Líquido],base[Data],Extrato!$B210,base[Método],Extrato!BK$3,base[Exchange],"Bolsa")</f>
        <v>0</v>
      </c>
      <c r="BL210" s="2">
        <f>SUMIFS(base[L/P Líquido],base[Data],Extrato!$B210,base[Método],Extrato!BL$3,base[Exchange],"Bolsa")</f>
        <v>0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v>0</v>
      </c>
      <c r="BQ210" s="2">
        <v>0</v>
      </c>
      <c r="BR210" s="490">
        <f t="shared" si="35"/>
        <v>376.08</v>
      </c>
    </row>
    <row r="211" spans="2:70" ht="15" customHeight="1">
      <c r="B211" s="33">
        <v>46201</v>
      </c>
      <c r="C211" s="2">
        <f t="shared" si="40"/>
        <v>4767.8989499999998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16.43</v>
      </c>
      <c r="I211" s="2">
        <f>SUMIFS(base[L/P Líquido],base[Data],Extrato!$B211,base[Método],Extrato!I$3,base[Exchange],"Fulltbet")</f>
        <v>-117.30999999999999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Líquido],base[Data],Extrato!$B211,base[Método],Extrato!L$3,base[Exchange],"Fulltbet")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Líquido],base[Data],Extrato!$B211,base[Método],Extrato!W$3)</f>
        <v>0</v>
      </c>
      <c r="X211" s="2">
        <f>SUMIFS(base[L/P Líquido],base[Data],Extrato!$B211,base[Método],Extrato!X$3)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Líquido],base[Data],Extrato!$B211,base[Método],Extrato!Z$3)</f>
        <v>0</v>
      </c>
      <c r="AA211" s="2">
        <f>SUMIFS(base[L/P Líquido],base[Data],Extrato!$B211,base[Método],Extrato!AA$3)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v>0</v>
      </c>
      <c r="AM211" s="2">
        <v>-0.01</v>
      </c>
      <c r="AN211" s="490">
        <f t="shared" si="25"/>
        <v>3989.8389500000003</v>
      </c>
      <c r="AP211" s="2">
        <f t="shared" si="41"/>
        <v>1372.7627873268484</v>
      </c>
      <c r="AQ211" s="2">
        <f>SUMIFS(base[L/P Líquido],base[Data],Extrato!$B211,base[Método],Extrato!AQ$3,base[Exchange],"Betbra")</f>
        <v>-399.98</v>
      </c>
      <c r="AR211" s="2">
        <f>SUMIFS(base[L/P Líquido],base[Data],Extrato!$B211,base[Método],Extrato!AR$3,base[Exchange],"Betbra")</f>
        <v>0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SUMIF(BetFlow!B:B,Extrato!B211,BetFlow!M:M)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SUMIFS(base[L/P Líquido],base[Data],Extrato!$B211,base[Método],Extrato!AZ$3,base[Exchange],"Betbra")</f>
        <v>-31.059999999999995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0</v>
      </c>
      <c r="BE211" s="2">
        <v>0</v>
      </c>
      <c r="BF211" s="2">
        <v>0</v>
      </c>
      <c r="BG211" s="490">
        <f t="shared" si="13"/>
        <v>941.72278732684845</v>
      </c>
      <c r="BI211" s="2">
        <f t="shared" si="42"/>
        <v>376.08</v>
      </c>
      <c r="BJ211" s="2">
        <f>SUMIFS(base[L/P Líquido],base[Data],Extrato!$B211,base[Método],Extrato!BJ$3,base[Exchange],"Bolsa")</f>
        <v>0</v>
      </c>
      <c r="BK211" s="2">
        <f>SUMIFS(base[L/P Líquido],base[Data],Extrato!$B211,base[Método],Extrato!BK$3,base[Exchange],"Bolsa")</f>
        <v>0</v>
      </c>
      <c r="BL211" s="2">
        <f>SUMIFS(base[L/P Líquido],base[Data],Extrato!$B211,base[Método],Extrato!BL$3,base[Exchange],"Bolsa")</f>
        <v>0</v>
      </c>
      <c r="BM211" s="2">
        <f>SUMIFS(base[L/P Líquido],base[Data],Extrato!$B211,base[Método],Extrato!BM$3,base[Exchange],"Bolsa")</f>
        <v>24.429999999999996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v>0</v>
      </c>
      <c r="BQ211" s="2">
        <v>0</v>
      </c>
      <c r="BR211" s="490">
        <f t="shared" si="35"/>
        <v>400.51</v>
      </c>
    </row>
    <row r="212" spans="2:70" ht="15" customHeight="1">
      <c r="B212" s="33">
        <v>46202</v>
      </c>
      <c r="C212" s="2">
        <f t="shared" ref="C212" si="43">AN211</f>
        <v>3989.8389500000003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Líquido],base[Data],Extrato!$B212,base[Método],Extrato!I$3,base[Exchange],"Fulltbet")</f>
        <v>20.54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Líquido],base[Data],Extrato!$B212,base[Método],Extrato!L$3,base[Exchange],"Fulltbet")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Líquido],base[Data],Extrato!$B212,base[Método],Extrato!W$3)</f>
        <v>0</v>
      </c>
      <c r="X212" s="2">
        <f>SUMIFS(base[L/P Líquido],base[Data],Extrato!$B212,base[Método],Extrato!X$3)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Líquido],base[Data],Extrato!$B212,base[Método],Extrato!Z$3)</f>
        <v>0</v>
      </c>
      <c r="AA212" s="2">
        <f>SUMIFS(base[L/P Líquido],base[Data],Extrato!$B212,base[Método],Extrato!AA$3)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v>0</v>
      </c>
      <c r="AM212" s="2">
        <v>0</v>
      </c>
      <c r="AN212" s="490">
        <f t="shared" si="25"/>
        <v>4185.0389500000001</v>
      </c>
      <c r="AP212" s="2">
        <f t="shared" ref="AP212" si="44">BG211</f>
        <v>941.72278732684845</v>
      </c>
      <c r="AQ212" s="2">
        <f>SUMIFS(base[L/P Líquido],base[Data],Extrato!$B212,base[Método],Extrato!AQ$3,base[Exchange],"Betbra")</f>
        <v>0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SUMIF(BetFlow!B:B,Extrato!B212,BetFlow!M:M)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SUMIFS(base[L/P Líquido],base[Data],Extrato!$B212,base[Método],Extrato!AZ$3,base[Exchange],"Betbra")</f>
        <v>-5.5600000000000023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35.17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0</v>
      </c>
      <c r="BE212" s="2">
        <v>0</v>
      </c>
      <c r="BF212" s="2">
        <v>0.01</v>
      </c>
      <c r="BG212" s="490">
        <f t="shared" si="13"/>
        <v>971.34278732684845</v>
      </c>
      <c r="BI212" s="2">
        <f t="shared" ref="BI212" si="45">BR211</f>
        <v>400.51</v>
      </c>
      <c r="BJ212" s="2">
        <f>SUMIFS(base[L/P Líquido],base[Data],Extrato!$B212,base[Método],Extrato!BJ$3,base[Exchange],"Bolsa")</f>
        <v>0</v>
      </c>
      <c r="BK212" s="2">
        <f>SUMIFS(base[L/P Líquido],base[Data],Extrato!$B212,base[Método],Extrato!BK$3,base[Exchange],"Bolsa")</f>
        <v>0</v>
      </c>
      <c r="BL212" s="2">
        <f>SUMIFS(base[L/P Líquido],base[Data],Extrato!$B212,base[Método],Extrato!BL$3,base[Exchange],"Bolsa")</f>
        <v>0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v>0</v>
      </c>
      <c r="BQ212" s="2">
        <v>0</v>
      </c>
      <c r="BR212" s="490">
        <f t="shared" si="35"/>
        <v>400.51</v>
      </c>
    </row>
    <row r="213" spans="2:70" ht="15" customHeight="1">
      <c r="B213" s="33">
        <v>46203</v>
      </c>
      <c r="C213" s="2">
        <f t="shared" ref="C213" si="46">AN212</f>
        <v>4185.0389500000001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Líquido],base[Data],Extrato!$B213,base[Método],Extrato!G$3,base[Exchange],"Fulltbet")</f>
        <v>0</v>
      </c>
      <c r="H213" s="2">
        <f>SUMIFS(base[L/P Líquido],base[Data],Extrato!$B213,base[Método],Extrato!H$3)</f>
        <v>0</v>
      </c>
      <c r="I213" s="2">
        <f>SUMIFS(base[L/P Líquido],base[Data],Extrato!$B213,base[Método],Extrato!I$3,base[Exchange],"Fulltbet")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Líquido],base[Data],Extrato!$B213,base[Método],Extrato!L$3,base[Exchange],"Fulltbet")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Líquido],base[Data],Extrato!$B213,base[Método],Extrato!W$3)</f>
        <v>0</v>
      </c>
      <c r="X213" s="2">
        <f>SUMIFS(base[L/P Líquido],base[Data],Extrato!$B213,base[Método],Extrato!X$3)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Líquido],base[Data],Extrato!$B213,base[Método],Extrato!AB$3)</f>
        <v>18.18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v>0</v>
      </c>
      <c r="AM213" s="2">
        <v>0</v>
      </c>
      <c r="AN213" s="490">
        <f t="shared" si="25"/>
        <v>4287.4989500000011</v>
      </c>
      <c r="AP213" s="2">
        <f t="shared" ref="AP213" si="47">BG212</f>
        <v>971.34278732684845</v>
      </c>
      <c r="AQ213" s="2">
        <f>SUMIFS(base[L/P Líquido],base[Data],Extrato!$B213,base[Método],Extrato!AQ$3,base[Exchange],"Betbra")</f>
        <v>0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SUMIF(BetFlow!B:B,Extrato!B213,BetFlow!M:M)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v>0</v>
      </c>
      <c r="BF213" s="2">
        <v>0</v>
      </c>
      <c r="BG213" s="490">
        <f t="shared" si="13"/>
        <v>971.34278732684845</v>
      </c>
      <c r="BI213" s="2">
        <f t="shared" ref="BI213" si="48">BR212</f>
        <v>400.51</v>
      </c>
      <c r="BJ213" s="2">
        <f>SUMIFS(base[L/P Líquido],base[Data],Extrato!$B213,base[Método],Extrato!BJ$3,base[Exchange],"Bolsa")</f>
        <v>0</v>
      </c>
      <c r="BK213" s="2">
        <f>SUMIFS(base[L/P Líquido],base[Data],Extrato!$B213,base[Método],Extrato!BK$3,base[Exchange],"Bolsa")</f>
        <v>0</v>
      </c>
      <c r="BL213" s="2">
        <f>SUMIFS(base[L/P Líquido],base[Data],Extrato!$B213,base[Método],Extrato!BL$3,base[Exchange],"Bolsa")</f>
        <v>0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v>0</v>
      </c>
      <c r="BQ213" s="2">
        <v>0</v>
      </c>
      <c r="BR213" s="490">
        <f t="shared" si="35"/>
        <v>400.51</v>
      </c>
    </row>
    <row r="214" spans="2:70" ht="15" customHeight="1">
      <c r="B214" s="33">
        <v>46204</v>
      </c>
      <c r="C214" s="2">
        <f t="shared" ref="C214" si="49">AN213</f>
        <v>4287.4989500000011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Líquido],base[Data],Extrato!$B214,base[Método],Extrato!G$3,base[Exchange],"Fulltbet")</f>
        <v>0.56999999999999995</v>
      </c>
      <c r="H214" s="2">
        <f>SUMIFS(base[L/P Líquido],base[Data],Extrato!$B214,base[Método],Extrato!H$3)</f>
        <v>0</v>
      </c>
      <c r="I214" s="2">
        <f>SUMIFS(base[L/P Líquido],base[Data],Extrato!$B214,base[Método],Extrato!I$3,base[Exchange],"Fulltbet")</f>
        <v>107.88000000000001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Líquido],base[Data],Extrato!$B214,base[Método],Extrato!L$3,base[Exchange],"Fulltbet")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Líquido],base[Data],Extrato!$B214,base[Método],Extrato!W$3)</f>
        <v>0</v>
      </c>
      <c r="X214" s="2">
        <f>SUMIFS(base[L/P Líquido],base[Data],Extrato!$B214,base[Método],Extrato!X$3)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Líquido],base[Data],Extrato!$B214,base[Método],Extrato!Z$3)</f>
        <v>0</v>
      </c>
      <c r="AA214" s="2">
        <f>SUMIFS(base[L/P Líquido],base[Data],Extrato!$B214,base[Método],Extrato!AA$3)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v>0</v>
      </c>
      <c r="AM214" s="2">
        <v>-0.01</v>
      </c>
      <c r="AN214" s="490">
        <f t="shared" si="25"/>
        <v>4341.7189500000004</v>
      </c>
      <c r="AP214" s="2">
        <f t="shared" ref="AP214" si="50">BG213</f>
        <v>971.34278732684845</v>
      </c>
      <c r="AQ214" s="2">
        <f>SUMIFS(base[L/P Líquido],base[Data],Extrato!$B214,base[Método],Extrato!AQ$3,base[Exchange],"Betbra")</f>
        <v>0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SUMIF(BetFlow!B:B,Extrato!B214,BetFlow!M:M)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SUMIFS(base[L/P Líquido],base[Data],Extrato!$B214,base[Método],Extrato!AZ$3,base[Exchange],"Betbra")</f>
        <v>54.730000000000004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-100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0</v>
      </c>
      <c r="BE214" s="2">
        <v>0</v>
      </c>
      <c r="BF214" s="2">
        <v>0</v>
      </c>
      <c r="BG214" s="490">
        <f t="shared" ref="BG214:BG245" si="51">SUM(AP214:BF214)</f>
        <v>926.07278732684836</v>
      </c>
      <c r="BI214" s="2">
        <f t="shared" ref="BI214" si="52">BR213</f>
        <v>400.51</v>
      </c>
      <c r="BJ214" s="2">
        <f>SUMIFS(base[L/P Líquido],base[Data],Extrato!$B214,base[Método],Extrato!BJ$3,base[Exchange],"Bolsa")</f>
        <v>0</v>
      </c>
      <c r="BK214" s="2">
        <f>SUMIFS(base[L/P Líquido],base[Data],Extrato!$B214,base[Método],Extrato!BK$3,base[Exchange],"Bolsa")</f>
        <v>0</v>
      </c>
      <c r="BL214" s="2">
        <f>SUMIFS(base[L/P Líquido],base[Data],Extrato!$B214,base[Método],Extrato!BL$3,base[Exchange],"Bolsa")</f>
        <v>0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v>0</v>
      </c>
      <c r="BQ214" s="2">
        <v>0</v>
      </c>
      <c r="BR214" s="490">
        <f t="shared" si="35"/>
        <v>400.51</v>
      </c>
    </row>
    <row r="215" spans="2:70" ht="15" customHeight="1">
      <c r="B215" s="33">
        <v>46205</v>
      </c>
      <c r="C215" s="2">
        <f t="shared" ref="C215:C216" si="53">AN214</f>
        <v>4341.7189500000004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Líquido],base[Data],Extrato!$B215,base[Método],Extrato!G$3,base[Exchange],"Fulltbet")</f>
        <v>0</v>
      </c>
      <c r="H215" s="2">
        <f>SUMIFS(base[L/P Líquido],base[Data],Extrato!$B215,base[Método],Extrato!H$3)</f>
        <v>0</v>
      </c>
      <c r="I215" s="2">
        <f>SUMIFS(base[L/P Líquido],base[Data],Extrato!$B215,base[Método],Extrato!I$3,base[Exchange],"Fulltbet")</f>
        <v>60.650000000000006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Líquido],base[Data],Extrato!$B215,base[Método],Extrato!L$3,base[Exchange],"Fulltbet")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Líquido],base[Data],Extrato!$B215,base[Método],Extrato!W$3)</f>
        <v>0</v>
      </c>
      <c r="X215" s="2">
        <f>SUMIFS(base[L/P Líquido],base[Data],Extrato!$B215,base[Método],Extrato!X$3)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Líquido],base[Data],Extrato!$B215,base[Método],Extrato!Z$3)</f>
        <v>0</v>
      </c>
      <c r="AA215" s="2">
        <f>SUMIFS(base[L/P Líquido],base[Data],Extrato!$B215,base[Método],Extrato!AA$3)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v>0</v>
      </c>
      <c r="AM215" s="2">
        <v>0</v>
      </c>
      <c r="AN215" s="490">
        <f t="shared" si="25"/>
        <v>4517.6889500000007</v>
      </c>
      <c r="AP215" s="2">
        <f t="shared" ref="AP215:AP216" si="54">BG214</f>
        <v>926.07278732684836</v>
      </c>
      <c r="AQ215" s="2">
        <f>SUMIFS(base[L/P Líquido],base[Data],Extrato!$B215,base[Método],Extrato!AQ$3,base[Exchange],"Betbra")</f>
        <v>26.82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SUMIF(BetFlow!B:B,Extrato!B215,BetFlow!M:M)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SUMIFS(base[L/P Líquido],base[Data],Extrato!$B215,base[Método],Extrato!AZ$3,base[Exchange],"Betbra")</f>
        <v>-76.70999999999998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0</v>
      </c>
      <c r="BE215" s="2">
        <v>0</v>
      </c>
      <c r="BF215" s="2">
        <v>0</v>
      </c>
      <c r="BG215" s="490">
        <f t="shared" si="51"/>
        <v>876.18278732684848</v>
      </c>
      <c r="BI215" s="2">
        <f t="shared" ref="BI215:BI216" si="55">BR214</f>
        <v>400.51</v>
      </c>
      <c r="BJ215" s="2">
        <f>SUMIFS(base[L/P Líquido],base[Data],Extrato!$B215,base[Método],Extrato!BJ$3,base[Exchange],"Bolsa")</f>
        <v>0</v>
      </c>
      <c r="BK215" s="2">
        <f>SUMIFS(base[L/P Líquido],base[Data],Extrato!$B215,base[Método],Extrato!BK$3,base[Exchange],"Bolsa")</f>
        <v>0</v>
      </c>
      <c r="BL215" s="2">
        <f>SUMIFS(base[L/P Líquido],base[Data],Extrato!$B215,base[Método],Extrato!BL$3,base[Exchange],"Bolsa")</f>
        <v>0</v>
      </c>
      <c r="BM215" s="2">
        <f>SUMIFS(base[L/P Líquido],base[Data],Extrato!$B215,base[Método],Extrato!BM$3,base[Exchange],"Bolsa")</f>
        <v>16.93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v>0</v>
      </c>
      <c r="BQ215" s="2">
        <v>0</v>
      </c>
      <c r="BR215" s="490">
        <f t="shared" si="35"/>
        <v>417.44</v>
      </c>
    </row>
    <row r="216" spans="2:70" ht="15" customHeight="1">
      <c r="B216" s="33">
        <v>46206</v>
      </c>
      <c r="C216" s="2">
        <f t="shared" si="53"/>
        <v>4517.6889500000007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Líquido],base[Data],Extrato!$B216,base[Método],Extrato!G$3,base[Exchange],"Fulltbet")</f>
        <v>0</v>
      </c>
      <c r="H216" s="2">
        <f>SUMIFS(base[L/P Líquido],base[Data],Extrato!$B216,base[Método],Extrato!H$3)</f>
        <v>0</v>
      </c>
      <c r="I216" s="2">
        <f>SUMIFS(base[L/P Líquido],base[Data],Extrato!$B216,base[Método],Extrato!I$3,base[Exchange],"Fulltbet")</f>
        <v>8.25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Líquido],base[Data],Extrato!$B216,base[Método],Extrato!L$3,base[Exchange],"Fulltbet")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Líquido],base[Data],Extrato!$B216,base[Método],Extrato!W$3)</f>
        <v>0</v>
      </c>
      <c r="X216" s="2">
        <f>SUMIFS(base[L/P Líquido],base[Data],Extrato!$B216,base[Método],Extrato!X$3)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Líquido],base[Data],Extrato!$B216,base[Método],Extrato!Z$3)</f>
        <v>0</v>
      </c>
      <c r="AA216" s="2">
        <f>SUMIFS(base[L/P Líquido],base[Data],Extrato!$B216,base[Método],Extrato!AA$3)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v>0</v>
      </c>
      <c r="AM216" s="2">
        <v>0</v>
      </c>
      <c r="AN216" s="490">
        <f t="shared" si="25"/>
        <v>4714.0989500000005</v>
      </c>
      <c r="AP216" s="2">
        <f t="shared" si="54"/>
        <v>876.18278732684848</v>
      </c>
      <c r="AQ216" s="2">
        <f>SUMIFS(base[L/P Líquido],base[Data],Extrato!$B216,base[Método],Extrato!AQ$3,base[Exchange],"Betbra")</f>
        <v>0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SUMIF(BetFlow!B:B,Extrato!B216,BetFlow!M:M)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SUMIFS(base[L/P Líquido],base[Data],Extrato!$B216,base[Método],Extrato!AZ$3,base[Exchange],"Betbra")</f>
        <v>10.86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0</v>
      </c>
      <c r="BE216" s="2">
        <v>0</v>
      </c>
      <c r="BF216" s="2">
        <v>0</v>
      </c>
      <c r="BG216" s="490">
        <f t="shared" si="51"/>
        <v>887.0427873268485</v>
      </c>
      <c r="BI216" s="2">
        <f t="shared" si="55"/>
        <v>417.44</v>
      </c>
      <c r="BJ216" s="2">
        <f>SUMIFS(base[L/P Líquido],base[Data],Extrato!$B216,base[Método],Extrato!BJ$3,base[Exchange],"Bolsa")</f>
        <v>0</v>
      </c>
      <c r="BK216" s="2">
        <f>SUMIFS(base[L/P Líquido],base[Data],Extrato!$B216,base[Método],Extrato!BK$3,base[Exchange],"Bolsa")</f>
        <v>0</v>
      </c>
      <c r="BL216" s="2">
        <f>SUMIFS(base[L/P Líquido],base[Data],Extrato!$B216,base[Método],Extrato!BL$3,base[Exchange],"Bolsa")</f>
        <v>0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v>0</v>
      </c>
      <c r="BQ216" s="2">
        <v>0</v>
      </c>
      <c r="BR216" s="490">
        <f t="shared" si="35"/>
        <v>417.44</v>
      </c>
    </row>
    <row r="217" spans="2:70" ht="15" customHeight="1">
      <c r="B217" s="33">
        <v>46207</v>
      </c>
      <c r="C217" s="2">
        <f t="shared" ref="C217:C218" si="56">AN216</f>
        <v>4714.0989500000005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Líquido],base[Data],Extrato!$B217,base[Método],Extrato!G$3,base[Exchange],"Fulltbet")</f>
        <v>0</v>
      </c>
      <c r="H217" s="2">
        <f>SUMIFS(base[L/P Líquido],base[Data],Extrato!$B217,base[Método],Extrato!H$3)</f>
        <v>0</v>
      </c>
      <c r="I217" s="2">
        <f>SUMIFS(base[L/P Líquido],base[Data],Extrato!$B217,base[Método],Extrato!I$3,base[Exchange],"Fulltbet")</f>
        <v>63.980000000000004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Líquido],base[Data],Extrato!$B217,base[Método],Extrato!L$3,base[Exchange],"Fulltbet")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Líquido],base[Data],Extrato!$B217,base[Método],Extrato!W$3)</f>
        <v>0</v>
      </c>
      <c r="X217" s="2">
        <f>SUMIFS(base[L/P Líquido],base[Data],Extrato!$B217,base[Método],Extrato!X$3)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Líquido],base[Data],Extrato!$B217,base[Método],Extrato!Z$3)</f>
        <v>0</v>
      </c>
      <c r="AA217" s="2">
        <f>SUMIFS(base[L/P Líquido],base[Data],Extrato!$B217,base[Método],Extrato!AA$3)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v>0</v>
      </c>
      <c r="AM217" s="2">
        <v>0</v>
      </c>
      <c r="AN217" s="490">
        <f t="shared" si="25"/>
        <v>4882.4789499999997</v>
      </c>
      <c r="AP217" s="2">
        <f t="shared" ref="AP217:AP218" si="57">BG216</f>
        <v>887.0427873268485</v>
      </c>
      <c r="AQ217" s="2">
        <f>SUMIFS(base[L/P Líquido],base[Data],Extrato!$B217,base[Método],Extrato!AQ$3,base[Exchange],"Betbra")</f>
        <v>37.07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SUMIF(BetFlow!B:B,Extrato!B217,BetFlow!M:M)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SUMIFS(base[L/P Líquido],base[Data],Extrato!$B217,base[Método],Extrato!AZ$3,base[Exchange],"Betbra")</f>
        <v>160.24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0</v>
      </c>
      <c r="BE217" s="2">
        <v>0</v>
      </c>
      <c r="BF217" s="2">
        <v>-0.01</v>
      </c>
      <c r="BG217" s="490">
        <f t="shared" si="51"/>
        <v>1084.3427873268486</v>
      </c>
      <c r="BI217" s="2">
        <f t="shared" ref="BI217:BI218" si="58">BR216</f>
        <v>417.44</v>
      </c>
      <c r="BJ217" s="2">
        <f>SUMIFS(base[L/P Líquido],base[Data],Extrato!$B217,base[Método],Extrato!BJ$3,base[Exchange],"Bolsa")</f>
        <v>0</v>
      </c>
      <c r="BK217" s="2">
        <f>SUMIFS(base[L/P Líquido],base[Data],Extrato!$B217,base[Método],Extrato!BK$3,base[Exchange],"Bolsa")</f>
        <v>0</v>
      </c>
      <c r="BL217" s="2">
        <f>SUMIFS(base[L/P Líquido],base[Data],Extrato!$B217,base[Método],Extrato!BL$3,base[Exchange],"Bolsa")</f>
        <v>0</v>
      </c>
      <c r="BM217" s="2">
        <f>SUMIFS(base[L/P Líquido],base[Data],Extrato!$B217,base[Método],Extrato!BM$3,base[Exchange],"Bolsa")</f>
        <v>86.309999999999988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v>0</v>
      </c>
      <c r="BQ217" s="2">
        <v>0</v>
      </c>
      <c r="BR217" s="490">
        <f t="shared" si="35"/>
        <v>503.75</v>
      </c>
    </row>
    <row r="218" spans="2:70" ht="15" customHeight="1">
      <c r="B218" s="33">
        <v>46208</v>
      </c>
      <c r="C218" s="2">
        <f t="shared" si="56"/>
        <v>4882.4789499999997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0</v>
      </c>
      <c r="I218" s="2">
        <f>SUMIFS(base[L/P Líquido],base[Data],Extrato!$B218,base[Método],Extrato!I$3,base[Exchange],"Fulltbet")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Líquido],base[Data],Extrato!$B218,base[Método],Extrato!L$3,base[Exchange],"Fulltbet")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Líquido],base[Data],Extrato!$B218,base[Método],Extrato!W$3)</f>
        <v>0</v>
      </c>
      <c r="X218" s="2">
        <f>SUMIFS(base[L/P Líquido],base[Data],Extrato!$B218,base[Método],Extrato!X$3)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v>0</v>
      </c>
      <c r="AM218" s="2">
        <v>0</v>
      </c>
      <c r="AN218" s="490">
        <f t="shared" si="25"/>
        <v>4519.0251499999995</v>
      </c>
      <c r="AP218" s="2">
        <f t="shared" si="57"/>
        <v>1084.3427873268486</v>
      </c>
      <c r="AQ218" s="2">
        <f>SUMIFS(base[L/P Líquido],base[Data],Extrato!$B218,base[Método],Extrato!AQ$3,base[Exchange],"Betbra")</f>
        <v>0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SUMIF(BetFlow!B:B,Extrato!B218,BetFlow!M:M)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v>0</v>
      </c>
      <c r="BF218" s="2">
        <v>0</v>
      </c>
      <c r="BG218" s="490">
        <f t="shared" si="51"/>
        <v>1084.3427873268486</v>
      </c>
      <c r="BI218" s="2">
        <f t="shared" si="58"/>
        <v>503.75</v>
      </c>
      <c r="BJ218" s="2">
        <f>SUMIFS(base[L/P Líquido],base[Data],Extrato!$B218,base[Método],Extrato!BJ$3,base[Exchange],"Bolsa")</f>
        <v>0</v>
      </c>
      <c r="BK218" s="2">
        <f>SUMIFS(base[L/P Líquido],base[Data],Extrato!$B218,base[Método],Extrato!BK$3,base[Exchange],"Bolsa")</f>
        <v>0</v>
      </c>
      <c r="BL218" s="2">
        <f>SUMIFS(base[L/P Líquido],base[Data],Extrato!$B218,base[Método],Extrato!BL$3,base[Exchange],"Bolsa")</f>
        <v>0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v>0</v>
      </c>
      <c r="BQ218" s="2">
        <v>0</v>
      </c>
      <c r="BR218" s="490">
        <f t="shared" si="35"/>
        <v>503.75</v>
      </c>
    </row>
    <row r="219" spans="2:70" ht="15" customHeight="1">
      <c r="B219" s="33">
        <v>46209</v>
      </c>
      <c r="C219" s="2">
        <f t="shared" ref="C219" si="59">AN218</f>
        <v>4519.0251499999995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Líquido],base[Data],Extrato!$B219,base[Método],Extrato!I$3,base[Exchange],"Fulltbet")</f>
        <v>8.5500000000000007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Líquido],base[Data],Extrato!$B219,base[Método],Extrato!L$3,base[Exchange],"Fulltbet")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Líquido],base[Data],Extrato!$B219,base[Método],Extrato!W$3)</f>
        <v>0</v>
      </c>
      <c r="X219" s="2">
        <f>SUMIFS(base[L/P Líquido],base[Data],Extrato!$B219,base[Método],Extrato!X$3)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Líquido],base[Data],Extrato!$B219,base[Método],Extrato!Z$3)</f>
        <v>0</v>
      </c>
      <c r="AA219" s="2">
        <f>SUMIFS(base[L/P Líquido],base[Data],Extrato!$B219,base[Método],Extrato!AA$3)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v>0</v>
      </c>
      <c r="AM219" s="2">
        <v>0</v>
      </c>
      <c r="AN219" s="490">
        <f t="shared" si="25"/>
        <v>4550.8851500000001</v>
      </c>
      <c r="AP219" s="2">
        <f t="shared" ref="AP219" si="60">BG218</f>
        <v>1084.3427873268486</v>
      </c>
      <c r="AQ219" s="2">
        <f>SUMIFS(base[L/P Líquido],base[Data],Extrato!$B219,base[Método],Extrato!AQ$3,base[Exchange],"Betbra")</f>
        <v>0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SUMIF(BetFlow!B:B,Extrato!B219,BetFlow!M:M)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SUMIFS(base[L/P Líquido],base[Data],Extrato!$B219,base[Método],Extrato!AZ$3,base[Exchange],"Betbra")</f>
        <v>50.739999999999995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0</v>
      </c>
      <c r="BE219" s="2">
        <v>0</v>
      </c>
      <c r="BF219" s="2">
        <v>0</v>
      </c>
      <c r="BG219" s="490">
        <f t="shared" si="51"/>
        <v>1135.0827873268486</v>
      </c>
      <c r="BI219" s="2">
        <f t="shared" ref="BI219" si="61">BR218</f>
        <v>503.75</v>
      </c>
      <c r="BJ219" s="2">
        <f>SUMIFS(base[L/P Líquido],base[Data],Extrato!$B219,base[Método],Extrato!BJ$3,base[Exchange],"Bolsa")</f>
        <v>0</v>
      </c>
      <c r="BK219" s="2">
        <f>SUMIFS(base[L/P Líquido],base[Data],Extrato!$B219,base[Método],Extrato!BK$3,base[Exchange],"Bolsa")</f>
        <v>0</v>
      </c>
      <c r="BL219" s="2">
        <f>SUMIFS(base[L/P Líquido],base[Data],Extrato!$B219,base[Método],Extrato!BL$3,base[Exchange],"Bolsa")</f>
        <v>0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v>0</v>
      </c>
      <c r="BQ219" s="2">
        <v>0</v>
      </c>
      <c r="BR219" s="490">
        <f t="shared" si="35"/>
        <v>503.75</v>
      </c>
    </row>
    <row r="220" spans="2:70" ht="15" customHeight="1">
      <c r="B220" s="33">
        <v>46210</v>
      </c>
      <c r="C220" s="2">
        <f t="shared" ref="C220" si="62">AN219</f>
        <v>4550.8851500000001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Líquido],base[Data],Extrato!$B220,base[Método],Extrato!G$3,base[Exchange],"Fulltbet")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Líquido],base[Data],Extrato!$B220,base[Método],Extrato!I$3,base[Exchange],"Fulltbet")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Líquido],base[Data],Extrato!$B220,base[Método],Extrato!L$3,base[Exchange],"Fulltbet")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Líquido],base[Data],Extrato!$B220,base[Método],Extrato!W$3)</f>
        <v>0</v>
      </c>
      <c r="X220" s="2">
        <f>SUMIFS(base[L/P Líquido],base[Data],Extrato!$B220,base[Método],Extrato!X$3)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v>0</v>
      </c>
      <c r="AM220" s="2">
        <v>0</v>
      </c>
      <c r="AN220" s="490">
        <f t="shared" si="25"/>
        <v>4605.5951500000001</v>
      </c>
      <c r="AP220" s="2">
        <f t="shared" ref="AP220" si="63">BG219</f>
        <v>1135.0827873268486</v>
      </c>
      <c r="AQ220" s="2">
        <f>SUMIFS(base[L/P Líquido],base[Data],Extrato!$B220,base[Método],Extrato!AQ$3,base[Exchange],"Betbra")</f>
        <v>0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17.73</v>
      </c>
      <c r="AU220" s="2">
        <f>SUMIFS(base[L/P Líquido],base[Data],Extrato!$B220,base[Método],Extrato!AU$3,base[Exchange],"Betbra")</f>
        <v>0</v>
      </c>
      <c r="AV220" s="2">
        <f>SUMIF(BetFlow!B:B,Extrato!B220,BetFlow!M:M)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0</v>
      </c>
      <c r="AY220" s="2">
        <f>SUMIFS(base[L/P Líquido],base[Data],Extrato!$B220,base[Método],Extrato!AY$3,base[Exchange],"Betbra")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v>0</v>
      </c>
      <c r="BF220" s="2">
        <v>0</v>
      </c>
      <c r="BG220" s="490">
        <f t="shared" si="51"/>
        <v>1152.8127873268486</v>
      </c>
      <c r="BI220" s="2">
        <f t="shared" ref="BI220" si="64">BR219</f>
        <v>503.75</v>
      </c>
      <c r="BJ220" s="2">
        <f>SUMIFS(base[L/P Líquido],base[Data],Extrato!$B220,base[Método],Extrato!BJ$3,base[Exchange],"Bolsa")</f>
        <v>0</v>
      </c>
      <c r="BK220" s="2">
        <f>SUMIFS(base[L/P Líquido],base[Data],Extrato!$B220,base[Método],Extrato!BK$3,base[Exchange],"Bolsa")</f>
        <v>0</v>
      </c>
      <c r="BL220" s="2">
        <f>SUMIFS(base[L/P Líquido],base[Data],Extrato!$B220,base[Método],Extrato!BL$3,base[Exchange],"Bolsa")</f>
        <v>0</v>
      </c>
      <c r="BM220" s="2">
        <f>SUMIFS(base[L/P Líquido],base[Data],Extrato!$B220,base[Método],Extrato!BM$3,base[Exchange],"Bolsa")</f>
        <v>-21.089999999999996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v>0</v>
      </c>
      <c r="BQ220" s="2">
        <v>0</v>
      </c>
      <c r="BR220" s="490">
        <f t="shared" si="35"/>
        <v>482.66</v>
      </c>
    </row>
    <row r="221" spans="2:70" ht="15" customHeight="1">
      <c r="B221" s="33">
        <v>46211</v>
      </c>
      <c r="C221" s="2">
        <f t="shared" ref="C221:C222" si="65">AN220</f>
        <v>4605.5951500000001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0</v>
      </c>
      <c r="I221" s="2">
        <f>SUMIFS(base[L/P Líquido],base[Data],Extrato!$B221,base[Método],Extrato!I$3,base[Exchange],"Fulltbet")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Líquido],base[Data],Extrato!$B221,base[Método],Extrato!L$3,base[Exchange],"Fulltbet")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Líquido],base[Data],Extrato!$B221,base[Método],Extrato!W$3)</f>
        <v>0</v>
      </c>
      <c r="X221" s="2">
        <f>SUMIFS(base[L/P Líquido],base[Data],Extrato!$B221,base[Método],Extrato!X$3)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v>0</v>
      </c>
      <c r="AM221" s="2">
        <v>-0.01</v>
      </c>
      <c r="AN221" s="490">
        <f t="shared" si="25"/>
        <v>4451.8151499999994</v>
      </c>
      <c r="AP221" s="2">
        <f t="shared" ref="AP221:AP222" si="66">BG220</f>
        <v>1152.8127873268486</v>
      </c>
      <c r="AQ221" s="2">
        <f>SUMIFS(base[L/P Líquido],base[Data],Extrato!$B221,base[Método],Extrato!AQ$3,base[Exchange],"Betbra")</f>
        <v>0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SUMIF(BetFlow!B:B,Extrato!B221,BetFlow!M:M)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v>0</v>
      </c>
      <c r="BF221" s="2">
        <v>0</v>
      </c>
      <c r="BG221" s="490">
        <f t="shared" si="51"/>
        <v>1152.8127873268486</v>
      </c>
      <c r="BI221" s="2">
        <f t="shared" ref="BI221:BI222" si="67">BR220</f>
        <v>482.66</v>
      </c>
      <c r="BJ221" s="2">
        <f>SUMIFS(base[L/P Líquido],base[Data],Extrato!$B221,base[Método],Extrato!BJ$3,base[Exchange],"Bolsa")</f>
        <v>0</v>
      </c>
      <c r="BK221" s="2">
        <f>SUMIFS(base[L/P Líquido],base[Data],Extrato!$B221,base[Método],Extrato!BK$3,base[Exchange],"Bolsa")</f>
        <v>0</v>
      </c>
      <c r="BL221" s="2">
        <f>SUMIFS(base[L/P Líquido],base[Data],Extrato!$B221,base[Método],Extrato!BL$3,base[Exchange],"Bolsa")</f>
        <v>0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v>0</v>
      </c>
      <c r="BQ221" s="2">
        <v>0</v>
      </c>
      <c r="BR221" s="490">
        <f t="shared" si="35"/>
        <v>482.66</v>
      </c>
    </row>
    <row r="222" spans="2:70" ht="15" customHeight="1">
      <c r="B222" s="33">
        <v>46212</v>
      </c>
      <c r="C222" s="2">
        <f t="shared" si="65"/>
        <v>4451.8151499999994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0</v>
      </c>
      <c r="I222" s="2">
        <f>SUMIFS(base[L/P Líquido],base[Data],Extrato!$B222,base[Método],Extrato!I$3,base[Exchange],"Fulltbet")</f>
        <v>12.63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Líquido],base[Data],Extrato!$B222,base[Método],Extrato!L$3,base[Exchange],"Fulltbet")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Líquido],base[Data],Extrato!$B222,base[Método],Extrato!W$3)</f>
        <v>0</v>
      </c>
      <c r="X222" s="2">
        <f>SUMIFS(base[L/P Líquido],base[Data],Extrato!$B222,base[Método],Extrato!X$3)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Líquido],base[Data],Extrato!$B222,base[Método],Extrato!Z$3)</f>
        <v>0</v>
      </c>
      <c r="AA222" s="2">
        <f>SUMIFS(base[L/P Líquido],base[Data],Extrato!$B222,base[Método],Extrato!AA$3)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v>0</v>
      </c>
      <c r="AM222" s="2">
        <v>0</v>
      </c>
      <c r="AN222" s="490">
        <f t="shared" si="25"/>
        <v>4503.9451499999996</v>
      </c>
      <c r="AP222" s="2">
        <f t="shared" si="66"/>
        <v>1152.8127873268486</v>
      </c>
      <c r="AQ222" s="2">
        <f>SUMIFS(base[L/P Líquido],base[Data],Extrato!$B222,base[Método],Extrato!AQ$3,base[Exchange],"Betbra")</f>
        <v>0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SUMIF(BetFlow!B:B,Extrato!B222,BetFlow!M:M)</f>
        <v>7.2265283999999985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SUMIFS(base[L/P Líquido],base[Data],Extrato!$B222,base[Método],Extrato!AZ$3,base[Exchange],"Betbra")</f>
        <v>49.269999999999996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0</v>
      </c>
      <c r="BE222" s="2">
        <v>0</v>
      </c>
      <c r="BF222" s="2">
        <v>0</v>
      </c>
      <c r="BG222" s="490">
        <f t="shared" si="51"/>
        <v>1209.3093157268486</v>
      </c>
      <c r="BI222" s="2">
        <f t="shared" si="67"/>
        <v>482.66</v>
      </c>
      <c r="BJ222" s="2">
        <f>SUMIFS(base[L/P Líquido],base[Data],Extrato!$B222,base[Método],Extrato!BJ$3,base[Exchange],"Bolsa")</f>
        <v>0</v>
      </c>
      <c r="BK222" s="2">
        <f>SUMIFS(base[L/P Líquido],base[Data],Extrato!$B222,base[Método],Extrato!BK$3,base[Exchange],"Bolsa")</f>
        <v>0</v>
      </c>
      <c r="BL222" s="2">
        <f>SUMIFS(base[L/P Líquido],base[Data],Extrato!$B222,base[Método],Extrato!BL$3,base[Exchange],"Bolsa")</f>
        <v>0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v>0</v>
      </c>
      <c r="BQ222" s="2">
        <v>0</v>
      </c>
      <c r="BR222" s="490">
        <f t="shared" si="35"/>
        <v>482.66</v>
      </c>
    </row>
    <row r="223" spans="2:70" ht="15" customHeight="1">
      <c r="B223" s="33">
        <v>46213</v>
      </c>
      <c r="C223" s="2">
        <f t="shared" ref="C223" si="68">AN222</f>
        <v>4503.9451499999996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Líquido],base[Data],Extrato!$B223,base[Método],Extrato!I$3,base[Exchange],"Fulltbet")</f>
        <v>104.99000000000001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Líquido],base[Data],Extrato!$B223,base[Método],Extrato!L$3,base[Exchange],"Fulltbet")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Líquido],base[Data],Extrato!$B223,base[Método],Extrato!W$3)</f>
        <v>0</v>
      </c>
      <c r="X223" s="2">
        <f>SUMIFS(base[L/P Líquido],base[Data],Extrato!$B223,base[Método],Extrato!X$3)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Líquido],base[Data],Extrato!$B223,base[Método],Extrato!Z$3)</f>
        <v>0</v>
      </c>
      <c r="AA223" s="2">
        <f>SUMIFS(base[L/P Líquido],base[Data],Extrato!$B223,base[Método],Extrato!AA$3)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v>0</v>
      </c>
      <c r="AM223" s="2">
        <v>0</v>
      </c>
      <c r="AN223" s="490">
        <f t="shared" si="25"/>
        <v>4544.3851499999992</v>
      </c>
      <c r="AP223" s="2">
        <f t="shared" ref="AP223" si="69">BG222</f>
        <v>1209.3093157268486</v>
      </c>
      <c r="AQ223" s="2">
        <f>SUMIFS(base[L/P Líquido],base[Data],Extrato!$B223,base[Método],Extrato!AQ$3,base[Exchange],"Betbra")</f>
        <v>0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SUMIF(BetFlow!B:B,Extrato!B223,BetFlow!M:M)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SUMIFS(base[L/P Líquido],base[Data],Extrato!$B223,base[Método],Extrato!AZ$3,base[Exchange],"Betbra")</f>
        <v>45.600000000000009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0</v>
      </c>
      <c r="BE223" s="2">
        <v>0</v>
      </c>
      <c r="BF223" s="2">
        <v>0</v>
      </c>
      <c r="BG223" s="490">
        <f t="shared" si="51"/>
        <v>1254.9093157268485</v>
      </c>
      <c r="BI223" s="2">
        <f t="shared" ref="BI223" si="70">BR222</f>
        <v>482.66</v>
      </c>
      <c r="BJ223" s="2">
        <f>SUMIFS(base[L/P Líquido],base[Data],Extrato!$B223,base[Método],Extrato!BJ$3,base[Exchange],"Bolsa")</f>
        <v>0</v>
      </c>
      <c r="BK223" s="2">
        <f>SUMIFS(base[L/P Líquido],base[Data],Extrato!$B223,base[Método],Extrato!BK$3,base[Exchange],"Bolsa")</f>
        <v>0</v>
      </c>
      <c r="BL223" s="2">
        <f>SUMIFS(base[L/P Líquido],base[Data],Extrato!$B223,base[Método],Extrato!BL$3,base[Exchange],"Bolsa")</f>
        <v>0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v>0</v>
      </c>
      <c r="BQ223" s="2">
        <v>0</v>
      </c>
      <c r="BR223" s="490">
        <f t="shared" si="35"/>
        <v>482.66</v>
      </c>
    </row>
    <row r="224" spans="2:70" ht="15" customHeight="1">
      <c r="B224" s="33">
        <v>46214</v>
      </c>
      <c r="C224" s="2">
        <f t="shared" ref="C224" si="71">AN223</f>
        <v>4544.3851499999992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Líquido],base[Data],Extrato!$B224,base[Método],Extrato!I$3,base[Exchange],"Fulltbet")</f>
        <v>64.099999999999994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Líquido],base[Data],Extrato!$B224,base[Método],Extrato!L$3,base[Exchange],"Fulltbet")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Líquido],base[Data],Extrato!$B224,base[Método],Extrato!W$3)</f>
        <v>0</v>
      </c>
      <c r="X224" s="2">
        <f>SUMIFS(base[L/P Líquido],base[Data],Extrato!$B224,base[Método],Extrato!X$3)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Líquido],base[Data],Extrato!$B224,base[Método],Extrato!Z$3)</f>
        <v>0</v>
      </c>
      <c r="AA224" s="2">
        <f>SUMIFS(base[L/P Líquido],base[Data],Extrato!$B224,base[Método],Extrato!AA$3)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v>0</v>
      </c>
      <c r="AM224" s="2">
        <v>0</v>
      </c>
      <c r="AN224" s="490">
        <f t="shared" si="25"/>
        <v>4723.2251499999993</v>
      </c>
      <c r="AP224" s="2">
        <f t="shared" ref="AP224" si="72">BG223</f>
        <v>1254.9093157268485</v>
      </c>
      <c r="AQ224" s="2">
        <f>SUMIFS(base[L/P Líquido],base[Data],Extrato!$B224,base[Método],Extrato!AQ$3,base[Exchange],"Betbra")</f>
        <v>0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SUMIF(BetFlow!B:B,Extrato!B224,BetFlow!M:M)</f>
        <v>4.3903296000000003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SUMIFS(base[L/P Líquido],base[Data],Extrato!$B224,base[Método],Extrato!AZ$3,base[Exchange],"Betbra")</f>
        <v>6.8000000000000114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0</v>
      </c>
      <c r="BE224" s="2">
        <v>0</v>
      </c>
      <c r="BF224" s="2">
        <v>0</v>
      </c>
      <c r="BG224" s="490">
        <f t="shared" si="51"/>
        <v>1266.0996453268485</v>
      </c>
      <c r="BI224" s="2">
        <f t="shared" ref="BI224" si="73">BR223</f>
        <v>482.66</v>
      </c>
      <c r="BJ224" s="2">
        <f>SUMIFS(base[L/P Líquido],base[Data],Extrato!$B224,base[Método],Extrato!BJ$3,base[Exchange],"Bolsa")</f>
        <v>0</v>
      </c>
      <c r="BK224" s="2">
        <f>SUMIFS(base[L/P Líquido],base[Data],Extrato!$B224,base[Método],Extrato!BK$3,base[Exchange],"Bolsa")</f>
        <v>-133.34</v>
      </c>
      <c r="BL224" s="2">
        <f>SUMIFS(base[L/P Líquido],base[Data],Extrato!$B224,base[Método],Extrato!BL$3,base[Exchange],"Bolsa")</f>
        <v>0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8.09</v>
      </c>
      <c r="BO224" s="2">
        <f>SUMIFS(base[L/P Líquido],base[Data],Extrato!$B224,base[Método],Extrato!BO$3,base[Exchange],"Bolsa")</f>
        <v>0</v>
      </c>
      <c r="BP224" s="2">
        <v>0</v>
      </c>
      <c r="BQ224" s="2">
        <v>-0.01</v>
      </c>
      <c r="BR224" s="490">
        <f t="shared" si="35"/>
        <v>357.40000000000003</v>
      </c>
    </row>
    <row r="225" spans="2:70" ht="15" customHeight="1">
      <c r="B225" s="33">
        <v>46215</v>
      </c>
      <c r="C225" s="2">
        <f t="shared" ref="C225" si="74">AN224</f>
        <v>4723.2251499999993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35.89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Líquido],base[Data],Extrato!$B225,base[Método],Extrato!I$3,base[Exchange],"Fulltbet")</f>
        <v>59.19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Líquido],base[Data],Extrato!$B225,base[Método],Extrato!L$3,base[Exchange],"Fulltbet")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Líquido],base[Data],Extrato!$B225,base[Método],Extrato!W$3)</f>
        <v>0</v>
      </c>
      <c r="X225" s="2">
        <f>SUMIFS(base[L/P Líquido],base[Data],Extrato!$B225,base[Método],Extrato!X$3)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Líquido],base[Data],Extrato!$B225,base[Método],Extrato!Z$3)</f>
        <v>0</v>
      </c>
      <c r="AA225" s="2">
        <f>SUMIFS(base[L/P Líquido],base[Data],Extrato!$B225,base[Método],Extrato!AA$3)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v>0</v>
      </c>
      <c r="AM225" s="2">
        <v>-0.02</v>
      </c>
      <c r="AN225" s="490">
        <f t="shared" si="25"/>
        <v>5053.7878499999988</v>
      </c>
      <c r="AP225" s="2">
        <f t="shared" ref="AP225" si="75">BG224</f>
        <v>1266.0996453268485</v>
      </c>
      <c r="AQ225" s="2">
        <f>SUMIFS(base[L/P Líquido],base[Data],Extrato!$B225,base[Método],Extrato!AQ$3,base[Exchange],"Betbra")</f>
        <v>0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SUMIF(BetFlow!B:B,Extrato!B225,BetFlow!M:M)</f>
        <v>-8.3989247983999995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SUMIFS(base[L/P Líquido],base[Data],Extrato!$B225,base[Método],Extrato!AZ$3,base[Exchange],"Betbra")</f>
        <v>10.309999999999999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0</v>
      </c>
      <c r="BE225" s="2">
        <v>0</v>
      </c>
      <c r="BF225" s="2">
        <v>0.01</v>
      </c>
      <c r="BG225" s="490">
        <f t="shared" si="51"/>
        <v>1268.0207205284485</v>
      </c>
      <c r="BI225" s="2">
        <f t="shared" ref="BI225" si="76">BR224</f>
        <v>357.40000000000003</v>
      </c>
      <c r="BJ225" s="2">
        <f>SUMIFS(base[L/P Líquido],base[Data],Extrato!$B225,base[Método],Extrato!BJ$3,base[Exchange],"Bolsa")</f>
        <v>0</v>
      </c>
      <c r="BK225" s="2">
        <f>SUMIFS(base[L/P Líquido],base[Data],Extrato!$B225,base[Método],Extrato!BK$3,base[Exchange],"Bolsa")</f>
        <v>0</v>
      </c>
      <c r="BL225" s="2">
        <f>SUMIFS(base[L/P Líquido],base[Data],Extrato!$B225,base[Método],Extrato!BL$3,base[Exchange],"Bolsa")</f>
        <v>0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v>0</v>
      </c>
      <c r="BQ225" s="2">
        <v>0</v>
      </c>
      <c r="BR225" s="490">
        <f t="shared" si="35"/>
        <v>357.40000000000003</v>
      </c>
    </row>
    <row r="226" spans="2:70" ht="15" customHeight="1">
      <c r="B226" s="33">
        <v>46216</v>
      </c>
      <c r="C226" s="2">
        <f t="shared" ref="C226" si="77">AN225</f>
        <v>5053.7878499999988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Líquido],base[Data],Extrato!$B226,base[Método],Extrato!I$3,base[Exchange],"Fulltbet")</f>
        <v>4.78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Líquido],base[Data],Extrato!$B226,base[Método],Extrato!L$3,base[Exchange],"Fulltbet")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Líquido],base[Data],Extrato!$B226,base[Método],Extrato!W$3)</f>
        <v>0</v>
      </c>
      <c r="X226" s="2">
        <f>SUMIFS(base[L/P Líquido],base[Data],Extrato!$B226,base[Método],Extrato!X$3)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Líquido],base[Data],Extrato!$B226,base[Método],Extrato!Z$3)</f>
        <v>0</v>
      </c>
      <c r="AA226" s="2">
        <f>SUMIFS(base[L/P Líquido],base[Data],Extrato!$B226,base[Método],Extrato!AA$3)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v>0</v>
      </c>
      <c r="AM226" s="2">
        <v>-0.01</v>
      </c>
      <c r="AN226" s="490">
        <f t="shared" si="25"/>
        <v>5080.7778499999986</v>
      </c>
      <c r="AP226" s="2">
        <f t="shared" ref="AP226" si="78">BG225</f>
        <v>1268.0207205284485</v>
      </c>
      <c r="AQ226" s="2">
        <f>SUMIFS(base[L/P Líquido],base[Data],Extrato!$B226,base[Método],Extrato!AQ$3,base[Exchange],"Betbra")</f>
        <v>0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SUMIF(BetFlow!B:B,Extrato!B226,BetFlow!M:M)</f>
        <v>0</v>
      </c>
      <c r="AW226" s="2">
        <f>SUMIFS(base[L/P Líquido],base[Data],Extrato!$B226,base[Método],Extrato!AW$3,base[Exchange],"Betbra")</f>
        <v>15.64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SUMIFS(base[L/P Líquido],base[Data],Extrato!$B226,base[Método],Extrato!AZ$3,base[Exchange],"Betbra")</f>
        <v>13.689999999999998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0</v>
      </c>
      <c r="BE226" s="2">
        <v>0</v>
      </c>
      <c r="BF226" s="2">
        <v>-0.01</v>
      </c>
      <c r="BG226" s="490">
        <f t="shared" si="51"/>
        <v>1297.3407205284486</v>
      </c>
      <c r="BI226" s="2">
        <f t="shared" ref="BI226" si="79">BR225</f>
        <v>357.40000000000003</v>
      </c>
      <c r="BJ226" s="2">
        <f>SUMIFS(base[L/P Líquido],base[Data],Extrato!$B226,base[Método],Extrato!BJ$3,base[Exchange],"Bolsa")</f>
        <v>0</v>
      </c>
      <c r="BK226" s="2">
        <f>SUMIFS(base[L/P Líquido],base[Data],Extrato!$B226,base[Método],Extrato!BK$3,base[Exchange],"Bolsa")</f>
        <v>0</v>
      </c>
      <c r="BL226" s="2">
        <f>SUMIFS(base[L/P Líquido],base[Data],Extrato!$B226,base[Método],Extrato!BL$3,base[Exchange],"Bolsa")</f>
        <v>0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v>0</v>
      </c>
      <c r="BQ226" s="2">
        <v>0</v>
      </c>
      <c r="BR226" s="490">
        <f t="shared" si="35"/>
        <v>357.40000000000003</v>
      </c>
    </row>
    <row r="227" spans="2:70" ht="15" customHeight="1">
      <c r="B227" s="33">
        <v>46217</v>
      </c>
      <c r="C227" s="2">
        <f t="shared" ref="C227" si="80">AN226</f>
        <v>5080.7778499999986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Líquido],base[Data],Extrato!$B227,base[Método],Extrato!I$3,base[Exchange],"Fulltbet")</f>
        <v>11.59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Líquido],base[Data],Extrato!$B227,base[Método],Extrato!L$3,base[Exchange],"Fulltbet")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Líquido],base[Data],Extrato!$B227,base[Método],Extrato!W$3)</f>
        <v>0</v>
      </c>
      <c r="X227" s="2">
        <f>SUMIFS(base[L/P Líquido],base[Data],Extrato!$B227,base[Método],Extrato!X$3)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Líquido],base[Data],Extrato!$B227,base[Método],Extrato!Z$3)</f>
        <v>0</v>
      </c>
      <c r="AA227" s="2">
        <f>SUMIFS(base[L/P Líquido],base[Data],Extrato!$B227,base[Método],Extrato!AA$3)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v>0</v>
      </c>
      <c r="AM227" s="2">
        <v>0</v>
      </c>
      <c r="AN227" s="490">
        <f t="shared" si="25"/>
        <v>5098.5940499999988</v>
      </c>
      <c r="AP227" s="2">
        <f t="shared" ref="AP227" si="81">BG226</f>
        <v>1297.3407205284486</v>
      </c>
      <c r="AQ227" s="2">
        <f>SUMIFS(base[L/P Líquido],base[Data],Extrato!$B227,base[Método],Extrato!AQ$3,base[Exchange],"Betbra")</f>
        <v>0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SUMIF(BetFlow!B:B,Extrato!B227,BetFlow!M:M)</f>
        <v>13.653102868799998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SUMIFS(base[L/P Líquido],base[Data],Extrato!$B227,base[Método],Extrato!AZ$3,base[Exchange],"Betbra")</f>
        <v>31.98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0</v>
      </c>
      <c r="BE227" s="2">
        <v>0</v>
      </c>
      <c r="BF227" s="2">
        <v>0.01</v>
      </c>
      <c r="BG227" s="490">
        <f t="shared" si="51"/>
        <v>1342.9838233972487</v>
      </c>
      <c r="BI227" s="2">
        <f t="shared" ref="BI227" si="82">BR226</f>
        <v>357.40000000000003</v>
      </c>
      <c r="BJ227" s="2">
        <f>SUMIFS(base[L/P Líquido],base[Data],Extrato!$B227,base[Método],Extrato!BJ$3,base[Exchange],"Bolsa")</f>
        <v>0</v>
      </c>
      <c r="BK227" s="2">
        <f>SUMIFS(base[L/P Líquido],base[Data],Extrato!$B227,base[Método],Extrato!BK$3,base[Exchange],"Bolsa")</f>
        <v>0</v>
      </c>
      <c r="BL227" s="2">
        <f>SUMIFS(base[L/P Líquido],base[Data],Extrato!$B227,base[Método],Extrato!BL$3,base[Exchange],"Bolsa")</f>
        <v>0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v>0</v>
      </c>
      <c r="BQ227" s="2">
        <v>0</v>
      </c>
      <c r="BR227" s="490">
        <f t="shared" si="35"/>
        <v>357.40000000000003</v>
      </c>
    </row>
    <row r="228" spans="2:70" ht="15" customHeight="1">
      <c r="B228" s="33">
        <v>46218</v>
      </c>
      <c r="C228" s="2">
        <f t="shared" ref="C228" si="83">AN227</f>
        <v>5098.5940499999988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Líquido],base[Data],Extrato!$B228,base[Método],Extrato!I$3,base[Exchange],"Fulltbet")</f>
        <v>111.16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Líquido],base[Data],Extrato!$B228,base[Método],Extrato!L$3,base[Exchange],"Fulltbet")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Líquido],base[Data],Extrato!$B228,base[Método],Extrato!W$3)</f>
        <v>0</v>
      </c>
      <c r="X228" s="2">
        <f>SUMIFS(base[L/P Líquido],base[Data],Extrato!$B228,base[Método],Extrato!X$3)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Líquido],base[Data],Extrato!$B228,base[Método],Extrato!Z$3)</f>
        <v>0</v>
      </c>
      <c r="AA228" s="2">
        <f>SUMIFS(base[L/P Líquido],base[Data],Extrato!$B228,base[Método],Extrato!AA$3)</f>
        <v>0</v>
      </c>
      <c r="AB228" s="2">
        <f>SUMIFS(base[L/P Líquido],base[Data],Extrato!$B228,base[Método],Extrato!AB$3)</f>
        <v>-51.85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v>0</v>
      </c>
      <c r="AM228" s="2">
        <f>18.51+0.01</f>
        <v>18.520000000000003</v>
      </c>
      <c r="AN228" s="490">
        <f t="shared" si="25"/>
        <v>5163.264049999998</v>
      </c>
      <c r="AP228" s="2">
        <f t="shared" ref="AP228" si="84">BG227</f>
        <v>1342.9838233972487</v>
      </c>
      <c r="AQ228" s="2">
        <f>SUMIFS(base[L/P Líquido],base[Data],Extrato!$B228,base[Método],Extrato!AQ$3,base[Exchange],"Betbra")</f>
        <v>0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SUMIF(BetFlow!B:B,Extrato!B228,BetFlow!M:M)</f>
        <v>19.257746112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8.61</v>
      </c>
      <c r="AY228" s="2">
        <f>SUMIFS(base[L/P Líquido],base[Data],Extrato!$B228,base[Método],Extrato!AY$3,base[Exchange],"Betbra")</f>
        <v>0</v>
      </c>
      <c r="AZ228" s="2">
        <f>SUMIFS(base[L/P Líquido],base[Data],Extrato!$B228,base[Método],Extrato!AZ$3,base[Exchange],"Betbra")</f>
        <v>-109.54000000000002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0</v>
      </c>
      <c r="BE228" s="2">
        <v>0</v>
      </c>
      <c r="BF228" s="2">
        <v>0.01</v>
      </c>
      <c r="BG228" s="490">
        <f t="shared" si="51"/>
        <v>1261.3215695092485</v>
      </c>
      <c r="BI228" s="2">
        <f t="shared" ref="BI228" si="85">BR227</f>
        <v>357.40000000000003</v>
      </c>
      <c r="BJ228" s="2">
        <f>SUMIFS(base[L/P Líquido],base[Data],Extrato!$B228,base[Método],Extrato!BJ$3,base[Exchange],"Bolsa")</f>
        <v>0</v>
      </c>
      <c r="BK228" s="2">
        <f>SUMIFS(base[L/P Líquido],base[Data],Extrato!$B228,base[Método],Extrato!BK$3,base[Exchange],"Bolsa")</f>
        <v>0</v>
      </c>
      <c r="BL228" s="2">
        <f>SUMIFS(base[L/P Líquido],base[Data],Extrato!$B228,base[Método],Extrato!BL$3,base[Exchange],"Bolsa")</f>
        <v>0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v>0</v>
      </c>
      <c r="BQ228" s="2">
        <v>0</v>
      </c>
      <c r="BR228" s="490">
        <f t="shared" si="35"/>
        <v>357.40000000000003</v>
      </c>
    </row>
    <row r="229" spans="2:70" ht="15" customHeight="1">
      <c r="B229" s="33">
        <v>46219</v>
      </c>
      <c r="C229" s="2">
        <f t="shared" ref="C229" si="86">AN228</f>
        <v>5163.264049999998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Líquido],base[Data],Extrato!$B229,base[Método],Extrato!I$3,base[Exchange],"Fulltbet")</f>
        <v>22.32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Líquido],base[Data],Extrato!$B229,base[Método],Extrato!L$3,base[Exchange],"Fulltbet")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Líquido],base[Data],Extrato!$B229,base[Método],Extrato!W$3)</f>
        <v>0</v>
      </c>
      <c r="X229" s="2">
        <f>SUMIFS(base[L/P Líquido],base[Data],Extrato!$B229,base[Método],Extrato!X$3)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Líquido],base[Data],Extrato!$B229,base[Método],Extrato!Z$3)</f>
        <v>0</v>
      </c>
      <c r="AA229" s="2">
        <f>SUMIFS(base[L/P Líquido],base[Data],Extrato!$B229,base[Método],Extrato!AA$3)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v>0</v>
      </c>
      <c r="AM229" s="2">
        <v>0</v>
      </c>
      <c r="AN229" s="490">
        <f t="shared" si="25"/>
        <v>5221.344049999997</v>
      </c>
      <c r="AP229" s="2">
        <f t="shared" ref="AP229" si="87">BG228</f>
        <v>1261.3215695092485</v>
      </c>
      <c r="AQ229" s="2">
        <f>SUMIFS(base[L/P Líquido],base[Data],Extrato!$B229,base[Método],Extrato!AQ$3,base[Exchange],"Betbra")</f>
        <v>0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SUMIF(BetFlow!B:B,Extrato!B229,BetFlow!M:M)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SUMIFS(base[L/P Líquido],base[Data],Extrato!$B229,base[Método],Extrato!AZ$3,base[Exchange],"Betbra")</f>
        <v>63.040000000000006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0</v>
      </c>
      <c r="BE229" s="2">
        <v>0</v>
      </c>
      <c r="BF229" s="2">
        <v>-0.01</v>
      </c>
      <c r="BG229" s="490">
        <f t="shared" si="51"/>
        <v>1324.3515695092485</v>
      </c>
      <c r="BI229" s="2">
        <f t="shared" ref="BI229" si="88">BR228</f>
        <v>357.40000000000003</v>
      </c>
      <c r="BJ229" s="2">
        <f>SUMIFS(base[L/P Líquido],base[Data],Extrato!$B229,base[Método],Extrato!BJ$3,base[Exchange],"Bolsa")</f>
        <v>0</v>
      </c>
      <c r="BK229" s="2">
        <f>SUMIFS(base[L/P Líquido],base[Data],Extrato!$B229,base[Método],Extrato!BK$3,base[Exchange],"Bolsa")</f>
        <v>0</v>
      </c>
      <c r="BL229" s="2">
        <f>SUMIFS(base[L/P Líquido],base[Data],Extrato!$B229,base[Método],Extrato!BL$3,base[Exchange],"Bolsa")</f>
        <v>0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v>0</v>
      </c>
      <c r="BQ229" s="2">
        <v>0</v>
      </c>
      <c r="BR229" s="490">
        <f t="shared" si="35"/>
        <v>357.40000000000003</v>
      </c>
    </row>
    <row r="230" spans="2:70" ht="15" customHeight="1">
      <c r="B230" s="33">
        <v>46220</v>
      </c>
      <c r="C230" s="2">
        <f t="shared" ref="C230" si="89">AN229</f>
        <v>5221.344049999997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0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Líquido],base[Data],Extrato!$B230,base[Método],Extrato!I$3,base[Exchange],"Fulltbet")</f>
        <v>132.69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Líquido],base[Data],Extrato!$B230,base[Método],Extrato!L$3,base[Exchange],"Fulltbet")</f>
        <v>-15.09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Líquido],base[Data],Extrato!$B230,base[Método],Extrato!W$3)</f>
        <v>108.87</v>
      </c>
      <c r="X230" s="2">
        <f>SUMIFS(base[L/P Líquido],base[Data],Extrato!$B230,base[Método],Extrato!X$3)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Líquido],base[Data],Extrato!$B230,base[Método],Extrato!Z$3)</f>
        <v>0</v>
      </c>
      <c r="AA230" s="2">
        <f>SUMIFS(base[L/P Líquido],base[Data],Extrato!$B230,base[Método],Extrato!AA$3)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v>0</v>
      </c>
      <c r="AM230" s="2">
        <v>0</v>
      </c>
      <c r="AN230" s="490">
        <f t="shared" si="25"/>
        <v>5488.7385499999964</v>
      </c>
      <c r="AP230" s="2">
        <f t="shared" ref="AP230" si="90">BG229</f>
        <v>1324.3515695092485</v>
      </c>
      <c r="AQ230" s="2">
        <f>SUMIFS(base[L/P Líquido],base[Data],Extrato!$B230,base[Método],Extrato!AQ$3,base[Exchange],"Betbra")</f>
        <v>0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16.2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SUMIF(BetFlow!B:B,Extrato!B230,BetFlow!M:M)</f>
        <v>0</v>
      </c>
      <c r="AW230" s="2">
        <f>SUMIFS(base[L/P Líquido],base[Data],Extrato!$B230,base[Método],Extrato!AW$3,base[Exchange],"Betbra")</f>
        <v>10.8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-50</v>
      </c>
      <c r="AZ230" s="2">
        <f>SUMIFS(base[L/P Líquido],base[Data],Extrato!$B230,base[Método],Extrato!AZ$3,base[Exchange],"Betbra")</f>
        <v>69.519999999999982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0</v>
      </c>
      <c r="BD230" s="2">
        <f>SUMIFS(base[L/P Líquido],base[Data],Extrato!$B230,base[Método],Extrato!BD$3,base[Exchange],"Betbra")</f>
        <v>0</v>
      </c>
      <c r="BE230" s="2">
        <v>0</v>
      </c>
      <c r="BF230" s="2">
        <v>0</v>
      </c>
      <c r="BG230" s="490">
        <f t="shared" si="51"/>
        <v>1370.8715695092485</v>
      </c>
      <c r="BI230" s="2">
        <f t="shared" ref="BI230" si="91">BR229</f>
        <v>357.40000000000003</v>
      </c>
      <c r="BJ230" s="2">
        <f>SUMIFS(base[L/P Líquido],base[Data],Extrato!$B230,base[Método],Extrato!BJ$3,base[Exchange],"Bolsa")</f>
        <v>0</v>
      </c>
      <c r="BK230" s="2">
        <f>SUMIFS(base[L/P Líquido],base[Data],Extrato!$B230,base[Método],Extrato!BK$3,base[Exchange],"Bolsa")</f>
        <v>0</v>
      </c>
      <c r="BL230" s="2">
        <f>SUMIFS(base[L/P Líquido],base[Data],Extrato!$B230,base[Método],Extrato!BL$3,base[Exchange],"Bolsa")</f>
        <v>0</v>
      </c>
      <c r="BM230" s="2">
        <f>SUMIFS(base[L/P Líquido],base[Data],Extrato!$B230,base[Método],Extrato!BM$3,base[Exchange],"Bolsa")</f>
        <v>-13.480000000000018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v>0</v>
      </c>
      <c r="BQ230" s="2">
        <v>0</v>
      </c>
      <c r="BR230" s="490">
        <f t="shared" si="35"/>
        <v>343.92</v>
      </c>
    </row>
    <row r="231" spans="2:70" ht="15" customHeight="1">
      <c r="B231" s="33">
        <v>46221</v>
      </c>
      <c r="C231" s="2">
        <f t="shared" ref="C231" si="92">AN230</f>
        <v>5488.7385499999964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16.46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Líquido],base[Data],Extrato!$B231,base[Método],Extrato!I$3,base[Exchange],"Fulltbet")</f>
        <v>1.9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Líquido],base[Data],Extrato!$B231,base[Método],Extrato!L$3,base[Exchange],"Fulltbet")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Líquido],base[Data],Extrato!$B231,base[Método],Extrato!W$3)</f>
        <v>0</v>
      </c>
      <c r="X231" s="2">
        <f>SUMIFS(base[L/P Líquido],base[Data],Extrato!$B231,base[Método],Extrato!X$3)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Líquido],base[Data],Extrato!$B231,base[Método],Extrato!Z$3)</f>
        <v>0</v>
      </c>
      <c r="AA231" s="2">
        <f>SUMIFS(base[L/P Líquido],base[Data],Extrato!$B231,base[Método],Extrato!AA$3)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v>0</v>
      </c>
      <c r="AM231" s="2">
        <v>0.01</v>
      </c>
      <c r="AN231" s="490">
        <f t="shared" si="25"/>
        <v>5486.1385499999969</v>
      </c>
      <c r="AP231" s="2">
        <f t="shared" ref="AP231" si="93">BG230</f>
        <v>1370.8715695092485</v>
      </c>
      <c r="AQ231" s="2">
        <f>SUMIFS(base[L/P Líquido],base[Data],Extrato!$B231,base[Método],Extrato!AQ$3,base[Exchange],"Betbra")</f>
        <v>38.880000000000003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14.95</v>
      </c>
      <c r="AT231" s="2">
        <f>SUMIFS(base[L/P Líquido],base[Data],Extrato!$B231,base[Método],Extrato!AT$3,base[Exchange],"Betbra")</f>
        <v>-176.51</v>
      </c>
      <c r="AU231" s="2">
        <f>SUMIFS(base[L/P Líquido],base[Data],Extrato!$B231,base[Método],Extrato!AU$3,base[Exchange],"Betbra")</f>
        <v>0</v>
      </c>
      <c r="AV231" s="2">
        <f>SUMIF(BetFlow!B:B,Extrato!B231,BetFlow!M:M)</f>
        <v>0</v>
      </c>
      <c r="AW231" s="2">
        <f>SUMIFS(base[L/P Líquido],base[Data],Extrato!$B231,base[Método],Extrato!AW$3,base[Exchange],"Betbra")</f>
        <v>-26.48</v>
      </c>
      <c r="AX231" s="2">
        <f>SUMIFS(base[L/P Líquido],base[Data],Extrato!$B231,base[Método],Extrato!AX$3,base[Exchange],"Betbra")</f>
        <v>0</v>
      </c>
      <c r="AY231" s="2">
        <f>SUMIFS(base[L/P Líquido],base[Data],Extrato!$B231,base[Método],Extrato!AY$3,base[Exchange],"Betbra")</f>
        <v>0</v>
      </c>
      <c r="AZ231" s="2">
        <f>SUMIFS(base[L/P Líquido],base[Data],Extrato!$B231,base[Método],Extrato!AZ$3,base[Exchange],"Betbra")</f>
        <v>-77.170000000000016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0</v>
      </c>
      <c r="BE231" s="2">
        <v>0</v>
      </c>
      <c r="BF231" s="2">
        <v>0</v>
      </c>
      <c r="BG231" s="490">
        <f t="shared" si="51"/>
        <v>1144.5415695092486</v>
      </c>
      <c r="BI231" s="2">
        <f t="shared" ref="BI231" si="94">BR230</f>
        <v>343.92</v>
      </c>
      <c r="BJ231" s="2">
        <f>SUMIFS(base[L/P Líquido],base[Data],Extrato!$B231,base[Método],Extrato!BJ$3,base[Exchange],"Bolsa")</f>
        <v>9.35</v>
      </c>
      <c r="BK231" s="2">
        <f>SUMIFS(base[L/P Líquido],base[Data],Extrato!$B231,base[Método],Extrato!BK$3,base[Exchange],"Bolsa")</f>
        <v>0</v>
      </c>
      <c r="BL231" s="2">
        <f>SUMIFS(base[L/P Líquido],base[Data],Extrato!$B231,base[Método],Extrato!BL$3,base[Exchange],"Bolsa")</f>
        <v>9.06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v>0</v>
      </c>
      <c r="BQ231" s="2">
        <v>0</v>
      </c>
      <c r="BR231" s="490">
        <f t="shared" si="35"/>
        <v>362.33000000000004</v>
      </c>
    </row>
    <row r="232" spans="2:70" ht="15" customHeight="1">
      <c r="B232" s="33">
        <v>46222</v>
      </c>
      <c r="C232" s="2">
        <f t="shared" ref="C232" si="95">AN231</f>
        <v>5486.1385499999969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0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Líquido],base[Data],Extrato!$B232,base[Método],Extrato!I$3,base[Exchange],"Fulltbet")</f>
        <v>6.82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Líquido],base[Data],Extrato!$B232,base[Método],Extrato!L$3,base[Exchange],"Fulltbet")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Líquido],base[Data],Extrato!$B232,base[Método],Extrato!W$3)</f>
        <v>0</v>
      </c>
      <c r="X232" s="2">
        <f>SUMIFS(base[L/P Líquido],base[Data],Extrato!$B232,base[Método],Extrato!X$3)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Líquido],base[Data],Extrato!$B232,base[Método],Extrato!Z$3)</f>
        <v>0</v>
      </c>
      <c r="AA232" s="2">
        <f>SUMIFS(base[L/P Líquido],base[Data],Extrato!$B232,base[Método],Extrato!AA$3)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v>0</v>
      </c>
      <c r="AM232" s="2">
        <v>0</v>
      </c>
      <c r="AN232" s="490">
        <f t="shared" si="25"/>
        <v>5665.4829499999969</v>
      </c>
      <c r="AP232" s="2">
        <f t="shared" ref="AP232" si="96">BG231</f>
        <v>1144.5415695092486</v>
      </c>
      <c r="AQ232" s="2">
        <f>SUMIFS(base[L/P Líquido],base[Data],Extrato!$B232,base[Método],Extrato!AQ$3,base[Exchange],"Betbra")</f>
        <v>0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21.96</v>
      </c>
      <c r="AU232" s="2">
        <f>SUMIFS(base[L/P Líquido],base[Data],Extrato!$B232,base[Método],Extrato!AU$3,base[Exchange],"Betbra")</f>
        <v>0</v>
      </c>
      <c r="AV232" s="2">
        <f>SUMIF(BetFlow!B:B,Extrato!B232,BetFlow!M:M)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0</v>
      </c>
      <c r="AY232" s="2">
        <f>SUMIFS(base[L/P Líquido],base[Data],Extrato!$B232,base[Método],Extrato!AY$3,base[Exchange],"Betbra")</f>
        <v>0</v>
      </c>
      <c r="AZ232" s="2">
        <f>SUMIFS(base[L/P Líquido],base[Data],Extrato!$B232,base[Método],Extrato!AZ$3,base[Exchange],"Betbra")</f>
        <v>53.93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0</v>
      </c>
      <c r="BE232" s="2">
        <v>0</v>
      </c>
      <c r="BF232" s="2">
        <v>0</v>
      </c>
      <c r="BG232" s="490">
        <f t="shared" si="51"/>
        <v>1220.4315695092487</v>
      </c>
      <c r="BI232" s="2">
        <f t="shared" ref="BI232" si="97">BR231</f>
        <v>362.33000000000004</v>
      </c>
      <c r="BJ232" s="2">
        <f>SUMIFS(base[L/P Líquido],base[Data],Extrato!$B232,base[Método],Extrato!BJ$3,base[Exchange],"Bolsa")</f>
        <v>26.43</v>
      </c>
      <c r="BK232" s="2">
        <f>SUMIFS(base[L/P Líquido],base[Data],Extrato!$B232,base[Método],Extrato!BK$3,base[Exchange],"Bolsa")</f>
        <v>0</v>
      </c>
      <c r="BL232" s="2">
        <f>SUMIFS(base[L/P Líquido],base[Data],Extrato!$B232,base[Método],Extrato!BL$3,base[Exchange],"Bolsa")</f>
        <v>0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v>0</v>
      </c>
      <c r="BQ232" s="2">
        <v>0.01</v>
      </c>
      <c r="BR232" s="490">
        <f t="shared" si="35"/>
        <v>388.77000000000004</v>
      </c>
    </row>
    <row r="233" spans="2:70" ht="15" customHeight="1">
      <c r="B233" s="33">
        <v>46223</v>
      </c>
      <c r="C233" s="2">
        <f t="shared" ref="C233" si="98">AN232</f>
        <v>5665.4829499999969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Líquido],base[Data],Extrato!$B233,base[Método],Extrato!L$3,base[Exchange],"Fulltbet")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Líquido],base[Data],Extrato!$B233,base[Método],Extrato!W$3)</f>
        <v>0</v>
      </c>
      <c r="X233" s="2">
        <f>SUMIFS(base[L/P Líquido],base[Data],Extrato!$B233,base[Método],Extrato!X$3)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v>0</v>
      </c>
      <c r="AM233" s="2">
        <v>-0.01</v>
      </c>
      <c r="AN233" s="490">
        <f t="shared" si="25"/>
        <v>5730.7865999999967</v>
      </c>
      <c r="AP233" s="2">
        <f t="shared" ref="AP233" si="99">BG232</f>
        <v>1220.4315695092487</v>
      </c>
      <c r="AQ233" s="2">
        <f>SUMIFS(base[L/P Líquido],base[Data],Extrato!$B233,base[Método],Extrato!AQ$3,base[Exchange],"Betbra")</f>
        <v>0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SUMIF(BetFlow!B:B,Extrato!B233,BetFlow!M:M)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v>0</v>
      </c>
      <c r="BF233" s="2">
        <v>0</v>
      </c>
      <c r="BG233" s="490">
        <f t="shared" si="51"/>
        <v>1220.4315695092487</v>
      </c>
      <c r="BI233" s="2">
        <f t="shared" ref="BI233" si="100">BR232</f>
        <v>388.77000000000004</v>
      </c>
      <c r="BJ233" s="2">
        <f>SUMIFS(base[L/P Líquido],base[Data],Extrato!$B233,base[Método],Extrato!BJ$3,base[Exchange],"Bolsa")</f>
        <v>0</v>
      </c>
      <c r="BK233" s="2">
        <f>SUMIFS(base[L/P Líquido],base[Data],Extrato!$B233,base[Método],Extrato!BK$3,base[Exchange],"Bolsa")</f>
        <v>0</v>
      </c>
      <c r="BL233" s="2">
        <f>SUMIFS(base[L/P Líquido],base[Data],Extrato!$B233,base[Método],Extrato!BL$3,base[Exchange],"Bolsa")</f>
        <v>0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v>0</v>
      </c>
      <c r="BQ233" s="2">
        <v>0</v>
      </c>
      <c r="BR233" s="490">
        <f t="shared" si="35"/>
        <v>388.77000000000004</v>
      </c>
    </row>
    <row r="234" spans="2:70" ht="15" customHeight="1">
      <c r="B234" s="33">
        <v>46224</v>
      </c>
      <c r="C234" s="2">
        <f t="shared" ref="C234" si="101">AN233</f>
        <v>5730.7865999999967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Líquido],base[Data],Extrato!$B234,base[Método],Extrato!I$3,base[Exchange],"Fulltbet")</f>
        <v>23.67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Líquido],base[Data],Extrato!$B234,base[Método],Extrato!L$3,base[Exchange],"Fulltbet")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Líquido],base[Data],Extrato!$B234,base[Método],Extrato!W$3)</f>
        <v>0</v>
      </c>
      <c r="X234" s="2">
        <f>SUMIFS(base[L/P Líquido],base[Data],Extrato!$B234,base[Método],Extrato!X$3)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Líquido],base[Data],Extrato!$B234,base[Método],Extrato!Z$3)</f>
        <v>0</v>
      </c>
      <c r="AA234" s="2">
        <f>SUMIFS(base[L/P Líquido],base[Data],Extrato!$B234,base[Método],Extrato!AA$3)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v>0</v>
      </c>
      <c r="AM234" s="2">
        <v>0.01</v>
      </c>
      <c r="AN234" s="490">
        <f t="shared" si="25"/>
        <v>5660.1323499999971</v>
      </c>
      <c r="AP234" s="2">
        <f t="shared" ref="AP234" si="102">BG233</f>
        <v>1220.4315695092487</v>
      </c>
      <c r="AQ234" s="2">
        <f>SUMIFS(base[L/P Líquido],base[Data],Extrato!$B234,base[Método],Extrato!AQ$3,base[Exchange],"Betbra")</f>
        <v>0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SUMIF(BetFlow!B:B,Extrato!B234,BetFlow!M:M)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SUMIFS(base[L/P Líquido],base[Data],Extrato!$B234,base[Método],Extrato!AZ$3,base[Exchange],"Betbra")</f>
        <v>9.8000000000000007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0</v>
      </c>
      <c r="BE234" s="2">
        <v>0</v>
      </c>
      <c r="BF234" s="2">
        <v>0</v>
      </c>
      <c r="BG234" s="490">
        <f t="shared" si="51"/>
        <v>1230.2315695092486</v>
      </c>
      <c r="BI234" s="2">
        <f t="shared" ref="BI234" si="103">BR233</f>
        <v>388.77000000000004</v>
      </c>
      <c r="BJ234" s="2">
        <f>SUMIFS(base[L/P Líquido],base[Data],Extrato!$B234,base[Método],Extrato!BJ$3,base[Exchange],"Bolsa")</f>
        <v>0</v>
      </c>
      <c r="BK234" s="2">
        <f>SUMIFS(base[L/P Líquido],base[Data],Extrato!$B234,base[Método],Extrato!BK$3,base[Exchange],"Bolsa")</f>
        <v>0</v>
      </c>
      <c r="BL234" s="2">
        <f>SUMIFS(base[L/P Líquido],base[Data],Extrato!$B234,base[Método],Extrato!BL$3,base[Exchange],"Bolsa")</f>
        <v>0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v>0</v>
      </c>
      <c r="BQ234" s="2">
        <v>0</v>
      </c>
      <c r="BR234" s="490">
        <f t="shared" si="35"/>
        <v>388.77000000000004</v>
      </c>
    </row>
    <row r="235" spans="2:70" ht="15" customHeight="1">
      <c r="B235" s="33">
        <v>46225</v>
      </c>
      <c r="C235" s="2">
        <f t="shared" ref="C235" si="104">AN234</f>
        <v>5660.1323499999971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0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Líquido],base[Data],Extrato!$B235,base[Método],Extrato!I$3,base[Exchange],"Fulltbet")</f>
        <v>38.36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Líquido],base[Data],Extrato!$B235,base[Método],Extrato!L$3,base[Exchange],"Fulltbet")</f>
        <v>39.79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Líquido],base[Data],Extrato!$B235,base[Método],Extrato!W$3)</f>
        <v>83.09</v>
      </c>
      <c r="X235" s="2">
        <f>SUMIFS(base[L/P Líquido],base[Data],Extrato!$B235,base[Método],Extrato!X$3)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Líquido],base[Data],Extrato!$B235,base[Método],Extrato!Z$3)</f>
        <v>0</v>
      </c>
      <c r="AA235" s="2">
        <f>SUMIFS(base[L/P Líquido],base[Data],Extrato!$B235,base[Método],Extrato!AA$3)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v>0</v>
      </c>
      <c r="AM235" s="2">
        <v>-0.01</v>
      </c>
      <c r="AN235" s="490">
        <f t="shared" si="25"/>
        <v>6011.9423499999957</v>
      </c>
      <c r="AP235" s="2">
        <f t="shared" ref="AP235" si="105">BG234</f>
        <v>1230.2315695092486</v>
      </c>
      <c r="AQ235" s="2">
        <f>SUMIFS(base[L/P Líquido],base[Data],Extrato!$B235,base[Método],Extrato!AQ$3,base[Exchange],"Betbra")</f>
        <v>0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SUMIF(BetFlow!B:B,Extrato!B235,BetFlow!M:M)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SUMIFS(base[L/P Líquido],base[Data],Extrato!$B235,base[Método],Extrato!AZ$3,base[Exchange],"Betbra")</f>
        <v>-144.78</v>
      </c>
      <c r="BA235" s="2">
        <f>SUMIFS(base[L/P Líquido],base[Data],Extrato!$B235,base[Método],Extrato!BA$3,base[Exchange],"Betbra")</f>
        <v>-78.67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0</v>
      </c>
      <c r="BE235" s="2">
        <v>0</v>
      </c>
      <c r="BF235" s="2">
        <v>-0.01</v>
      </c>
      <c r="BG235" s="490">
        <f t="shared" si="51"/>
        <v>1006.7715695092487</v>
      </c>
      <c r="BI235" s="2">
        <f t="shared" ref="BI235" si="106">BR234</f>
        <v>388.77000000000004</v>
      </c>
      <c r="BJ235" s="2">
        <f>SUMIFS(base[L/P Líquido],base[Data],Extrato!$B235,base[Método],Extrato!BJ$3,base[Exchange],"Bolsa")</f>
        <v>0</v>
      </c>
      <c r="BK235" s="2">
        <f>SUMIFS(base[L/P Líquido],base[Data],Extrato!$B235,base[Método],Extrato!BK$3,base[Exchange],"Bolsa")</f>
        <v>0</v>
      </c>
      <c r="BL235" s="2">
        <f>SUMIFS(base[L/P Líquido],base[Data],Extrato!$B235,base[Método],Extrato!BL$3,base[Exchange],"Bolsa")</f>
        <v>0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v>0</v>
      </c>
      <c r="BQ235" s="2">
        <v>0</v>
      </c>
      <c r="BR235" s="490">
        <f t="shared" si="35"/>
        <v>388.77000000000004</v>
      </c>
    </row>
    <row r="236" spans="2:70" ht="15" customHeight="1">
      <c r="B236" s="33">
        <v>46226</v>
      </c>
      <c r="C236" s="2">
        <f t="shared" ref="C236" si="107">AN235</f>
        <v>6011.9423499999957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-54.57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Líquido],base[Data],Extrato!$B236,base[Método],Extrato!I$3,base[Exchange],"Fulltbet")</f>
        <v>-176.05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Líquido],base[Data],Extrato!$B236,base[Método],Extrato!L$3,base[Exchange],"Fulltbet")</f>
        <v>-39.51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Líquido],base[Data],Extrato!$B236,base[Método],Extrato!W$3)</f>
        <v>0</v>
      </c>
      <c r="X236" s="2">
        <f>SUMIFS(base[L/P Líquido],base[Data],Extrato!$B236,base[Método],Extrato!X$3)</f>
        <v>0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Líquido],base[Data],Extrato!$B236,base[Método],Extrato!Z$3)</f>
        <v>0</v>
      </c>
      <c r="AA236" s="2">
        <f>SUMIFS(base[L/P Líquido],base[Data],Extrato!$B236,base[Método],Extrato!AA$3)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v>0</v>
      </c>
      <c r="AM236" s="2">
        <v>0.01</v>
      </c>
      <c r="AN236" s="490">
        <f t="shared" si="25"/>
        <v>5609.8723499999951</v>
      </c>
      <c r="AP236" s="2">
        <f t="shared" ref="AP236" si="108">BG235</f>
        <v>1006.7715695092487</v>
      </c>
      <c r="AQ236" s="2">
        <f>SUMIFS(base[L/P Líquido],base[Data],Extrato!$B236,base[Método],Extrato!AQ$3,base[Exchange],"Betbra")</f>
        <v>0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21.13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SUMIF(BetFlow!B:B,Extrato!B236,BetFlow!M:M)</f>
        <v>0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SUMIFS(base[L/P Líquido],base[Data],Extrato!$B236,base[Método],Extrato!AZ$3,base[Exchange],"Betbra")</f>
        <v>-86.960000000000008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0</v>
      </c>
      <c r="BE236" s="2">
        <v>0</v>
      </c>
      <c r="BF236" s="2">
        <v>0</v>
      </c>
      <c r="BG236" s="490">
        <f t="shared" si="51"/>
        <v>940.94156950924867</v>
      </c>
      <c r="BI236" s="2">
        <f t="shared" ref="BI236" si="109">BR235</f>
        <v>388.77000000000004</v>
      </c>
      <c r="BJ236" s="2">
        <f>SUMIFS(base[L/P Líquido],base[Data],Extrato!$B236,base[Método],Extrato!BJ$3,base[Exchange],"Bolsa")</f>
        <v>0</v>
      </c>
      <c r="BK236" s="2">
        <f>SUMIFS(base[L/P Líquido],base[Data],Extrato!$B236,base[Método],Extrato!BK$3,base[Exchange],"Bolsa")</f>
        <v>0</v>
      </c>
      <c r="BL236" s="2">
        <f>SUMIFS(base[L/P Líquido],base[Data],Extrato!$B236,base[Método],Extrato!BL$3,base[Exchange],"Bolsa")</f>
        <v>0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0.39</v>
      </c>
      <c r="BP236" s="2">
        <v>0</v>
      </c>
      <c r="BQ236" s="2">
        <v>0</v>
      </c>
      <c r="BR236" s="490">
        <f t="shared" si="35"/>
        <v>389.16</v>
      </c>
    </row>
    <row r="237" spans="2:70" ht="15" customHeight="1">
      <c r="B237" s="33">
        <v>46227</v>
      </c>
      <c r="C237" s="2">
        <f t="shared" ref="C237" si="110">AN236</f>
        <v>5609.8723499999951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Líquido],base[Data],Extrato!$B237,base[Método],Extrato!I$3,base[Exchange],"Fulltbet")</f>
        <v>18.36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Líquido],base[Data],Extrato!$B237,base[Método],Extrato!L$3,base[Exchange],"Fulltbet")</f>
        <v>26.53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Líquido],base[Data],Extrato!$B237,base[Método],Extrato!W$3)</f>
        <v>0</v>
      </c>
      <c r="X237" s="2">
        <f>SUMIFS(base[L/P Líquido],base[Data],Extrato!$B237,base[Método],Extrato!X$3)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Líquido],base[Data],Extrato!$B237,base[Método],Extrato!Z$3)</f>
        <v>0</v>
      </c>
      <c r="AA237" s="2">
        <f>SUMIFS(base[L/P Líquido],base[Data],Extrato!$B237,base[Método],Extrato!AA$3)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v>0</v>
      </c>
      <c r="AM237" s="2">
        <v>0</v>
      </c>
      <c r="AN237" s="490">
        <f t="shared" si="25"/>
        <v>5736.8403999999946</v>
      </c>
      <c r="AP237" s="2">
        <f t="shared" ref="AP237" si="111">BG236</f>
        <v>940.94156950924867</v>
      </c>
      <c r="AQ237" s="2">
        <f>SUMIFS(base[L/P Líquido],base[Data],Extrato!$B237,base[Método],Extrato!AQ$3,base[Exchange],"Betbra")</f>
        <v>0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SUMIF(BetFlow!B:B,Extrato!B237,BetFlow!M:M)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SUMIFS(base[L/P Líquido],base[Data],Extrato!$B237,base[Método],Extrato!AZ$3,base[Exchange],"Betbra")</f>
        <v>25.86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0</v>
      </c>
      <c r="BE237" s="2">
        <v>0</v>
      </c>
      <c r="BF237" s="2">
        <v>0.01</v>
      </c>
      <c r="BG237" s="490">
        <f t="shared" si="51"/>
        <v>966.81156950924867</v>
      </c>
      <c r="BI237" s="2">
        <f t="shared" ref="BI237" si="112">BR236</f>
        <v>389.16</v>
      </c>
      <c r="BJ237" s="2">
        <f>SUMIFS(base[L/P Líquido],base[Data],Extrato!$B237,base[Método],Extrato!BJ$3,base[Exchange],"Bolsa")</f>
        <v>0</v>
      </c>
      <c r="BK237" s="2">
        <f>SUMIFS(base[L/P Líquido],base[Data],Extrato!$B237,base[Método],Extrato!BK$3,base[Exchange],"Bolsa")</f>
        <v>0</v>
      </c>
      <c r="BL237" s="2">
        <f>SUMIFS(base[L/P Líquido],base[Data],Extrato!$B237,base[Método],Extrato!BL$3,base[Exchange],"Bolsa")</f>
        <v>0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v>0</v>
      </c>
      <c r="BQ237" s="2">
        <v>0</v>
      </c>
      <c r="BR237" s="490">
        <f t="shared" si="35"/>
        <v>389.16</v>
      </c>
    </row>
    <row r="238" spans="2:70" ht="15" customHeight="1">
      <c r="B238" s="33">
        <v>46228</v>
      </c>
      <c r="C238" s="2">
        <f t="shared" ref="C238" si="113">AN237</f>
        <v>5736.8403999999946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Líquido],base[Data],Extrato!$B238,base[Método],Extrato!I$3,base[Exchange],"Fulltbet")</f>
        <v>6.82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Líquido],base[Data],Extrato!$B238,base[Método],Extrato!L$3,base[Exchange],"Fulltbet")</f>
        <v>39.79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Líquido],base[Data],Extrato!$B238,base[Método],Extrato!W$3)</f>
        <v>90.09</v>
      </c>
      <c r="X238" s="2">
        <f>SUMIFS(base[L/P Líquido],base[Data],Extrato!$B238,base[Método],Extrato!X$3)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Líquido],base[Data],Extrato!$B238,base[Método],Extrato!Z$3)</f>
        <v>0</v>
      </c>
      <c r="AA238" s="2">
        <f>SUMIFS(base[L/P Líquido],base[Data],Extrato!$B238,base[Método],Extrato!AA$3)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v>0</v>
      </c>
      <c r="AM238" s="2">
        <v>0.01</v>
      </c>
      <c r="AN238" s="490">
        <f t="shared" si="25"/>
        <v>5342.9703999999956</v>
      </c>
      <c r="AP238" s="2">
        <f t="shared" ref="AP238" si="114">BG237</f>
        <v>966.81156950924867</v>
      </c>
      <c r="AQ238" s="2">
        <f>SUMIFS(base[L/P Líquido],base[Data],Extrato!$B238,base[Método],Extrato!AQ$3,base[Exchange],"Betbra")</f>
        <v>0</v>
      </c>
      <c r="AR238" s="2">
        <f>SUMIFS(base[L/P Líquido],base[Data],Extrato!$B238,base[Método],Extrato!AR$3,base[Exchange],"Betbra")</f>
        <v>17.670000000000002</v>
      </c>
      <c r="AS238" s="2">
        <f>SUMIFS(base[L/P Líquido],base[Data],Extrato!$B238,base[Método],Extrato!AS$3,base[Exchange],"Betbra")</f>
        <v>20.160000000000004</v>
      </c>
      <c r="AT238" s="2">
        <f>SUMIFS(base[L/P Líquido],base[Data],Extrato!$B238,base[Método],Extrato!AT$3,base[Exchange],"Betbra")</f>
        <v>54.550000000000004</v>
      </c>
      <c r="AU238" s="2">
        <f>SUMIFS(base[L/P Líquido],base[Data],Extrato!$B238,base[Método],Extrato!AU$3,base[Exchange],"Betbra")</f>
        <v>0</v>
      </c>
      <c r="AV238" s="2">
        <f>SUMIF(BetFlow!B:B,Extrato!B238,BetFlow!M:M)</f>
        <v>0</v>
      </c>
      <c r="AW238" s="2">
        <f>SUMIFS(base[L/P Líquido],base[Data],Extrato!$B238,base[Método],Extrato!AW$3,base[Exchange],"Betbra")</f>
        <v>0</v>
      </c>
      <c r="AX238" s="2">
        <f>SUMIFS(base[L/P Líquido],base[Data],Extrato!$B238,base[Método],Extrato!AX$3,base[Exchange],"Betbra")</f>
        <v>-46.47</v>
      </c>
      <c r="AY238" s="2">
        <f>SUMIFS(base[L/P Líquido],base[Data],Extrato!$B238,base[Método],Extrato!AY$3,base[Exchange],"Betbra")</f>
        <v>0</v>
      </c>
      <c r="AZ238" s="2">
        <f>SUMIFS(base[L/P Líquido],base[Data],Extrato!$B238,base[Método],Extrato!AZ$3,base[Exchange],"Betbra")</f>
        <v>-32.25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0</v>
      </c>
      <c r="BE238" s="2">
        <v>0</v>
      </c>
      <c r="BF238" s="2">
        <v>-0.02</v>
      </c>
      <c r="BG238" s="490">
        <f t="shared" si="51"/>
        <v>980.45156950924866</v>
      </c>
      <c r="BI238" s="2">
        <f t="shared" ref="BI238" si="115">BR237</f>
        <v>389.16</v>
      </c>
      <c r="BJ238" s="2">
        <f>SUMIFS(base[L/P Líquido],base[Data],Extrato!$B238,base[Método],Extrato!BJ$3,base[Exchange],"Bolsa")</f>
        <v>23.92</v>
      </c>
      <c r="BK238" s="2">
        <f>SUMIFS(base[L/P Líquido],base[Data],Extrato!$B238,base[Método],Extrato!BK$3,base[Exchange],"Bolsa")</f>
        <v>0</v>
      </c>
      <c r="BL238" s="2">
        <f>SUMIFS(base[L/P Líquido],base[Data],Extrato!$B238,base[Método],Extrato!BL$3,base[Exchange],"Bolsa")</f>
        <v>0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31.82</v>
      </c>
      <c r="BP238" s="2">
        <v>0</v>
      </c>
      <c r="BQ238" s="2">
        <v>-0.01</v>
      </c>
      <c r="BR238" s="490">
        <f t="shared" si="35"/>
        <v>444.89000000000004</v>
      </c>
    </row>
    <row r="239" spans="2:70" ht="15" customHeight="1">
      <c r="B239" s="33">
        <v>46229</v>
      </c>
      <c r="C239" s="2">
        <f t="shared" ref="C239" si="116">AN238</f>
        <v>5342.9703999999956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134.13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0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Líquido],base[Data],Extrato!$B239,base[Método],Extrato!I$3,base[Exchange],"Fulltbet")</f>
        <v>12.96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Líquido],base[Data],Extrato!$B239,base[Método],Extrato!L$3,base[Exchange],"Fulltbet")</f>
        <v>21.71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Líquido],base[Data],Extrato!$B239,base[Método],Extrato!W$3)</f>
        <v>-121.81</v>
      </c>
      <c r="X239" s="2">
        <f>SUMIFS(base[L/P Líquido],base[Data],Extrato!$B239,base[Método],Extrato!X$3)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Líquido],base[Data],Extrato!$B239,base[Método],Extrato!Z$3)</f>
        <v>0</v>
      </c>
      <c r="AA239" s="2">
        <f>SUMIFS(base[L/P Líquido],base[Data],Extrato!$B239,base[Método],Extrato!AA$3)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v>0</v>
      </c>
      <c r="AM239" s="2">
        <v>-0.02</v>
      </c>
      <c r="AN239" s="490">
        <f t="shared" si="25"/>
        <v>5331.9149999999945</v>
      </c>
      <c r="AP239" s="2">
        <f t="shared" ref="AP239" si="117">BG238</f>
        <v>980.45156950924866</v>
      </c>
      <c r="AQ239" s="2">
        <f>SUMIFS(base[L/P Líquido],base[Data],Extrato!$B239,base[Método],Extrato!AQ$3,base[Exchange],"Betbra")</f>
        <v>0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-26.159999999999997</v>
      </c>
      <c r="AT239" s="2">
        <f>SUMIFS(base[L/P Líquido],base[Data],Extrato!$B239,base[Método],Extrato!AT$3,base[Exchange],"Betbra")</f>
        <v>-385.86</v>
      </c>
      <c r="AU239" s="2">
        <f>SUMIFS(base[L/P Líquido],base[Data],Extrato!$B239,base[Método],Extrato!AU$3,base[Exchange],"Betbra")</f>
        <v>22.24</v>
      </c>
      <c r="AV239" s="2">
        <f>SUMIF(BetFlow!B:B,Extrato!B239,BetFlow!M:M)</f>
        <v>0</v>
      </c>
      <c r="AW239" s="2">
        <f>SUMIFS(base[L/P Líquido],base[Data],Extrato!$B239,base[Método],Extrato!AW$3,base[Exchange],"Betbra")</f>
        <v>0</v>
      </c>
      <c r="AX239" s="2">
        <f>SUMIFS(base[L/P Líquido],base[Data],Extrato!$B239,base[Método],Extrato!AX$3,base[Exchange],"Betbra")</f>
        <v>31.54</v>
      </c>
      <c r="AY239" s="2">
        <f>SUMIFS(base[L/P Líquido],base[Data],Extrato!$B239,base[Método],Extrato!AY$3,base[Exchange],"Betbra")</f>
        <v>0</v>
      </c>
      <c r="AZ239" s="2">
        <f>SUMIFS(base[L/P Líquido],base[Data],Extrato!$B239,base[Método],Extrato!AZ$3,base[Exchange],"Betbra")</f>
        <v>20.010000000000002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0</v>
      </c>
      <c r="BE239" s="2">
        <v>0</v>
      </c>
      <c r="BF239" s="2">
        <v>0</v>
      </c>
      <c r="BG239" s="490">
        <f t="shared" si="51"/>
        <v>642.22156950924864</v>
      </c>
      <c r="BI239" s="2">
        <f t="shared" ref="BI239" si="118">BR238</f>
        <v>444.89000000000004</v>
      </c>
      <c r="BJ239" s="2">
        <f>SUMIFS(base[L/P Líquido],base[Data],Extrato!$B239,base[Método],Extrato!BJ$3,base[Exchange],"Bolsa")</f>
        <v>12.639999999999999</v>
      </c>
      <c r="BK239" s="2">
        <f>SUMIFS(base[L/P Líquido],base[Data],Extrato!$B239,base[Método],Extrato!BK$3,base[Exchange],"Bolsa")</f>
        <v>0</v>
      </c>
      <c r="BL239" s="2">
        <f>SUMIFS(base[L/P Líquido],base[Data],Extrato!$B239,base[Método],Extrato!BL$3,base[Exchange],"Bolsa")</f>
        <v>0</v>
      </c>
      <c r="BM239" s="2">
        <f>SUMIFS(base[L/P Líquido],base[Data],Extrato!$B239,base[Método],Extrato!BM$3,base[Exchange],"Bolsa")</f>
        <v>33.450000000000017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-100</v>
      </c>
      <c r="BP239" s="2">
        <v>0</v>
      </c>
      <c r="BQ239" s="2">
        <v>0.01</v>
      </c>
      <c r="BR239" s="490">
        <f t="shared" si="35"/>
        <v>390.99</v>
      </c>
    </row>
    <row r="240" spans="2:70" ht="15" customHeight="1">
      <c r="B240" s="33">
        <v>46230</v>
      </c>
      <c r="C240" s="2">
        <f t="shared" ref="C240" si="119">AN239</f>
        <v>5331.9149999999945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Líquido],base[Data],Extrato!$B240,base[Método],Extrato!I$3,base[Exchange],"Fulltbet")</f>
        <v>51.129999999999995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Líquido],base[Data],Extrato!$B240,base[Método],Extrato!L$3,base[Exchange],"Fulltbet")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Líquido],base[Data],Extrato!$B240,base[Método],Extrato!W$3)</f>
        <v>0</v>
      </c>
      <c r="X240" s="2">
        <f>SUMIFS(base[L/P Líquido],base[Data],Extrato!$B240,base[Método],Extrato!X$3)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Líquido],base[Data],Extrato!$B240,base[Método],Extrato!Z$3)</f>
        <v>0</v>
      </c>
      <c r="AA240" s="2">
        <f>SUMIFS(base[L/P Líquido],base[Data],Extrato!$B240,base[Método],Extrato!AA$3)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v>0</v>
      </c>
      <c r="AM240" s="2">
        <v>-0.01</v>
      </c>
      <c r="AN240" s="490">
        <f t="shared" si="25"/>
        <v>5328.9549999999954</v>
      </c>
      <c r="AP240" s="2">
        <f t="shared" ref="AP240" si="120">BG239</f>
        <v>642.22156950924864</v>
      </c>
      <c r="AQ240" s="2">
        <f>SUMIFS(base[L/P Líquido],base[Data],Extrato!$B240,base[Método],Extrato!AQ$3,base[Exchange],"Betbra")</f>
        <v>0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SUMIF(BetFlow!B:B,Extrato!B240,BetFlow!M:M)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v>0</v>
      </c>
      <c r="BF240" s="2">
        <v>0</v>
      </c>
      <c r="BG240" s="490">
        <f t="shared" si="51"/>
        <v>642.22156950924864</v>
      </c>
      <c r="BI240" s="2">
        <f t="shared" ref="BI240" si="121">BR239</f>
        <v>390.99</v>
      </c>
      <c r="BJ240" s="2">
        <f>SUMIFS(base[L/P Líquido],base[Data],Extrato!$B240,base[Método],Extrato!BJ$3,base[Exchange],"Bolsa")</f>
        <v>0</v>
      </c>
      <c r="BK240" s="2">
        <f>SUMIFS(base[L/P Líquido],base[Data],Extrato!$B240,base[Método],Extrato!BK$3,base[Exchange],"Bolsa")</f>
        <v>0</v>
      </c>
      <c r="BL240" s="2">
        <f>SUMIFS(base[L/P Líquido],base[Data],Extrato!$B240,base[Método],Extrato!BL$3,base[Exchange],"Bolsa")</f>
        <v>0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v>0</v>
      </c>
      <c r="BQ240" s="2">
        <v>0</v>
      </c>
      <c r="BR240" s="490">
        <f t="shared" si="35"/>
        <v>390.99</v>
      </c>
    </row>
    <row r="241" spans="2:70" ht="15" customHeight="1">
      <c r="B241" s="33">
        <v>46231</v>
      </c>
      <c r="C241" s="2">
        <f t="shared" ref="C241" si="122">AN240</f>
        <v>5328.9549999999954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Líquido],base[Data],Extrato!$B241,base[Método],Extrato!I$3,base[Exchange],"Fulltbet")</f>
        <v>21.36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Líquido],base[Data],Extrato!$B241,base[Método],Extrato!L$3,base[Exchange],"Fulltbet")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Líquido],base[Data],Extrato!$B241,base[Método],Extrato!W$3)</f>
        <v>0</v>
      </c>
      <c r="X241" s="2">
        <f>SUMIFS(base[L/P Líquido],base[Data],Extrato!$B241,base[Método],Extrato!X$3)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Líquido],base[Data],Extrato!$B241,base[Método],Extrato!Z$3)</f>
        <v>0</v>
      </c>
      <c r="AA241" s="2">
        <f>SUMIFS(base[L/P Líquido],base[Data],Extrato!$B241,base[Método],Extrato!AA$3)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v>0</v>
      </c>
      <c r="AM241" s="2">
        <v>0</v>
      </c>
      <c r="AN241" s="490">
        <f t="shared" si="25"/>
        <v>5383.144999999995</v>
      </c>
      <c r="AP241" s="2">
        <f t="shared" ref="AP241" si="123">BG240</f>
        <v>642.22156950924864</v>
      </c>
      <c r="AQ241" s="2">
        <f>SUMIFS(base[L/P Líquido],base[Data],Extrato!$B241,base[Método],Extrato!AQ$3,base[Exchange],"Betbra")</f>
        <v>0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SUMIF(BetFlow!B:B,Extrato!B241,BetFlow!M:M)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v>0</v>
      </c>
      <c r="BF241" s="2">
        <v>0</v>
      </c>
      <c r="BG241" s="490">
        <f t="shared" si="51"/>
        <v>642.22156950924864</v>
      </c>
      <c r="BI241" s="2">
        <f t="shared" ref="BI241" si="124">BR240</f>
        <v>390.99</v>
      </c>
      <c r="BJ241" s="2">
        <f>SUMIFS(base[L/P Líquido],base[Data],Extrato!$B241,base[Método],Extrato!BJ$3,base[Exchange],"Bolsa")</f>
        <v>0</v>
      </c>
      <c r="BK241" s="2">
        <f>SUMIFS(base[L/P Líquido],base[Data],Extrato!$B241,base[Método],Extrato!BK$3,base[Exchange],"Bolsa")</f>
        <v>0</v>
      </c>
      <c r="BL241" s="2">
        <f>SUMIFS(base[L/P Líquido],base[Data],Extrato!$B241,base[Método],Extrato!BL$3,base[Exchange],"Bolsa")</f>
        <v>0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v>0</v>
      </c>
      <c r="BQ241" s="2">
        <v>0</v>
      </c>
      <c r="BR241" s="490">
        <f t="shared" si="35"/>
        <v>390.99</v>
      </c>
    </row>
    <row r="242" spans="2:70" ht="15" customHeight="1">
      <c r="B242" s="33">
        <v>46232</v>
      </c>
      <c r="C242" s="2">
        <f t="shared" ref="C242" si="125">AN241</f>
        <v>5383.144999999995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Líquido],base[Data],Extrato!$B242,base[Método],Extrato!I$3,base[Exchange],"Fulltbet")</f>
        <v>5.46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Líquido],base[Data],Extrato!$B242,base[Método],Extrato!L$3,base[Exchange],"Fulltbet")</f>
        <v>37.729999999999997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Líquido],base[Data],Extrato!$B242,base[Método],Extrato!W$3)</f>
        <v>-100.84</v>
      </c>
      <c r="X242" s="2">
        <f>SUMIFS(base[L/P Líquido],base[Data],Extrato!$B242,base[Método],Extrato!X$3)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Líquido],base[Data],Extrato!$B242,base[Método],Extrato!Z$3)</f>
        <v>0</v>
      </c>
      <c r="AA242" s="2">
        <f>SUMIFS(base[L/P Líquido],base[Data],Extrato!$B242,base[Método],Extrato!AA$3)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v>0</v>
      </c>
      <c r="AM242" s="2">
        <v>0</v>
      </c>
      <c r="AN242" s="490">
        <f t="shared" si="25"/>
        <v>5333.3549999999941</v>
      </c>
      <c r="AP242" s="2">
        <f t="shared" ref="AP242" si="126">BG241</f>
        <v>642.22156950924864</v>
      </c>
      <c r="AQ242" s="2">
        <f>SUMIFS(base[L/P Líquido],base[Data],Extrato!$B242,base[Método],Extrato!AQ$3,base[Exchange],"Betbra")</f>
        <v>0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SUMIF(BetFlow!B:B,Extrato!B242,BetFlow!M:M)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v>0</v>
      </c>
      <c r="BF242" s="2">
        <v>0</v>
      </c>
      <c r="BG242" s="490">
        <f t="shared" si="51"/>
        <v>642.22156950924864</v>
      </c>
      <c r="BI242" s="2">
        <f t="shared" ref="BI242" si="127">BR241</f>
        <v>390.99</v>
      </c>
      <c r="BJ242" s="2">
        <f>SUMIFS(base[L/P Líquido],base[Data],Extrato!$B242,base[Método],Extrato!BJ$3,base[Exchange],"Bolsa")</f>
        <v>0</v>
      </c>
      <c r="BK242" s="2">
        <f>SUMIFS(base[L/P Líquido],base[Data],Extrato!$B242,base[Método],Extrato!BK$3,base[Exchange],"Bolsa")</f>
        <v>0</v>
      </c>
      <c r="BL242" s="2">
        <f>SUMIFS(base[L/P Líquido],base[Data],Extrato!$B242,base[Método],Extrato!BL$3,base[Exchange],"Bolsa")</f>
        <v>0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v>0</v>
      </c>
      <c r="BQ242" s="2">
        <v>0</v>
      </c>
      <c r="BR242" s="490">
        <f t="shared" si="35"/>
        <v>390.99</v>
      </c>
    </row>
    <row r="243" spans="2:70" ht="15" customHeight="1">
      <c r="B243" s="33">
        <v>46233</v>
      </c>
      <c r="C243" s="2">
        <f t="shared" ref="C243" si="128">AN242</f>
        <v>5333.3549999999941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Líquido],base[Data],Extrato!$B243,base[Método],Extrato!L$3,base[Exchange],"Fulltbet")</f>
        <v>17.38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Líquido],base[Data],Extrato!$B243,base[Método],Extrato!W$3)</f>
        <v>0</v>
      </c>
      <c r="X243" s="2">
        <f>SUMIFS(base[L/P Líquido],base[Data],Extrato!$B243,base[Método],Extrato!X$3)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v>0</v>
      </c>
      <c r="AM243" s="2">
        <v>0.01</v>
      </c>
      <c r="AN243" s="490">
        <f t="shared" si="25"/>
        <v>5360.5349999999944</v>
      </c>
      <c r="AP243" s="2">
        <f t="shared" ref="AP243" si="129">BG242</f>
        <v>642.22156950924864</v>
      </c>
      <c r="AQ243" s="2">
        <f>SUMIFS(base[L/P Líquido],base[Data],Extrato!$B243,base[Método],Extrato!AQ$3,base[Exchange],"Betbra")</f>
        <v>0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SUMIF(BetFlow!B:B,Extrato!B243,BetFlow!M:M)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v>0</v>
      </c>
      <c r="BF243" s="2">
        <v>0</v>
      </c>
      <c r="BG243" s="490">
        <f t="shared" si="51"/>
        <v>642.22156950924864</v>
      </c>
      <c r="BI243" s="2">
        <f t="shared" ref="BI243" si="130">BR242</f>
        <v>390.99</v>
      </c>
      <c r="BJ243" s="2">
        <f>SUMIFS(base[L/P Líquido],base[Data],Extrato!$B243,base[Método],Extrato!BJ$3,base[Exchange],"Bolsa")</f>
        <v>0</v>
      </c>
      <c r="BK243" s="2">
        <f>SUMIFS(base[L/P Líquido],base[Data],Extrato!$B243,base[Método],Extrato!BK$3,base[Exchange],"Bolsa")</f>
        <v>0</v>
      </c>
      <c r="BL243" s="2">
        <f>SUMIFS(base[L/P Líquido],base[Data],Extrato!$B243,base[Método],Extrato!BL$3,base[Exchange],"Bolsa")</f>
        <v>0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v>0</v>
      </c>
      <c r="BQ243" s="2">
        <v>0</v>
      </c>
      <c r="BR243" s="490">
        <f t="shared" si="35"/>
        <v>390.99</v>
      </c>
    </row>
    <row r="244" spans="2:70" ht="15" customHeight="1">
      <c r="B244" s="33">
        <v>46234</v>
      </c>
      <c r="C244" s="2">
        <f t="shared" ref="C244" si="131">AN243</f>
        <v>5360.5349999999944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Líquido],base[Data],Extrato!$B244,base[Método],Extrato!I$3,base[Exchange],"Fulltbet")</f>
        <v>7.9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Líquido],base[Data],Extrato!$B244,base[Método],Extrato!L$3,base[Exchange],"Fulltbet")</f>
        <v>-50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Líquido],base[Data],Extrato!$B244,base[Método],Extrato!W$3)</f>
        <v>0</v>
      </c>
      <c r="X244" s="2">
        <f>SUMIFS(base[L/P Líquido],base[Data],Extrato!$B244,base[Método],Extrato!X$3)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Líquido],base[Data],Extrato!$B244,base[Método],Extrato!Z$3)</f>
        <v>0</v>
      </c>
      <c r="AA244" s="2">
        <f>SUMIFS(base[L/P Líquido],base[Data],Extrato!$B244,base[Método],Extrato!AA$3)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v>0</v>
      </c>
      <c r="AM244" s="2">
        <v>0</v>
      </c>
      <c r="AN244" s="490">
        <f t="shared" si="25"/>
        <v>5226.5149999999931</v>
      </c>
      <c r="AP244" s="2">
        <f t="shared" ref="AP244" si="132">BG243</f>
        <v>642.22156950924864</v>
      </c>
      <c r="AQ244" s="2">
        <f>SUMIFS(base[L/P Líquido],base[Data],Extrato!$B244,base[Método],Extrato!AQ$3,base[Exchange],"Betbra")</f>
        <v>0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-36.75</v>
      </c>
      <c r="AU244" s="2">
        <f>SUMIFS(base[L/P Líquido],base[Data],Extrato!$B244,base[Método],Extrato!AU$3,base[Exchange],"Betbra")</f>
        <v>0</v>
      </c>
      <c r="AV244" s="2">
        <f>SUMIF(BetFlow!B:B,Extrato!B244,BetFlow!M:M)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0</v>
      </c>
      <c r="AY244" s="2">
        <f>SUMIFS(base[L/P Líquido],base[Data],Extrato!$B244,base[Método],Extrato!AY$3,base[Exchange],"Betbra")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v>0</v>
      </c>
      <c r="BF244" s="2">
        <v>0</v>
      </c>
      <c r="BG244" s="490">
        <f t="shared" si="51"/>
        <v>605.47156950924864</v>
      </c>
      <c r="BI244" s="2">
        <f t="shared" ref="BI244" si="133">BR243</f>
        <v>390.99</v>
      </c>
      <c r="BJ244" s="2">
        <f>SUMIFS(base[L/P Líquido],base[Data],Extrato!$B244,base[Método],Extrato!BJ$3,base[Exchange],"Bolsa")</f>
        <v>0</v>
      </c>
      <c r="BK244" s="2">
        <f>SUMIFS(base[L/P Líquido],base[Data],Extrato!$B244,base[Método],Extrato!BK$3,base[Exchange],"Bolsa")</f>
        <v>0</v>
      </c>
      <c r="BL244" s="2">
        <f>SUMIFS(base[L/P Líquido],base[Data],Extrato!$B244,base[Método],Extrato!BL$3,base[Exchange],"Bolsa")</f>
        <v>0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v>0</v>
      </c>
      <c r="BQ244" s="2">
        <v>0</v>
      </c>
      <c r="BR244" s="490">
        <f t="shared" si="35"/>
        <v>390.99</v>
      </c>
    </row>
    <row r="245" spans="2:70" ht="15" customHeight="1">
      <c r="B245" s="33">
        <v>46235</v>
      </c>
      <c r="C245" s="2">
        <f t="shared" ref="C245" si="134">AN244</f>
        <v>5226.5149999999931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Líquido],base[Data],Extrato!$B245,base[Método],Extrato!I$3,base[Exchange],"Fulltbet")</f>
        <v>50.47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Líquido],base[Data],Extrato!$B245,base[Método],Extrato!L$3,base[Exchange],"Fulltbet")</f>
        <v>25.61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Líquido],base[Data],Extrato!$B245,base[Método],Extrato!W$3)</f>
        <v>0</v>
      </c>
      <c r="X245" s="2">
        <f>SUMIFS(base[L/P Líquido],base[Data],Extrato!$B245,base[Método],Extrato!X$3)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Líquido],base[Data],Extrato!$B245,base[Método],Extrato!Z$3)</f>
        <v>0</v>
      </c>
      <c r="AA245" s="2">
        <f>SUMIFS(base[L/P Líquido],base[Data],Extrato!$B245,base[Método],Extrato!AA$3)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v>0</v>
      </c>
      <c r="AM245" s="2">
        <v>-0.02</v>
      </c>
      <c r="AN245" s="490">
        <f t="shared" si="25"/>
        <v>5525.9449999999915</v>
      </c>
      <c r="AP245" s="2">
        <f t="shared" ref="AP245" si="135">BG244</f>
        <v>605.47156950924864</v>
      </c>
      <c r="AQ245" s="2">
        <f>SUMIFS(base[L/P Líquido],base[Data],Extrato!$B245,base[Método],Extrato!AQ$3,base[Exchange],"Betbra")</f>
        <v>0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SUMIF(BetFlow!B:B,Extrato!B245,BetFlow!M:M)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v>0</v>
      </c>
      <c r="BF245" s="2">
        <v>0</v>
      </c>
      <c r="BG245" s="490">
        <f t="shared" si="51"/>
        <v>605.47156950924864</v>
      </c>
      <c r="BI245" s="2">
        <f t="shared" ref="BI245" si="136">BR244</f>
        <v>390.99</v>
      </c>
      <c r="BJ245" s="2">
        <f>SUMIFS(base[L/P Líquido],base[Data],Extrato!$B245,base[Método],Extrato!BJ$3,base[Exchange],"Bolsa")</f>
        <v>0</v>
      </c>
      <c r="BK245" s="2">
        <f>SUMIFS(base[L/P Líquido],base[Data],Extrato!$B245,base[Método],Extrato!BK$3,base[Exchange],"Bolsa")</f>
        <v>0</v>
      </c>
      <c r="BL245" s="2">
        <f>SUMIFS(base[L/P Líquido],base[Data],Extrato!$B245,base[Método],Extrato!BL$3,base[Exchange],"Bolsa")</f>
        <v>0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v>0</v>
      </c>
      <c r="BQ245" s="2">
        <v>0</v>
      </c>
      <c r="BR245" s="490">
        <f t="shared" si="35"/>
        <v>390.99</v>
      </c>
    </row>
    <row r="246" spans="2:70" ht="15" customHeight="1">
      <c r="B246" s="33">
        <v>46236</v>
      </c>
      <c r="C246" s="2">
        <f t="shared" ref="C246" si="137">AN245</f>
        <v>5525.9449999999915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Líquido],base[Data],Extrato!$B246,base[Método],Extrato!I$3,base[Exchange],"Fulltbet")</f>
        <v>16.11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Líquido],base[Data],Extrato!$B246,base[Método],Extrato!L$3,base[Exchange],"Fulltbet")</f>
        <v>50.5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Líquido],base[Data],Extrato!$B246,base[Método],Extrato!W$3)</f>
        <v>0</v>
      </c>
      <c r="X246" s="2">
        <f>SUMIFS(base[L/P Líquido],base[Data],Extrato!$B246,base[Método],Extrato!X$3)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Líquido],base[Data],Extrato!$B246,base[Método],Extrato!Z$3)</f>
        <v>0</v>
      </c>
      <c r="AA246" s="2">
        <f>SUMIFS(base[L/P Líquido],base[Data],Extrato!$B246,base[Método],Extrato!AA$3)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v>0</v>
      </c>
      <c r="AM246" s="2">
        <v>0</v>
      </c>
      <c r="AN246" s="490">
        <f t="shared" si="25"/>
        <v>5327.0849999999909</v>
      </c>
      <c r="AP246" s="2">
        <f t="shared" ref="AP246" si="138">BG245</f>
        <v>605.47156950924864</v>
      </c>
      <c r="AQ246" s="2">
        <f>SUMIFS(base[L/P Líquido],base[Data],Extrato!$B246,base[Método],Extrato!AQ$3,base[Exchange],"Betbra")</f>
        <v>0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SUMIF(BetFlow!B:B,Extrato!B246,BetFlow!M:M)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v>0</v>
      </c>
      <c r="BF246" s="2">
        <v>0</v>
      </c>
      <c r="BG246" s="490">
        <f t="shared" ref="BG246:BG249" si="139">SUM(AP246:BF246)</f>
        <v>605.47156950924864</v>
      </c>
      <c r="BI246" s="2">
        <f t="shared" ref="BI246" si="140">BR245</f>
        <v>390.99</v>
      </c>
      <c r="BJ246" s="2">
        <f>SUMIFS(base[L/P Líquido],base[Data],Extrato!$B246,base[Método],Extrato!BJ$3,base[Exchange],"Bolsa")</f>
        <v>0</v>
      </c>
      <c r="BK246" s="2">
        <f>SUMIFS(base[L/P Líquido],base[Data],Extrato!$B246,base[Método],Extrato!BK$3,base[Exchange],"Bolsa")</f>
        <v>0</v>
      </c>
      <c r="BL246" s="2">
        <f>SUMIFS(base[L/P Líquido],base[Data],Extrato!$B246,base[Método],Extrato!BL$3,base[Exchange],"Bolsa")</f>
        <v>0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v>0</v>
      </c>
      <c r="BQ246" s="2">
        <v>0</v>
      </c>
      <c r="BR246" s="490">
        <f t="shared" si="35"/>
        <v>390.99</v>
      </c>
    </row>
    <row r="247" spans="2:70" ht="15" customHeight="1">
      <c r="B247" s="33">
        <v>46237</v>
      </c>
      <c r="C247" s="2">
        <f t="shared" ref="C247" si="141">AN246</f>
        <v>5327.0849999999909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Líquido],base[Data],Extrato!$B247,base[Método],Extrato!L$3,base[Exchange],"Fulltbet")</f>
        <v>-31.85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Líquido],base[Data],Extrato!$B247,base[Método],Extrato!W$3)</f>
        <v>0</v>
      </c>
      <c r="X247" s="2">
        <f>SUMIFS(base[L/P Líquido],base[Data],Extrato!$B247,base[Método],Extrato!X$3)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v>0</v>
      </c>
      <c r="AM247" s="2">
        <v>-0.01</v>
      </c>
      <c r="AN247" s="490">
        <f t="shared" si="25"/>
        <v>5394.4449999999906</v>
      </c>
      <c r="AP247" s="2">
        <f t="shared" ref="AP247" si="142">BG246</f>
        <v>605.47156950924864</v>
      </c>
      <c r="AQ247" s="2">
        <f>SUMIFS(base[L/P Líquido],base[Data],Extrato!$B247,base[Método],Extrato!AQ$3,base[Exchange],"Betbra")</f>
        <v>0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SUMIF(BetFlow!B:B,Extrato!B247,BetFlow!M:M)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v>0</v>
      </c>
      <c r="BF247" s="2">
        <v>0</v>
      </c>
      <c r="BG247" s="490">
        <f t="shared" si="139"/>
        <v>605.47156950924864</v>
      </c>
      <c r="BI247" s="2">
        <f t="shared" ref="BI247" si="143">BR246</f>
        <v>390.99</v>
      </c>
      <c r="BJ247" s="2">
        <f>SUMIFS(base[L/P Líquido],base[Data],Extrato!$B247,base[Método],Extrato!BJ$3,base[Exchange],"Bolsa")</f>
        <v>0</v>
      </c>
      <c r="BK247" s="2">
        <f>SUMIFS(base[L/P Líquido],base[Data],Extrato!$B247,base[Método],Extrato!BK$3,base[Exchange],"Bolsa")</f>
        <v>0</v>
      </c>
      <c r="BL247" s="2">
        <f>SUMIFS(base[L/P Líquido],base[Data],Extrato!$B247,base[Método],Extrato!BL$3,base[Exchange],"Bolsa")</f>
        <v>0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v>0</v>
      </c>
      <c r="BQ247" s="2">
        <v>0</v>
      </c>
      <c r="BR247" s="490">
        <f t="shared" si="35"/>
        <v>390.99</v>
      </c>
    </row>
    <row r="248" spans="2:70" ht="15" customHeight="1">
      <c r="B248" s="33">
        <v>46238</v>
      </c>
      <c r="C248" s="2">
        <f t="shared" ref="C248" si="144">AN247</f>
        <v>5394.4449999999906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Líquido],base[Data],Extrato!$B248,base[Método],Extrato!L$3,base[Exchange],"Fulltbet")</f>
        <v>-0.83999999999999631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Líquido],base[Data],Extrato!$B248,base[Método],Extrato!W$3)</f>
        <v>0</v>
      </c>
      <c r="X248" s="2">
        <f>SUMIFS(base[L/P Líquido],base[Data],Extrato!$B248,base[Método],Extrato!X$3)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v>0</v>
      </c>
      <c r="AM248" s="2">
        <v>-0.01</v>
      </c>
      <c r="AN248" s="490">
        <f t="shared" si="25"/>
        <v>5407.2649999999903</v>
      </c>
      <c r="AP248" s="2">
        <f t="shared" ref="AP248" si="145">BG247</f>
        <v>605.47156950924864</v>
      </c>
      <c r="AQ248" s="2">
        <f>SUMIFS(base[L/P Líquido],base[Data],Extrato!$B248,base[Método],Extrato!AQ$3,base[Exchange],"Betbra")</f>
        <v>0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SUMIF(BetFlow!B:B,Extrato!B248,BetFlow!M:M)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v>0</v>
      </c>
      <c r="BF248" s="2">
        <v>0</v>
      </c>
      <c r="BG248" s="490">
        <f t="shared" si="139"/>
        <v>605.47156950924864</v>
      </c>
      <c r="BI248" s="2">
        <f t="shared" ref="BI248" si="146">BR247</f>
        <v>390.99</v>
      </c>
      <c r="BJ248" s="2">
        <f>SUMIFS(base[L/P Líquido],base[Data],Extrato!$B248,base[Método],Extrato!BJ$3,base[Exchange],"Bolsa")</f>
        <v>0</v>
      </c>
      <c r="BK248" s="2">
        <f>SUMIFS(base[L/P Líquido],base[Data],Extrato!$B248,base[Método],Extrato!BK$3,base[Exchange],"Bolsa")</f>
        <v>0</v>
      </c>
      <c r="BL248" s="2">
        <f>SUMIFS(base[L/P Líquido],base[Data],Extrato!$B248,base[Método],Extrato!BL$3,base[Exchange],"Bolsa")</f>
        <v>0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v>0</v>
      </c>
      <c r="BQ248" s="2">
        <v>0</v>
      </c>
      <c r="BR248" s="490">
        <f t="shared" ref="BR248" si="147">SUM(BI248:BQ248)</f>
        <v>390.99</v>
      </c>
    </row>
    <row r="249" spans="2:70" ht="15" customHeight="1">
      <c r="B249" s="33">
        <v>46239</v>
      </c>
      <c r="C249" s="2">
        <f t="shared" ref="C249" si="148">AN248</f>
        <v>5407.2649999999903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Líquido],base[Data],Extrato!$B249,base[Método],Extrato!H$3,base[Exchange],"Fulltbet")</f>
        <v>0</v>
      </c>
      <c r="I249" s="2">
        <f>SUMIFS(base[L/P Líquido],base[Data],Extrato!$B249,base[Método],Extrato!I$3,base[Exchange],"Fulltbet")</f>
        <v>37.379999999999995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Líquido],base[Data],Extrato!$B249,base[Método],Extrato!L$3,base[Exchange],"Fulltbet")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Líquido],base[Data],Extrato!$B249,base[Método],Extrato!W$3)</f>
        <v>0</v>
      </c>
      <c r="X249" s="2">
        <f>SUMIFS(base[L/P Líquido],base[Data],Extrato!$B249,base[Método],Extrato!X$3)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Líquido],base[Data],Extrato!$B249,base[Método],Extrato!Z$3)</f>
        <v>0</v>
      </c>
      <c r="AA249" s="2">
        <f>SUMIFS(base[L/P Líquido],base[Data],Extrato!$B249,base[Método],Extrato!AA$3)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v>0</v>
      </c>
      <c r="AM249" s="2">
        <v>0</v>
      </c>
      <c r="AN249" s="490">
        <f t="shared" si="25"/>
        <v>5504.2549999999901</v>
      </c>
      <c r="AP249" s="2">
        <f t="shared" ref="AP249" si="149">BG248</f>
        <v>605.47156950924864</v>
      </c>
      <c r="AQ249" s="2">
        <f>SUMIFS(base[L/P Líquido],base[Data],Extrato!$B249,base[Método],Extrato!AQ$3,base[Exchange],"Betbra")</f>
        <v>0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SUMIF(BetFlow!B:B,Extrato!B249,BetFlow!M:M)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v>0</v>
      </c>
      <c r="BF249" s="2">
        <v>0</v>
      </c>
      <c r="BG249" s="490">
        <f t="shared" si="139"/>
        <v>605.47156950924864</v>
      </c>
      <c r="BI249" s="2">
        <f t="shared" ref="BI249" si="150">BR248</f>
        <v>390.99</v>
      </c>
      <c r="BJ249" s="2">
        <f>SUMIFS(base[L/P Líquido],base[Data],Extrato!$B249,base[Método],Extrato!BJ$3,base[Exchange],"Bolsa")</f>
        <v>0</v>
      </c>
      <c r="BK249" s="2">
        <f>SUMIFS(base[L/P Líquido],base[Data],Extrato!$B249,base[Método],Extrato!BK$3,base[Exchange],"Bolsa")</f>
        <v>0</v>
      </c>
      <c r="BL249" s="2">
        <f>SUMIFS(base[L/P Líquido],base[Data],Extrato!$B249,base[Método],Extrato!BL$3,base[Exchange],"Bolsa")</f>
        <v>0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v>0</v>
      </c>
      <c r="BQ249" s="2">
        <v>0</v>
      </c>
      <c r="BR249" s="490">
        <f>SUM(BI249:BQ249)</f>
        <v>390.99</v>
      </c>
    </row>
    <row r="250" spans="2:70" ht="15" customHeight="1">
      <c r="B250" s="33">
        <v>46240</v>
      </c>
      <c r="C250" s="2">
        <f t="shared" ref="C250" si="151">AN249</f>
        <v>5504.2549999999901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Líquido],base[Data],Extrato!$B250,base[Método],Extrato!H$3,base[Exchange],"Fulltbet")</f>
        <v>0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Líquido],base[Data],Extrato!$B250,base[Método],Extrato!L$3,base[Exchange],"Fulltbet")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Líquido],base[Data],Extrato!$B250,base[Método],Extrato!W$3)</f>
        <v>0</v>
      </c>
      <c r="X250" s="2">
        <f>SUMIFS(base[L/P Líquido],base[Data],Extrato!$B250,base[Método],Extrato!X$3)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v>0</v>
      </c>
      <c r="AM250" s="2">
        <v>0</v>
      </c>
      <c r="AN250" s="490">
        <f t="shared" ref="AN250" si="152">SUM(C250:AM250)</f>
        <v>5527.0449999999901</v>
      </c>
      <c r="AP250" s="2">
        <f t="shared" ref="AP250" si="153">BG249</f>
        <v>605.47156950924864</v>
      </c>
      <c r="AQ250" s="2">
        <f>SUMIFS(base[L/P Líquido],base[Data],Extrato!$B250,base[Método],Extrato!AQ$3,base[Exchange],"Betbra")</f>
        <v>0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SUMIF(BetFlow!B:B,Extrato!B250,BetFlow!M:M)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v>0</v>
      </c>
      <c r="BF250" s="2">
        <v>0</v>
      </c>
      <c r="BG250" s="490">
        <f t="shared" ref="BG250" si="154">SUM(AP250:BF250)</f>
        <v>605.47156950924864</v>
      </c>
      <c r="BI250" s="2">
        <f t="shared" ref="BI250" si="155">BR249</f>
        <v>390.99</v>
      </c>
      <c r="BJ250" s="2">
        <f>SUMIFS(base[L/P Líquido],base[Data],Extrato!$B250,base[Método],Extrato!BJ$3,base[Exchange],"Bolsa")</f>
        <v>0</v>
      </c>
      <c r="BK250" s="2">
        <f>SUMIFS(base[L/P Líquido],base[Data],Extrato!$B250,base[Método],Extrato!BK$3,base[Exchange],"Bolsa")</f>
        <v>0</v>
      </c>
      <c r="BL250" s="2">
        <f>SUMIFS(base[L/P Líquido],base[Data],Extrato!$B250,base[Método],Extrato!BL$3,base[Exchange],"Bolsa")</f>
        <v>0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v>0</v>
      </c>
      <c r="BQ250" s="2">
        <v>0</v>
      </c>
      <c r="BR250" s="490">
        <f>SUM(BI250:BQ250)</f>
        <v>390.99</v>
      </c>
    </row>
    <row r="251" spans="2:70" ht="15" customHeight="1">
      <c r="B251" s="33">
        <v>46241</v>
      </c>
      <c r="C251" s="2">
        <f t="shared" ref="C251" si="156">AN250</f>
        <v>5527.0449999999901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Líquido],base[Data],Extrato!$B251,base[Método],Extrato!H$3,base[Exchange],"Fulltbet")</f>
        <v>0</v>
      </c>
      <c r="I251" s="2">
        <f>SUMIFS(base[L/P Líquido],base[Data],Extrato!$B251,base[Método],Extrato!I$3,base[Exchange],"Fulltbet")</f>
        <v>94.36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Líquido],base[Data],Extrato!$B251,base[Método],Extrato!L$3,base[Exchange],"Fulltbet")</f>
        <v>-39.75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Líquido],base[Data],Extrato!$B251,base[Método],Extrato!W$3)</f>
        <v>-120</v>
      </c>
      <c r="X251" s="2">
        <f>SUMIFS(base[L/P Líquido],base[Data],Extrato!$B251,base[Método],Extrato!X$3)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Líquido],base[Data],Extrato!$B251,base[Método],Extrato!Z$3)</f>
        <v>0</v>
      </c>
      <c r="AA251" s="2">
        <f>SUMIFS(base[L/P Líquido],base[Data],Extrato!$B251,base[Método],Extrato!AA$3)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v>0</v>
      </c>
      <c r="AM251" s="2">
        <v>-0.02</v>
      </c>
      <c r="AN251" s="490">
        <f t="shared" ref="AN251" si="157">SUM(C251:AM251)</f>
        <v>5214.6949999999897</v>
      </c>
      <c r="AP251" s="2">
        <f t="shared" ref="AP251" si="158">BG250</f>
        <v>605.47156950924864</v>
      </c>
      <c r="AQ251" s="2">
        <f>SUMIFS(base[L/P Líquido],base[Data],Extrato!$B251,base[Método],Extrato!AQ$3,base[Exchange],"Betbra")</f>
        <v>0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SUMIF(BetFlow!B:B,Extrato!B251,BetFlow!M:M)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v>0</v>
      </c>
      <c r="BF251" s="2">
        <v>0</v>
      </c>
      <c r="BG251" s="490">
        <f t="shared" ref="BG251" si="159">SUM(AP251:BF251)</f>
        <v>605.47156950924864</v>
      </c>
      <c r="BI251" s="2">
        <f t="shared" ref="BI251" si="160">BR250</f>
        <v>390.99</v>
      </c>
      <c r="BJ251" s="2">
        <f>SUMIFS(base[L/P Líquido],base[Data],Extrato!$B251,base[Método],Extrato!BJ$3,base[Exchange],"Bolsa")</f>
        <v>0</v>
      </c>
      <c r="BK251" s="2">
        <f>SUMIFS(base[L/P Líquido],base[Data],Extrato!$B251,base[Método],Extrato!BK$3,base[Exchange],"Bolsa")</f>
        <v>0</v>
      </c>
      <c r="BL251" s="2">
        <f>SUMIFS(base[L/P Líquido],base[Data],Extrato!$B251,base[Método],Extrato!BL$3,base[Exchange],"Bolsa")</f>
        <v>0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v>0</v>
      </c>
      <c r="BQ251" s="2">
        <v>0</v>
      </c>
      <c r="BR251" s="490">
        <f>SUM(BI251:BQ251)</f>
        <v>390.99</v>
      </c>
    </row>
    <row r="252" spans="2:70" ht="15" customHeight="1">
      <c r="B252" s="33">
        <v>46242</v>
      </c>
      <c r="C252" s="2">
        <f t="shared" ref="C252" si="161">AN251</f>
        <v>5214.6949999999897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Líquido],base[Data],Extrato!$B252,base[Método],Extrato!F$3)</f>
        <v>28.97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Líquido],base[Data],Extrato!$B252,base[Método],Extrato!H$3,base[Exchange],"Fulltbet")</f>
        <v>27.06</v>
      </c>
      <c r="I252" s="2">
        <f>SUMIFS(base[L/P Líquido],base[Data],Extrato!$B252,base[Método],Extrato!I$3,base[Exchange],"Fulltbet")</f>
        <v>-47.300000000000011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Líquido],base[Data],Extrato!$B252,base[Método],Extrato!L$3,base[Exchange],"Fulltbet")</f>
        <v>-87.789999999999992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Líquido],base[Data],Extrato!$B252,base[Método],Extrato!W$3)</f>
        <v>107.72</v>
      </c>
      <c r="X252" s="2">
        <f>SUMIFS(base[L/P Líquido],base[Data],Extrato!$B252,base[Método],Extrato!X$3)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Líquido],base[Data],Extrato!$B252,base[Método],Extrato!Z$3)</f>
        <v>0</v>
      </c>
      <c r="AA252" s="2">
        <f>SUMIFS(base[L/P Líquido],base[Data],Extrato!$B252,base[Método],Extrato!AA$3)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v>0</v>
      </c>
      <c r="AM252" s="2">
        <v>-0.02</v>
      </c>
      <c r="AN252" s="490">
        <f t="shared" ref="AN252" si="162">SUM(C252:AM252)</f>
        <v>5340.2649999999894</v>
      </c>
      <c r="AP252" s="2">
        <f t="shared" ref="AP252" si="163">BG251</f>
        <v>605.47156950924864</v>
      </c>
      <c r="AQ252" s="2">
        <f>SUMIFS(base[L/P Líquido],base[Data],Extrato!$B252,base[Método],Extrato!AQ$3,base[Exchange],"Betbra")</f>
        <v>0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SUMIF(BetFlow!B:B,Extrato!B252,BetFlow!M:M)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v>0</v>
      </c>
      <c r="BF252" s="2">
        <v>0</v>
      </c>
      <c r="BG252" s="490">
        <f t="shared" ref="BG252" si="164">SUM(AP252:BF252)</f>
        <v>605.47156950924864</v>
      </c>
      <c r="BI252" s="2">
        <f t="shared" ref="BI252" si="165">BR251</f>
        <v>390.99</v>
      </c>
      <c r="BJ252" s="2">
        <f>SUMIFS(base[L/P Líquido],base[Data],Extrato!$B252,base[Método],Extrato!BJ$3,base[Exchange],"Bolsa")</f>
        <v>0</v>
      </c>
      <c r="BK252" s="2">
        <f>SUMIFS(base[L/P Líquido],base[Data],Extrato!$B252,base[Método],Extrato!BK$3,base[Exchange],"Bolsa")</f>
        <v>0</v>
      </c>
      <c r="BL252" s="2">
        <f>SUMIFS(base[L/P Líquido],base[Data],Extrato!$B252,base[Método],Extrato!BL$3,base[Exchange],"Bolsa")</f>
        <v>0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v>0</v>
      </c>
      <c r="BQ252" s="2">
        <v>0</v>
      </c>
      <c r="BR252" s="490">
        <f>SUM(BI252:BQ252)</f>
        <v>390.99</v>
      </c>
    </row>
    <row r="253" spans="2:70" ht="15" customHeight="1">
      <c r="B253" s="33">
        <v>46243</v>
      </c>
      <c r="C253" s="2">
        <f t="shared" ref="C253" si="166">AN252</f>
        <v>5340.2649999999894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-245.05</v>
      </c>
      <c r="F253" s="2">
        <f>SUMIFS(base[L/P Líquido],base[Data],Extrato!$B253,base[Método],Extrato!F$3)</f>
        <v>-7.32</v>
      </c>
      <c r="G253" s="2">
        <f>SUMIFS(base[L/P Líquido],base[Data],Extrato!$B253,base[Método],Extrato!G$3,base[Exchange],"Fulltbet")</f>
        <v>0</v>
      </c>
      <c r="H253" s="2">
        <f>SUMIFS(base[L/P Líquido],base[Data],Extrato!$B253,base[Método],Extrato!H$3,base[Exchange],"Fulltbet")</f>
        <v>-450.01</v>
      </c>
      <c r="I253" s="2">
        <f>SUMIFS(base[L/P Líquido],base[Data],Extrato!$B253,base[Método],Extrato!I$3,base[Exchange],"Fulltbet")</f>
        <v>-98.170000000000016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Líquido],base[Data],Extrato!$B253,base[Método],Extrato!L$3,base[Exchange],"Fulltbet")</f>
        <v>-99.210000000000008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Líquido],base[Data],Extrato!$B253,base[Método],Extrato!W$3)</f>
        <v>112.13</v>
      </c>
      <c r="X253" s="2">
        <f>SUMIFS(base[L/P Líquido],base[Data],Extrato!$B253,base[Método],Extrato!X$3)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Líquido],base[Data],Extrato!$B253,base[Método],Extrato!Z$3)</f>
        <v>0</v>
      </c>
      <c r="AA253" s="2">
        <f>SUMIFS(base[L/P Líquido],base[Data],Extrato!$B253,base[Método],Extrato!AA$3)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v>0</v>
      </c>
      <c r="AM253" s="2">
        <v>0.02</v>
      </c>
      <c r="AN253" s="490">
        <f t="shared" ref="AN253" si="167">SUM(C253:AM253)</f>
        <v>4564.7749999999896</v>
      </c>
      <c r="AP253" s="2">
        <f t="shared" ref="AP253" si="168">BG252</f>
        <v>605.47156950924864</v>
      </c>
      <c r="AQ253" s="2">
        <f>SUMIFS(base[L/P Líquido],base[Data],Extrato!$B253,base[Método],Extrato!AQ$3,base[Exchange],"Betbra")</f>
        <v>0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-250</v>
      </c>
      <c r="AU253" s="2">
        <f>SUMIFS(base[L/P Líquido],base[Data],Extrato!$B253,base[Método],Extrato!AU$3,base[Exchange],"Betbra")</f>
        <v>0</v>
      </c>
      <c r="AV253" s="2">
        <f>SUMIF(BetFlow!B:B,Extrato!B253,BetFlow!M:M)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0</v>
      </c>
      <c r="AY253" s="2">
        <f>SUMIFS(base[L/P Líquido],base[Data],Extrato!$B253,base[Método],Extrato!AY$3,base[Exchange],"Betbra")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v>0</v>
      </c>
      <c r="BF253" s="2">
        <v>-0.01</v>
      </c>
      <c r="BG253" s="490">
        <f t="shared" ref="BG253" si="169">SUM(AP253:BF253)</f>
        <v>355.46156950924865</v>
      </c>
      <c r="BI253" s="2">
        <f t="shared" ref="BI253" si="170">BR252</f>
        <v>390.99</v>
      </c>
      <c r="BJ253" s="2">
        <f>SUMIFS(base[L/P Líquido],base[Data],Extrato!$B253,base[Método],Extrato!BJ$3,base[Exchange],"Bolsa")</f>
        <v>0</v>
      </c>
      <c r="BK253" s="2">
        <f>SUMIFS(base[L/P Líquido],base[Data],Extrato!$B253,base[Método],Extrato!BK$3,base[Exchange],"Bolsa")</f>
        <v>0</v>
      </c>
      <c r="BL253" s="2">
        <f>SUMIFS(base[L/P Líquido],base[Data],Extrato!$B253,base[Método],Extrato!BL$3,base[Exchange],"Bolsa")</f>
        <v>0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v>0</v>
      </c>
      <c r="BQ253" s="2">
        <v>0</v>
      </c>
      <c r="BR253" s="490">
        <f>SUM(BI253:BQ253)</f>
        <v>390.99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5" sqref="F25"/>
    </sheetView>
  </sheetViews>
  <sheetFormatPr defaultRowHeight="15" customHeight="1"/>
  <cols>
    <col min="1" max="1" width="2.69921875" style="709" customWidth="1"/>
    <col min="2" max="2" width="20.296875" style="709" bestFit="1" customWidth="1"/>
    <col min="3" max="3" width="20.796875" style="709" bestFit="1" customWidth="1"/>
    <col min="4" max="4" width="2.69921875" style="709" customWidth="1"/>
    <col min="5" max="5" width="20.296875" style="709" bestFit="1" customWidth="1"/>
    <col min="6" max="6" width="20.796875" style="709" customWidth="1"/>
    <col min="7" max="7" width="2.69921875" style="709" customWidth="1"/>
    <col min="8" max="8" width="20.296875" style="709" bestFit="1" customWidth="1"/>
    <col min="9" max="9" width="20.796875" style="709" bestFit="1" customWidth="1"/>
    <col min="10" max="10" width="2.69921875" style="709" customWidth="1"/>
    <col min="11" max="11" width="20.296875" style="709" customWidth="1"/>
    <col min="12" max="12" width="20.796875" style="709" customWidth="1"/>
    <col min="13" max="13" width="2.69921875" style="709" customWidth="1"/>
    <col min="14" max="14" width="24.8984375" style="709" customWidth="1"/>
    <col min="15" max="15" width="20.796875" style="709" customWidth="1"/>
    <col min="16" max="16" width="2.69921875" style="709" customWidth="1"/>
    <col min="17" max="17" width="19.3984375" style="709" bestFit="1" customWidth="1"/>
    <col min="18" max="18" width="16.09765625" style="709" bestFit="1" customWidth="1"/>
    <col min="19" max="19" width="8.09765625" style="709" customWidth="1"/>
    <col min="20" max="20" width="11.09765625" style="709" bestFit="1" customWidth="1"/>
    <col min="21" max="21" width="2.69921875" style="709" customWidth="1"/>
    <col min="22" max="22" width="21.796875" style="709" customWidth="1"/>
    <col min="23" max="23" width="20.796875" style="709" customWidth="1"/>
    <col min="24" max="16384" width="8.796875" style="709"/>
  </cols>
  <sheetData>
    <row r="2" spans="2:23" ht="13.2">
      <c r="B2" s="1250" t="s">
        <v>266</v>
      </c>
      <c r="C2" s="1251" t="s">
        <v>386</v>
      </c>
      <c r="E2" s="1250" t="s">
        <v>266</v>
      </c>
      <c r="F2" s="1251" t="s">
        <v>386</v>
      </c>
      <c r="G2" s="713"/>
      <c r="H2" s="1250" t="s">
        <v>266</v>
      </c>
      <c r="I2" s="1251" t="s">
        <v>386</v>
      </c>
      <c r="J2" s="713"/>
      <c r="K2" s="1250" t="s">
        <v>266</v>
      </c>
      <c r="L2" s="1251" t="s">
        <v>386</v>
      </c>
      <c r="M2" s="713"/>
      <c r="N2" s="1250" t="s">
        <v>266</v>
      </c>
      <c r="O2" s="1251" t="s">
        <v>386</v>
      </c>
      <c r="P2" s="713"/>
      <c r="Q2" s="1250" t="s">
        <v>465</v>
      </c>
      <c r="R2" s="1251" t="s">
        <v>464</v>
      </c>
      <c r="S2" s="1251" t="s">
        <v>156</v>
      </c>
      <c r="T2" s="1251" t="s">
        <v>255</v>
      </c>
      <c r="U2" s="713"/>
      <c r="V2" s="1250" t="s">
        <v>266</v>
      </c>
      <c r="W2" s="1251" t="s">
        <v>386</v>
      </c>
    </row>
    <row r="3" spans="2:23" ht="13.2">
      <c r="B3" s="1252" t="s">
        <v>3271</v>
      </c>
      <c r="C3" s="1253">
        <v>542.94060000000002</v>
      </c>
      <c r="E3" s="1255">
        <v>46204</v>
      </c>
      <c r="F3" s="1253">
        <v>8.9599999999999973</v>
      </c>
      <c r="G3" s="713"/>
      <c r="H3" s="1252" t="s">
        <v>3662</v>
      </c>
      <c r="I3" s="1253">
        <v>540.82715000000121</v>
      </c>
      <c r="J3" s="713"/>
      <c r="K3" s="1252" t="s">
        <v>3662</v>
      </c>
      <c r="L3" s="1253">
        <v>540.82715000000121</v>
      </c>
      <c r="M3" s="713"/>
      <c r="N3" s="1252" t="s">
        <v>3662</v>
      </c>
      <c r="O3" s="1253">
        <v>540.82715000000121</v>
      </c>
      <c r="P3" s="713"/>
      <c r="Q3" s="1252" t="s">
        <v>74</v>
      </c>
      <c r="R3" s="1253">
        <v>401.42245000000008</v>
      </c>
      <c r="S3" s="1256">
        <v>1</v>
      </c>
      <c r="T3" s="1253">
        <v>17.033333333333335</v>
      </c>
      <c r="U3" s="713"/>
      <c r="V3" s="1252" t="s">
        <v>627</v>
      </c>
      <c r="W3" s="1253">
        <v>966.17275000000018</v>
      </c>
    </row>
    <row r="4" spans="2:23" ht="13.2">
      <c r="B4" s="1252" t="s">
        <v>3334</v>
      </c>
      <c r="C4" s="1253">
        <v>540.80250000000012</v>
      </c>
      <c r="E4" s="1255">
        <v>46205</v>
      </c>
      <c r="F4" s="1253">
        <v>151.97</v>
      </c>
      <c r="G4" s="713"/>
      <c r="H4" s="1252" t="s">
        <v>267</v>
      </c>
      <c r="I4" s="1253">
        <v>540.82715000000121</v>
      </c>
      <c r="J4" s="713"/>
      <c r="K4" s="1252" t="s">
        <v>267</v>
      </c>
      <c r="L4" s="1253">
        <v>540.82715000000121</v>
      </c>
      <c r="M4" s="713"/>
      <c r="N4" s="1254" t="s">
        <v>3791</v>
      </c>
      <c r="O4" s="1253">
        <v>-445.83000000000004</v>
      </c>
      <c r="P4" s="713"/>
      <c r="Q4" s="1254" t="s">
        <v>693</v>
      </c>
      <c r="R4" s="1253">
        <v>302.65244999999999</v>
      </c>
      <c r="S4" s="1256">
        <v>1</v>
      </c>
      <c r="T4" s="1253">
        <v>14.8</v>
      </c>
      <c r="U4" s="713"/>
      <c r="V4" s="1252" t="s">
        <v>3254</v>
      </c>
      <c r="W4" s="1253">
        <v>489.20999999999941</v>
      </c>
    </row>
    <row r="5" spans="2:23" ht="13.8">
      <c r="B5" s="1252" t="s">
        <v>74</v>
      </c>
      <c r="C5" s="1253">
        <v>401.42245000000008</v>
      </c>
      <c r="E5" s="1255">
        <v>46206</v>
      </c>
      <c r="F5" s="1253">
        <v>359.24</v>
      </c>
      <c r="G5" s="713"/>
      <c r="H5"/>
      <c r="I5"/>
      <c r="J5" s="713"/>
      <c r="K5"/>
      <c r="L5"/>
      <c r="M5" s="713"/>
      <c r="N5" s="1254" t="s">
        <v>75</v>
      </c>
      <c r="O5" s="1253">
        <v>-76.100000000000009</v>
      </c>
      <c r="P5" s="713"/>
      <c r="Q5" s="1254" t="s">
        <v>627</v>
      </c>
      <c r="R5" s="1253">
        <v>17.36</v>
      </c>
      <c r="S5" s="1256">
        <v>1</v>
      </c>
      <c r="T5" s="1253">
        <v>23</v>
      </c>
      <c r="U5" s="713"/>
      <c r="V5" s="1252" t="s">
        <v>694</v>
      </c>
      <c r="W5" s="1253">
        <v>344.90035</v>
      </c>
    </row>
    <row r="6" spans="2:23" ht="13.8">
      <c r="B6" s="1252" t="s">
        <v>3330</v>
      </c>
      <c r="C6" s="1253">
        <v>358.90999999999985</v>
      </c>
      <c r="E6" s="1255">
        <v>46207</v>
      </c>
      <c r="F6" s="1253">
        <v>811.24</v>
      </c>
      <c r="G6" s="713"/>
      <c r="H6"/>
      <c r="I6"/>
      <c r="J6" s="713"/>
      <c r="K6"/>
      <c r="L6"/>
      <c r="M6" s="713"/>
      <c r="N6" s="1254" t="s">
        <v>13</v>
      </c>
      <c r="O6" s="1253">
        <v>82.90000000000002</v>
      </c>
      <c r="P6" s="713"/>
      <c r="Q6" s="1254" t="s">
        <v>694</v>
      </c>
      <c r="R6" s="1253">
        <v>81.41</v>
      </c>
      <c r="S6" s="1256">
        <v>1</v>
      </c>
      <c r="T6" s="1253">
        <v>21.125</v>
      </c>
      <c r="U6" s="713"/>
      <c r="V6" s="1252" t="s">
        <v>693</v>
      </c>
      <c r="W6" s="1253">
        <v>302.65244999999999</v>
      </c>
    </row>
    <row r="7" spans="2:23" ht="13.8">
      <c r="B7" s="1252" t="s">
        <v>3868</v>
      </c>
      <c r="C7" s="1253">
        <v>133.67000000000002</v>
      </c>
      <c r="E7" s="1255">
        <v>46208</v>
      </c>
      <c r="F7" s="1253">
        <v>447.78620000000001</v>
      </c>
      <c r="G7" s="713"/>
      <c r="H7"/>
      <c r="I7"/>
      <c r="J7" s="713"/>
      <c r="K7"/>
      <c r="L7"/>
      <c r="M7" s="713"/>
      <c r="N7" s="1254" t="s">
        <v>693</v>
      </c>
      <c r="O7" s="1253">
        <v>302.65244999999999</v>
      </c>
      <c r="P7" s="713"/>
      <c r="Q7" s="1252" t="s">
        <v>179</v>
      </c>
      <c r="R7" s="1253">
        <v>-472.1</v>
      </c>
      <c r="S7" s="1256">
        <v>0.77272727272727271</v>
      </c>
      <c r="T7" s="1253">
        <v>12.770933697583372</v>
      </c>
      <c r="U7" s="713"/>
      <c r="V7" s="1252" t="s">
        <v>3567</v>
      </c>
      <c r="W7" s="1253">
        <v>266.67</v>
      </c>
    </row>
    <row r="8" spans="2:23" ht="13.8">
      <c r="B8" s="1252" t="s">
        <v>3333</v>
      </c>
      <c r="C8" s="1253">
        <v>76.600000000000009</v>
      </c>
      <c r="E8" s="1255">
        <v>46209</v>
      </c>
      <c r="F8" s="1253">
        <v>530.38620000000003</v>
      </c>
      <c r="G8" s="713"/>
      <c r="H8"/>
      <c r="I8"/>
      <c r="J8" s="713"/>
      <c r="K8"/>
      <c r="L8"/>
      <c r="M8" s="713"/>
      <c r="N8" s="1254" t="s">
        <v>627</v>
      </c>
      <c r="O8" s="1253">
        <v>966.17275000000018</v>
      </c>
      <c r="P8" s="713"/>
      <c r="Q8" s="1254" t="s">
        <v>391</v>
      </c>
      <c r="R8" s="1253">
        <v>36.08</v>
      </c>
      <c r="S8" s="1256">
        <v>1</v>
      </c>
      <c r="T8" s="1253">
        <v>10</v>
      </c>
      <c r="U8" s="713"/>
      <c r="V8" s="1252" t="s">
        <v>1759</v>
      </c>
      <c r="W8" s="1253">
        <v>88.024000000000015</v>
      </c>
    </row>
    <row r="9" spans="2:23" ht="13.8">
      <c r="B9" s="1252" t="s">
        <v>314</v>
      </c>
      <c r="C9" s="1253">
        <v>59.400000000000006</v>
      </c>
      <c r="E9" s="1255">
        <v>46210</v>
      </c>
      <c r="F9" s="1253">
        <v>581.73620000000005</v>
      </c>
      <c r="G9" s="713"/>
      <c r="H9"/>
      <c r="I9"/>
      <c r="J9" s="713"/>
      <c r="K9"/>
      <c r="L9"/>
      <c r="M9" s="713"/>
      <c r="N9" s="1254" t="s">
        <v>3388</v>
      </c>
      <c r="O9" s="1253">
        <v>-6.2999999999999829</v>
      </c>
      <c r="P9" s="713"/>
      <c r="Q9" s="1254" t="s">
        <v>3792</v>
      </c>
      <c r="R9" s="1253">
        <v>28.3</v>
      </c>
      <c r="S9" s="1256">
        <v>1</v>
      </c>
      <c r="T9" s="1253">
        <v>14.5</v>
      </c>
      <c r="U9" s="713"/>
      <c r="V9" s="1252" t="s">
        <v>13</v>
      </c>
      <c r="W9" s="1253">
        <v>82.90000000000002</v>
      </c>
    </row>
    <row r="10" spans="2:23" ht="13.8">
      <c r="B10" s="1252" t="s">
        <v>3661</v>
      </c>
      <c r="C10" s="1253">
        <v>6.3999999999999844</v>
      </c>
      <c r="E10" s="1255">
        <v>46211</v>
      </c>
      <c r="F10" s="1253">
        <v>427.96620000000007</v>
      </c>
      <c r="G10" s="713"/>
      <c r="H10"/>
      <c r="I10"/>
      <c r="J10" s="713"/>
      <c r="K10"/>
      <c r="L10"/>
      <c r="M10" s="713"/>
      <c r="N10" s="1254" t="s">
        <v>694</v>
      </c>
      <c r="O10" s="1253">
        <v>344.90035</v>
      </c>
      <c r="P10" s="713"/>
      <c r="Q10" s="1254" t="s">
        <v>3393</v>
      </c>
      <c r="R10" s="1253">
        <v>-443.78999999999996</v>
      </c>
      <c r="S10" s="1256">
        <v>0.66666666666666663</v>
      </c>
      <c r="T10" s="1253">
        <v>15.35</v>
      </c>
      <c r="U10" s="713"/>
      <c r="V10" s="1252" t="s">
        <v>349</v>
      </c>
      <c r="W10" s="1253">
        <v>59.400000000000006</v>
      </c>
    </row>
    <row r="11" spans="2:23" ht="13.8">
      <c r="B11" s="1252" t="s">
        <v>3631</v>
      </c>
      <c r="C11" s="1253">
        <v>3.5600000000000014</v>
      </c>
      <c r="E11" s="1255">
        <v>46212</v>
      </c>
      <c r="F11" s="1253">
        <v>536.34620000000007</v>
      </c>
      <c r="G11" s="713"/>
      <c r="H11"/>
      <c r="I11"/>
      <c r="J11" s="713"/>
      <c r="K11"/>
      <c r="L11"/>
      <c r="M11" s="713"/>
      <c r="N11" s="1254" t="s">
        <v>3254</v>
      </c>
      <c r="O11" s="1253">
        <v>489.20999999999941</v>
      </c>
      <c r="P11" s="713"/>
      <c r="Q11" s="1254" t="s">
        <v>392</v>
      </c>
      <c r="R11" s="1253">
        <v>-92.69</v>
      </c>
      <c r="S11" s="1256">
        <v>0.7857142857142857</v>
      </c>
      <c r="T11" s="1253">
        <v>11.740038667631014</v>
      </c>
      <c r="U11" s="713"/>
      <c r="V11" s="1252" t="s">
        <v>3569</v>
      </c>
      <c r="W11" s="1253">
        <v>49.19</v>
      </c>
    </row>
    <row r="12" spans="2:23" ht="13.8">
      <c r="B12" s="1252" t="s">
        <v>3817</v>
      </c>
      <c r="C12" s="1253">
        <v>-30.89</v>
      </c>
      <c r="E12" s="1255">
        <v>46213</v>
      </c>
      <c r="F12" s="1253">
        <v>622.38620000000003</v>
      </c>
      <c r="G12" s="713"/>
      <c r="H12"/>
      <c r="I12"/>
      <c r="J12" s="713"/>
      <c r="K12"/>
      <c r="L12"/>
      <c r="M12" s="713"/>
      <c r="N12" s="1254" t="s">
        <v>3210</v>
      </c>
      <c r="O12" s="1253">
        <v>-100</v>
      </c>
      <c r="P12" s="713"/>
      <c r="Q12" s="1252" t="s">
        <v>314</v>
      </c>
      <c r="R12" s="1253">
        <v>59.400000000000006</v>
      </c>
      <c r="S12" s="1256">
        <v>0.5714285714285714</v>
      </c>
      <c r="T12" s="1253">
        <v>1.8485714285714285</v>
      </c>
      <c r="U12" s="713"/>
      <c r="V12" s="1252" t="s">
        <v>315</v>
      </c>
      <c r="W12" s="1253">
        <v>47.75</v>
      </c>
    </row>
    <row r="13" spans="2:23" ht="13.2">
      <c r="B13" s="1252" t="s">
        <v>3411</v>
      </c>
      <c r="C13" s="1253">
        <v>-51.85</v>
      </c>
      <c r="E13" s="1255">
        <v>46214</v>
      </c>
      <c r="F13" s="1253">
        <v>686.93619999999999</v>
      </c>
      <c r="G13" s="713"/>
      <c r="H13" s="713"/>
      <c r="I13" s="713"/>
      <c r="J13" s="713"/>
      <c r="K13" s="713"/>
      <c r="L13" s="713"/>
      <c r="M13" s="713"/>
      <c r="N13" s="1254" t="s">
        <v>3211</v>
      </c>
      <c r="O13" s="1253">
        <v>-67.789999999999992</v>
      </c>
      <c r="P13" s="713"/>
      <c r="Q13" s="1254" t="s">
        <v>349</v>
      </c>
      <c r="R13" s="1253">
        <v>59.400000000000006</v>
      </c>
      <c r="S13" s="1256">
        <v>0.5714285714285714</v>
      </c>
      <c r="T13" s="1253">
        <v>1.8485714285714285</v>
      </c>
      <c r="U13" s="713"/>
      <c r="V13" s="1252" t="s">
        <v>1781</v>
      </c>
      <c r="W13" s="1253">
        <v>47.75</v>
      </c>
    </row>
    <row r="14" spans="2:23" ht="13.2">
      <c r="B14" s="1252" t="s">
        <v>1666</v>
      </c>
      <c r="C14" s="1253">
        <v>-113.37839999999994</v>
      </c>
      <c r="E14" s="1255">
        <v>46215</v>
      </c>
      <c r="F14" s="1253">
        <v>1018.5762</v>
      </c>
      <c r="G14" s="713"/>
      <c r="H14" s="713"/>
      <c r="I14" s="713"/>
      <c r="J14" s="713"/>
      <c r="K14" s="713"/>
      <c r="L14" s="713"/>
      <c r="M14" s="713"/>
      <c r="N14" s="1254" t="s">
        <v>2301</v>
      </c>
      <c r="O14" s="1253">
        <v>43.545750000000005</v>
      </c>
      <c r="P14" s="713"/>
      <c r="Q14" s="1252" t="s">
        <v>267</v>
      </c>
      <c r="R14" s="1253">
        <v>-11.277549999999991</v>
      </c>
      <c r="S14" s="1256">
        <v>0.81818181818181823</v>
      </c>
      <c r="T14" s="1253">
        <v>12.486375939700777</v>
      </c>
      <c r="U14" s="713"/>
      <c r="V14" s="1252" t="s">
        <v>2301</v>
      </c>
      <c r="W14" s="1253">
        <v>43.545750000000005</v>
      </c>
    </row>
    <row r="15" spans="2:23" ht="13.8">
      <c r="B15" s="1252" t="s">
        <v>3253</v>
      </c>
      <c r="C15" s="1253">
        <v>-132.01999999999978</v>
      </c>
      <c r="E15" s="1255">
        <v>46216</v>
      </c>
      <c r="F15" s="1253">
        <v>1074.9061999999999</v>
      </c>
      <c r="G15" s="713"/>
      <c r="H15" s="713"/>
      <c r="I15" s="713"/>
      <c r="J15" s="713"/>
      <c r="K15" s="713"/>
      <c r="L15" s="713"/>
      <c r="M15" s="713"/>
      <c r="N15" s="1254" t="s">
        <v>2564</v>
      </c>
      <c r="O15" s="1253">
        <v>2.9294500000000001</v>
      </c>
      <c r="P15" s="713"/>
      <c r="Q15"/>
      <c r="R15"/>
      <c r="S15"/>
      <c r="T15"/>
      <c r="U15" s="713"/>
      <c r="V15" s="1252" t="s">
        <v>4154</v>
      </c>
      <c r="W15" s="1253">
        <v>37.729999999999997</v>
      </c>
    </row>
    <row r="16" spans="2:23" ht="13.8">
      <c r="B16" s="1252" t="s">
        <v>3209</v>
      </c>
      <c r="C16" s="1253">
        <v>-167.79</v>
      </c>
      <c r="E16" s="1255">
        <v>46217</v>
      </c>
      <c r="F16" s="1253">
        <v>1126.3162</v>
      </c>
      <c r="G16" s="713"/>
      <c r="H16" s="713"/>
      <c r="I16" s="713"/>
      <c r="J16" s="713"/>
      <c r="K16" s="713"/>
      <c r="L16" s="713"/>
      <c r="M16" s="713"/>
      <c r="N16" s="1254" t="s">
        <v>3568</v>
      </c>
      <c r="O16" s="1253">
        <v>5.46</v>
      </c>
      <c r="P16" s="713"/>
      <c r="Q16"/>
      <c r="R16"/>
      <c r="S16"/>
      <c r="T16"/>
      <c r="U16" s="713"/>
      <c r="V16" s="1252" t="s">
        <v>391</v>
      </c>
      <c r="W16" s="1253">
        <v>36.08</v>
      </c>
    </row>
    <row r="17" spans="2:23" ht="13.8">
      <c r="B17" s="1252" t="s">
        <v>3581</v>
      </c>
      <c r="C17" s="1253">
        <v>-196.35</v>
      </c>
      <c r="E17" s="1255">
        <v>46218</v>
      </c>
      <c r="F17" s="1253">
        <v>1094.9861999999998</v>
      </c>
      <c r="G17" s="713"/>
      <c r="H17" s="713"/>
      <c r="I17" s="713"/>
      <c r="J17" s="713"/>
      <c r="K17" s="713"/>
      <c r="L17" s="713"/>
      <c r="M17" s="713"/>
      <c r="N17" s="1254" t="s">
        <v>1758</v>
      </c>
      <c r="O17" s="1253">
        <v>-2</v>
      </c>
      <c r="P17" s="713"/>
      <c r="Q17"/>
      <c r="R17"/>
      <c r="S17"/>
      <c r="T17"/>
      <c r="U17" s="713"/>
      <c r="V17" s="1252" t="s">
        <v>3792</v>
      </c>
      <c r="W17" s="1253">
        <v>28.3</v>
      </c>
    </row>
    <row r="18" spans="2:23" ht="13.8">
      <c r="B18" s="1252" t="s">
        <v>3922</v>
      </c>
      <c r="C18" s="1253">
        <v>-208.82</v>
      </c>
      <c r="E18" s="1255">
        <v>46219</v>
      </c>
      <c r="F18" s="1253">
        <v>1216.1061999999997</v>
      </c>
      <c r="G18" s="713"/>
      <c r="H18" s="713"/>
      <c r="I18" s="713"/>
      <c r="J18" s="713"/>
      <c r="K18" s="713"/>
      <c r="L18" s="713"/>
      <c r="M18" s="713"/>
      <c r="N18" s="1254" t="s">
        <v>349</v>
      </c>
      <c r="O18" s="1253">
        <v>59.400000000000006</v>
      </c>
      <c r="P18" s="713"/>
      <c r="Q18"/>
      <c r="R18"/>
      <c r="S18"/>
      <c r="T18"/>
      <c r="U18" s="713"/>
      <c r="V18" s="1252" t="s">
        <v>3802</v>
      </c>
      <c r="W18" s="1253">
        <v>21.23</v>
      </c>
    </row>
    <row r="19" spans="2:23" ht="13.8">
      <c r="B19" s="1252" t="s">
        <v>3921</v>
      </c>
      <c r="C19" s="1253">
        <v>-209.68</v>
      </c>
      <c r="E19" s="1255">
        <v>46220</v>
      </c>
      <c r="F19" s="1253">
        <v>1516.5406999999996</v>
      </c>
      <c r="G19" s="713"/>
      <c r="H19" s="713"/>
      <c r="I19" s="713"/>
      <c r="J19" s="713"/>
      <c r="K19" s="713"/>
      <c r="L19" s="713"/>
      <c r="M19" s="713"/>
      <c r="N19" s="1254" t="s">
        <v>2883</v>
      </c>
      <c r="O19" s="1253">
        <v>3.2367500000000007</v>
      </c>
      <c r="P19" s="713"/>
      <c r="Q19"/>
      <c r="R19"/>
      <c r="S19"/>
      <c r="T19"/>
      <c r="U19" s="713"/>
      <c r="V19" s="1252" t="s">
        <v>3566</v>
      </c>
      <c r="W19" s="1253">
        <v>16.360000000000042</v>
      </c>
    </row>
    <row r="20" spans="2:23" ht="13.8">
      <c r="B20" s="1252" t="s">
        <v>179</v>
      </c>
      <c r="C20" s="1253">
        <v>-472.1</v>
      </c>
      <c r="E20" s="1255">
        <v>46221</v>
      </c>
      <c r="F20" s="1253">
        <v>1310.8406999999995</v>
      </c>
      <c r="H20" s="713"/>
      <c r="I20" s="713"/>
      <c r="K20" s="713"/>
      <c r="N20" s="1254" t="s">
        <v>2362</v>
      </c>
      <c r="O20" s="1253">
        <v>5.22</v>
      </c>
      <c r="Q20"/>
      <c r="R20"/>
      <c r="S20"/>
      <c r="T20"/>
      <c r="V20" s="1252" t="s">
        <v>1558</v>
      </c>
      <c r="W20" s="1253">
        <v>9.6900000000000084</v>
      </c>
    </row>
    <row r="21" spans="2:23" ht="13.8">
      <c r="B21" s="1252" t="s">
        <v>267</v>
      </c>
      <c r="C21" s="1253">
        <v>540.82715000000121</v>
      </c>
      <c r="E21" s="1255">
        <v>46222</v>
      </c>
      <c r="F21" s="1253">
        <v>1592.5050999999994</v>
      </c>
      <c r="H21" s="713"/>
      <c r="I21" s="713"/>
      <c r="K21" s="713"/>
      <c r="N21" s="1254" t="s">
        <v>3830</v>
      </c>
      <c r="O21" s="1253">
        <v>-51.85</v>
      </c>
      <c r="Q21"/>
      <c r="R21"/>
      <c r="S21"/>
      <c r="T21"/>
      <c r="V21" s="1252" t="s">
        <v>3568</v>
      </c>
      <c r="W21" s="1253">
        <v>5.46</v>
      </c>
    </row>
    <row r="22" spans="2:23" ht="13.8">
      <c r="B22"/>
      <c r="C22"/>
      <c r="E22" s="1255">
        <v>46223</v>
      </c>
      <c r="F22" s="1253">
        <v>1657.8187499999995</v>
      </c>
      <c r="H22" s="713"/>
      <c r="I22" s="713"/>
      <c r="K22" s="713"/>
      <c r="N22" s="1254" t="s">
        <v>391</v>
      </c>
      <c r="O22" s="1253">
        <v>36.08</v>
      </c>
      <c r="Q22"/>
      <c r="R22"/>
      <c r="S22"/>
      <c r="T22"/>
      <c r="V22" s="1252" t="s">
        <v>2362</v>
      </c>
      <c r="W22" s="1253">
        <v>5.22</v>
      </c>
    </row>
    <row r="23" spans="2:23" ht="13.8">
      <c r="B23"/>
      <c r="C23"/>
      <c r="E23" s="1255">
        <v>46224</v>
      </c>
      <c r="F23" s="1253">
        <v>1596.9544999999994</v>
      </c>
      <c r="H23" s="713"/>
      <c r="I23" s="713"/>
      <c r="K23" s="713"/>
      <c r="N23" s="1254" t="s">
        <v>1665</v>
      </c>
      <c r="O23" s="1253">
        <v>-10</v>
      </c>
      <c r="Q23"/>
      <c r="R23"/>
      <c r="S23"/>
      <c r="T23"/>
      <c r="V23" s="1252" t="s">
        <v>2883</v>
      </c>
      <c r="W23" s="1253">
        <v>3.2367500000000007</v>
      </c>
    </row>
    <row r="24" spans="2:23" ht="13.8">
      <c r="B24"/>
      <c r="C24"/>
      <c r="E24" s="1255">
        <v>46225</v>
      </c>
      <c r="F24" s="1253">
        <v>1725.3244999999993</v>
      </c>
      <c r="H24" s="713"/>
      <c r="I24" s="713"/>
      <c r="K24" s="713"/>
      <c r="N24" s="1254" t="s">
        <v>2363</v>
      </c>
      <c r="O24" s="1253">
        <v>-4</v>
      </c>
      <c r="Q24"/>
      <c r="R24"/>
      <c r="S24"/>
      <c r="T24"/>
      <c r="V24" s="1252" t="s">
        <v>2564</v>
      </c>
      <c r="W24" s="1253">
        <v>2.9294500000000001</v>
      </c>
    </row>
    <row r="25" spans="2:23" ht="13.8">
      <c r="B25"/>
      <c r="C25"/>
      <c r="E25" s="1255">
        <v>46226</v>
      </c>
      <c r="F25" s="1253">
        <v>1257.8044999999993</v>
      </c>
      <c r="H25" s="713"/>
      <c r="I25" s="713"/>
      <c r="K25" s="713"/>
      <c r="N25" s="1254" t="s">
        <v>1558</v>
      </c>
      <c r="O25" s="1253">
        <v>9.6900000000000084</v>
      </c>
      <c r="Q25"/>
      <c r="R25"/>
      <c r="S25"/>
      <c r="T25"/>
      <c r="V25" s="1252" t="s">
        <v>1718</v>
      </c>
      <c r="W25" s="1253">
        <v>2.7504</v>
      </c>
    </row>
    <row r="26" spans="2:23" ht="13.8">
      <c r="B26"/>
      <c r="C26"/>
      <c r="E26" s="1255">
        <v>46227</v>
      </c>
      <c r="F26" s="1253">
        <v>1410.6325499999994</v>
      </c>
      <c r="H26" s="713"/>
      <c r="I26" s="713"/>
      <c r="K26" s="713"/>
      <c r="N26" s="1254" t="s">
        <v>2951</v>
      </c>
      <c r="O26" s="1253">
        <v>-44.69</v>
      </c>
      <c r="Q26"/>
      <c r="R26"/>
      <c r="S26"/>
      <c r="T26"/>
      <c r="V26" s="1252" t="s">
        <v>3333</v>
      </c>
      <c r="W26" s="1253">
        <v>2.0699999999999998</v>
      </c>
    </row>
    <row r="27" spans="2:23" ht="13.8">
      <c r="B27"/>
      <c r="C27"/>
      <c r="E27" s="1255">
        <v>46228</v>
      </c>
      <c r="F27" s="1253">
        <v>1086.1525499999993</v>
      </c>
      <c r="H27" s="713"/>
      <c r="I27" s="713"/>
      <c r="K27" s="713"/>
      <c r="N27" s="1254" t="s">
        <v>2950</v>
      </c>
      <c r="O27" s="1253">
        <v>-19.214749999999995</v>
      </c>
      <c r="Q27"/>
      <c r="R27"/>
      <c r="S27"/>
      <c r="T27"/>
      <c r="V27" s="1252" t="s">
        <v>2331</v>
      </c>
      <c r="W27" s="1253">
        <v>2.0099999999999998</v>
      </c>
    </row>
    <row r="28" spans="2:23" ht="13.8">
      <c r="B28"/>
      <c r="C28"/>
      <c r="E28" s="1255">
        <v>46229</v>
      </c>
      <c r="F28" s="1253">
        <v>682.97714999999926</v>
      </c>
      <c r="H28" s="713"/>
      <c r="I28" s="713"/>
      <c r="N28" s="1254" t="s">
        <v>2952</v>
      </c>
      <c r="O28" s="1253">
        <v>0.71</v>
      </c>
      <c r="Q28"/>
      <c r="R28"/>
      <c r="S28"/>
      <c r="T28"/>
      <c r="V28" s="1252" t="s">
        <v>2952</v>
      </c>
      <c r="W28" s="1253">
        <v>0.71</v>
      </c>
    </row>
    <row r="29" spans="2:23" ht="13.8">
      <c r="B29"/>
      <c r="C29"/>
      <c r="E29" s="1255">
        <v>46230</v>
      </c>
      <c r="F29" s="1253">
        <v>680.02714999999921</v>
      </c>
      <c r="H29" s="713"/>
      <c r="I29" s="713"/>
      <c r="N29" s="1254" t="s">
        <v>3792</v>
      </c>
      <c r="O29" s="1253">
        <v>28.3</v>
      </c>
      <c r="Q29" s="713"/>
      <c r="R29" s="713"/>
      <c r="S29" s="713"/>
      <c r="T29" s="713"/>
      <c r="V29" s="1252" t="s">
        <v>1795</v>
      </c>
      <c r="W29" s="1253">
        <v>-2</v>
      </c>
    </row>
    <row r="30" spans="2:23" ht="13.8">
      <c r="B30"/>
      <c r="C30"/>
      <c r="E30" s="1255">
        <v>46231</v>
      </c>
      <c r="F30" s="1253">
        <v>734.21714999999926</v>
      </c>
      <c r="H30" s="713"/>
      <c r="I30" s="713"/>
      <c r="N30" s="1254" t="s">
        <v>1715</v>
      </c>
      <c r="O30" s="1253">
        <v>-128.77000000000001</v>
      </c>
      <c r="Q30" s="713"/>
      <c r="R30" s="713"/>
      <c r="S30" s="713"/>
      <c r="T30" s="713"/>
      <c r="V30" s="1252" t="s">
        <v>1758</v>
      </c>
      <c r="W30" s="1253">
        <v>-2</v>
      </c>
    </row>
    <row r="31" spans="2:23" ht="13.8">
      <c r="B31"/>
      <c r="C31"/>
      <c r="E31" s="1255">
        <v>46232</v>
      </c>
      <c r="F31" s="1253">
        <v>684.4271499999993</v>
      </c>
      <c r="H31" s="713"/>
      <c r="I31" s="713"/>
      <c r="N31" s="1254" t="s">
        <v>1555</v>
      </c>
      <c r="O31" s="1253">
        <v>-621.2299999999999</v>
      </c>
      <c r="V31" s="1252" t="s">
        <v>2363</v>
      </c>
      <c r="W31" s="1253">
        <v>-4</v>
      </c>
    </row>
    <row r="32" spans="2:23" ht="13.8">
      <c r="B32"/>
      <c r="C32"/>
      <c r="E32" s="1255">
        <v>46233</v>
      </c>
      <c r="F32" s="1253">
        <v>711.59714999999926</v>
      </c>
      <c r="H32" s="713"/>
      <c r="I32" s="713"/>
      <c r="N32" s="1254" t="s">
        <v>1718</v>
      </c>
      <c r="O32" s="1253">
        <v>2.7504</v>
      </c>
      <c r="V32" s="1252" t="s">
        <v>3388</v>
      </c>
      <c r="W32" s="1253">
        <v>-6.2999999999999829</v>
      </c>
    </row>
    <row r="33" spans="5:23" ht="13.2">
      <c r="E33" s="1255">
        <v>46234</v>
      </c>
      <c r="F33" s="1253">
        <v>540.82714999999916</v>
      </c>
      <c r="H33" s="713"/>
      <c r="I33" s="713"/>
      <c r="N33" s="1254" t="s">
        <v>3393</v>
      </c>
      <c r="O33" s="1253">
        <v>-435.7</v>
      </c>
      <c r="V33" s="1252" t="s">
        <v>1665</v>
      </c>
      <c r="W33" s="1253">
        <v>-10</v>
      </c>
    </row>
    <row r="34" spans="5:23" ht="13.2">
      <c r="E34" s="1252" t="s">
        <v>267</v>
      </c>
      <c r="F34" s="1253"/>
      <c r="H34" s="713"/>
      <c r="I34" s="713"/>
      <c r="N34" s="1254" t="s">
        <v>1781</v>
      </c>
      <c r="O34" s="1253">
        <v>47.75</v>
      </c>
      <c r="V34" s="1252" t="s">
        <v>2950</v>
      </c>
      <c r="W34" s="1253">
        <v>-19.214749999999995</v>
      </c>
    </row>
    <row r="35" spans="5:23" ht="13.8">
      <c r="E35"/>
      <c r="F35"/>
      <c r="H35" s="713"/>
      <c r="I35" s="713"/>
      <c r="N35" s="1254" t="s">
        <v>411</v>
      </c>
      <c r="O35" s="1253">
        <v>-215.75</v>
      </c>
      <c r="V35" s="1252" t="s">
        <v>4159</v>
      </c>
      <c r="W35" s="1253">
        <v>-32.620000000000005</v>
      </c>
    </row>
    <row r="36" spans="5:23" ht="13.8">
      <c r="E36"/>
      <c r="F36"/>
      <c r="N36" s="1254" t="s">
        <v>315</v>
      </c>
      <c r="O36" s="1253">
        <v>47.75</v>
      </c>
      <c r="V36" s="1252" t="s">
        <v>2951</v>
      </c>
      <c r="W36" s="1253">
        <v>-44.69</v>
      </c>
    </row>
    <row r="37" spans="5:23" ht="13.8">
      <c r="E37"/>
      <c r="F37"/>
      <c r="N37" s="1254" t="s">
        <v>1795</v>
      </c>
      <c r="O37" s="1253">
        <v>-2</v>
      </c>
      <c r="V37" s="1252" t="s">
        <v>3830</v>
      </c>
      <c r="W37" s="1253">
        <v>-51.85</v>
      </c>
    </row>
    <row r="38" spans="5:23" ht="13.8">
      <c r="E38"/>
      <c r="F38"/>
      <c r="N38" s="1254" t="s">
        <v>4159</v>
      </c>
      <c r="O38" s="1253">
        <v>-32.620000000000005</v>
      </c>
      <c r="V38" s="1252" t="s">
        <v>1777</v>
      </c>
      <c r="W38" s="1253">
        <v>-62.89</v>
      </c>
    </row>
    <row r="39" spans="5:23" ht="13.8">
      <c r="E39"/>
      <c r="F39"/>
      <c r="N39" s="1254" t="s">
        <v>4154</v>
      </c>
      <c r="O39" s="1253">
        <v>37.729999999999997</v>
      </c>
      <c r="V39" s="1252" t="s">
        <v>3211</v>
      </c>
      <c r="W39" s="1253">
        <v>-67.789999999999992</v>
      </c>
    </row>
    <row r="40" spans="5:23" ht="13.8">
      <c r="E40"/>
      <c r="F40"/>
      <c r="N40" s="1254" t="s">
        <v>1759</v>
      </c>
      <c r="O40" s="1253">
        <v>88.024000000000015</v>
      </c>
      <c r="V40" s="1252" t="s">
        <v>75</v>
      </c>
      <c r="W40" s="1253">
        <v>-76.100000000000009</v>
      </c>
    </row>
    <row r="41" spans="5:23" ht="13.8">
      <c r="E41"/>
      <c r="F41"/>
      <c r="N41" s="1254" t="s">
        <v>3802</v>
      </c>
      <c r="O41" s="1253">
        <v>21.23</v>
      </c>
      <c r="V41" s="1252" t="s">
        <v>392</v>
      </c>
      <c r="W41" s="1253">
        <v>-94.379999999999967</v>
      </c>
    </row>
    <row r="42" spans="5:23" ht="13.8">
      <c r="E42"/>
      <c r="F42"/>
      <c r="N42" s="1254" t="s">
        <v>3569</v>
      </c>
      <c r="O42" s="1253">
        <v>49.19</v>
      </c>
      <c r="V42" s="1252" t="s">
        <v>3210</v>
      </c>
      <c r="W42" s="1253">
        <v>-100</v>
      </c>
    </row>
    <row r="43" spans="5:23" ht="13.8">
      <c r="E43"/>
      <c r="F43"/>
      <c r="N43" s="1254" t="s">
        <v>1777</v>
      </c>
      <c r="O43" s="1253">
        <v>-62.89</v>
      </c>
      <c r="V43" s="1252" t="s">
        <v>1715</v>
      </c>
      <c r="W43" s="1253">
        <v>-128.77000000000001</v>
      </c>
    </row>
    <row r="44" spans="5:23" ht="13.8">
      <c r="E44"/>
      <c r="F44"/>
      <c r="N44" s="1254" t="s">
        <v>3333</v>
      </c>
      <c r="O44" s="1253">
        <v>2.0699999999999998</v>
      </c>
      <c r="V44" s="1252" t="s">
        <v>411</v>
      </c>
      <c r="W44" s="1253">
        <v>-215.75</v>
      </c>
    </row>
    <row r="45" spans="5:23" ht="13.8">
      <c r="E45"/>
      <c r="F45"/>
      <c r="N45" s="1254" t="s">
        <v>3566</v>
      </c>
      <c r="O45" s="1253">
        <v>16.360000000000042</v>
      </c>
      <c r="V45" s="1252" t="s">
        <v>3393</v>
      </c>
      <c r="W45" s="1253">
        <v>-435.7</v>
      </c>
    </row>
    <row r="46" spans="5:23" ht="13.8">
      <c r="E46"/>
      <c r="F46"/>
      <c r="N46" s="1254" t="s">
        <v>3567</v>
      </c>
      <c r="O46" s="1253">
        <v>266.67</v>
      </c>
      <c r="V46" s="1252" t="s">
        <v>3791</v>
      </c>
      <c r="W46" s="1253">
        <v>-445.83000000000004</v>
      </c>
    </row>
    <row r="47" spans="5:23" ht="13.8">
      <c r="E47"/>
      <c r="F47"/>
      <c r="N47" s="1254" t="s">
        <v>392</v>
      </c>
      <c r="O47" s="1253">
        <v>-94.379999999999967</v>
      </c>
      <c r="V47" s="1252" t="s">
        <v>1555</v>
      </c>
      <c r="W47" s="1253">
        <v>-621.2299999999999</v>
      </c>
    </row>
    <row r="48" spans="5:23" ht="13.8">
      <c r="E48"/>
      <c r="F48"/>
      <c r="N48" s="1254" t="s">
        <v>2331</v>
      </c>
      <c r="O48" s="1253">
        <v>2.0099999999999998</v>
      </c>
      <c r="V48" s="1252" t="s">
        <v>267</v>
      </c>
      <c r="W48" s="1253">
        <v>540.82715000000121</v>
      </c>
    </row>
    <row r="49" spans="5:23" ht="13.8">
      <c r="E49"/>
      <c r="F49"/>
      <c r="N49" s="1252" t="s">
        <v>267</v>
      </c>
      <c r="O49" s="1253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713"/>
      <c r="N226"/>
      <c r="O226"/>
    </row>
    <row r="227" spans="5:15" ht="15" customHeight="1">
      <c r="E227" s="713"/>
      <c r="N227"/>
      <c r="O227"/>
    </row>
    <row r="228" spans="5:15" ht="15" customHeight="1">
      <c r="E228" s="713"/>
      <c r="N228"/>
      <c r="O228"/>
    </row>
    <row r="229" spans="5:15" ht="15" customHeight="1">
      <c r="E229" s="713"/>
      <c r="N229"/>
      <c r="O229"/>
    </row>
    <row r="230" spans="5:15" ht="15" customHeight="1">
      <c r="E230" s="713"/>
      <c r="N230"/>
      <c r="O230"/>
    </row>
    <row r="231" spans="5:15" ht="15" customHeight="1">
      <c r="E231" s="713"/>
      <c r="N231"/>
      <c r="O231"/>
    </row>
    <row r="232" spans="5:15" ht="15" customHeight="1">
      <c r="E232" s="713"/>
      <c r="N232"/>
      <c r="O232"/>
    </row>
    <row r="233" spans="5:15" ht="15" customHeight="1">
      <c r="E233" s="713"/>
      <c r="N233"/>
      <c r="O233"/>
    </row>
    <row r="234" spans="5:15" ht="15" customHeight="1">
      <c r="E234" s="713"/>
      <c r="N234"/>
      <c r="O234"/>
    </row>
    <row r="235" spans="5:15" ht="15" customHeight="1">
      <c r="E235" s="713"/>
      <c r="N235"/>
      <c r="O235"/>
    </row>
    <row r="236" spans="5:15" ht="15" customHeight="1">
      <c r="E236" s="713"/>
      <c r="N236"/>
      <c r="O236"/>
    </row>
    <row r="237" spans="5:15" ht="15" customHeight="1">
      <c r="E237" s="713"/>
      <c r="N237"/>
      <c r="O237"/>
    </row>
    <row r="238" spans="5:15" ht="15" customHeight="1">
      <c r="E238" s="713"/>
      <c r="N238"/>
      <c r="O238"/>
    </row>
    <row r="239" spans="5:15" ht="15" customHeight="1">
      <c r="E239" s="713"/>
      <c r="N239"/>
      <c r="O239"/>
    </row>
    <row r="240" spans="5:15" ht="15" customHeight="1">
      <c r="E240" s="713"/>
      <c r="N240"/>
      <c r="O240"/>
    </row>
    <row r="241" spans="5:15" ht="15" customHeight="1">
      <c r="E241" s="713"/>
      <c r="N241"/>
      <c r="O241"/>
    </row>
    <row r="242" spans="5:15" ht="15" customHeight="1">
      <c r="E242" s="713"/>
      <c r="N242"/>
      <c r="O242"/>
    </row>
    <row r="243" spans="5:15" ht="15" customHeight="1">
      <c r="E243" s="713"/>
      <c r="N243"/>
      <c r="O243"/>
    </row>
    <row r="244" spans="5:15" ht="15" customHeight="1">
      <c r="E244" s="713"/>
      <c r="N244"/>
      <c r="O244"/>
    </row>
    <row r="245" spans="5:15" ht="15" customHeight="1">
      <c r="E245" s="713"/>
      <c r="N245"/>
      <c r="O245"/>
    </row>
    <row r="246" spans="5:15" ht="15" customHeight="1">
      <c r="E246" s="713"/>
      <c r="N246"/>
      <c r="O246"/>
    </row>
    <row r="247" spans="5:15" ht="15" customHeight="1">
      <c r="E247" s="713"/>
    </row>
    <row r="248" spans="5:15" ht="15" customHeight="1">
      <c r="E248" s="713"/>
    </row>
    <row r="249" spans="5:15" ht="15" customHeight="1">
      <c r="E249" s="713"/>
    </row>
    <row r="250" spans="5:15" ht="15" customHeight="1">
      <c r="E250" s="713"/>
    </row>
    <row r="251" spans="5:15" ht="15" customHeight="1">
      <c r="E251" s="713"/>
    </row>
    <row r="252" spans="5:15" ht="15" customHeight="1">
      <c r="E252" s="713"/>
    </row>
    <row r="253" spans="5:15" ht="15" customHeight="1">
      <c r="E253" s="713"/>
    </row>
    <row r="254" spans="5:15" ht="15" customHeight="1">
      <c r="E254" s="713"/>
    </row>
    <row r="255" spans="5:15" ht="15" customHeight="1">
      <c r="E255" s="713"/>
    </row>
    <row r="256" spans="5:15" ht="15" customHeight="1">
      <c r="E256" s="713"/>
    </row>
    <row r="257" spans="5:5" ht="15" customHeight="1">
      <c r="E257" s="713"/>
    </row>
    <row r="258" spans="5:5" ht="15" customHeight="1">
      <c r="E258" s="713"/>
    </row>
    <row r="259" spans="5:5" ht="15" customHeight="1">
      <c r="E259" s="713"/>
    </row>
    <row r="260" spans="5:5" ht="15" customHeight="1">
      <c r="E260" s="713"/>
    </row>
    <row r="261" spans="5:5" ht="15" customHeight="1">
      <c r="E261" s="713"/>
    </row>
    <row r="262" spans="5:5" ht="15" customHeight="1">
      <c r="E262" s="713"/>
    </row>
    <row r="263" spans="5:5" ht="15" customHeight="1">
      <c r="E263" s="713"/>
    </row>
    <row r="264" spans="5:5" ht="15" customHeight="1">
      <c r="E264" s="713"/>
    </row>
    <row r="265" spans="5:5" ht="15" customHeight="1">
      <c r="E265" s="713"/>
    </row>
    <row r="266" spans="5:5" ht="15" customHeight="1">
      <c r="E266" s="713"/>
    </row>
    <row r="267" spans="5:5" ht="15" customHeight="1">
      <c r="E267" s="713"/>
    </row>
    <row r="268" spans="5:5" ht="15" customHeight="1">
      <c r="E268" s="713"/>
    </row>
    <row r="269" spans="5:5" ht="15" customHeight="1">
      <c r="E269" s="713"/>
    </row>
    <row r="270" spans="5:5" ht="15" customHeight="1">
      <c r="E270" s="713"/>
    </row>
    <row r="271" spans="5:5" ht="15" customHeight="1">
      <c r="E271" s="713"/>
    </row>
    <row r="272" spans="5:5" ht="15" customHeight="1">
      <c r="E272" s="713"/>
    </row>
    <row r="273" spans="5:5" ht="15" customHeight="1">
      <c r="E273" s="713"/>
    </row>
    <row r="274" spans="5:5" ht="15" customHeight="1">
      <c r="E274" s="713"/>
    </row>
    <row r="275" spans="5:5" ht="15" customHeight="1">
      <c r="E275" s="713"/>
    </row>
    <row r="276" spans="5:5" ht="15" customHeight="1">
      <c r="E276" s="713"/>
    </row>
    <row r="277" spans="5:5" ht="15" customHeight="1">
      <c r="E277" s="713"/>
    </row>
    <row r="278" spans="5:5" ht="15" customHeight="1">
      <c r="E278" s="713"/>
    </row>
    <row r="279" spans="5:5" ht="15" customHeight="1">
      <c r="E279" s="713"/>
    </row>
    <row r="280" spans="5:5" ht="15" customHeight="1">
      <c r="E280" s="713"/>
    </row>
    <row r="281" spans="5:5" ht="15" customHeight="1">
      <c r="E281" s="713"/>
    </row>
    <row r="282" spans="5:5" ht="15" customHeight="1">
      <c r="E282" s="713"/>
    </row>
    <row r="283" spans="5:5" ht="15" customHeight="1">
      <c r="E283" s="713"/>
    </row>
    <row r="284" spans="5:5" ht="15" customHeight="1">
      <c r="E284" s="713"/>
    </row>
    <row r="285" spans="5:5" ht="15" customHeight="1">
      <c r="E285" s="713"/>
    </row>
    <row r="286" spans="5:5" ht="15" customHeight="1">
      <c r="E286" s="713"/>
    </row>
    <row r="287" spans="5:5" ht="15" customHeight="1">
      <c r="E287" s="713"/>
    </row>
    <row r="288" spans="5:5" ht="15" customHeight="1">
      <c r="E288" s="713"/>
    </row>
    <row r="289" spans="5:5" ht="15" customHeight="1">
      <c r="E289" s="713"/>
    </row>
    <row r="290" spans="5:5" ht="15" customHeight="1">
      <c r="E290" s="713"/>
    </row>
    <row r="291" spans="5:5" ht="15" customHeight="1">
      <c r="E291" s="713"/>
    </row>
    <row r="292" spans="5:5" ht="15" customHeight="1">
      <c r="E292" s="713"/>
    </row>
    <row r="293" spans="5:5" ht="15" customHeight="1">
      <c r="E293" s="713"/>
    </row>
    <row r="294" spans="5:5" ht="15" customHeight="1">
      <c r="E294" s="713"/>
    </row>
    <row r="295" spans="5:5" ht="15" customHeight="1">
      <c r="E295" s="713"/>
    </row>
    <row r="296" spans="5:5" ht="15" customHeight="1">
      <c r="E296" s="713"/>
    </row>
    <row r="297" spans="5:5" ht="15" customHeight="1">
      <c r="E297" s="713"/>
    </row>
    <row r="298" spans="5:5" ht="15" customHeight="1">
      <c r="E298" s="713"/>
    </row>
    <row r="299" spans="5:5" ht="15" customHeight="1">
      <c r="E299" s="713"/>
    </row>
    <row r="300" spans="5:5" ht="15" customHeight="1">
      <c r="E300" s="713"/>
    </row>
    <row r="301" spans="5:5" ht="15" customHeight="1">
      <c r="E301" s="713"/>
    </row>
    <row r="302" spans="5:5" ht="15" customHeight="1">
      <c r="E302" s="713"/>
    </row>
    <row r="303" spans="5:5" ht="15" customHeight="1">
      <c r="E303" s="713"/>
    </row>
    <row r="304" spans="5:5" ht="15" customHeight="1">
      <c r="E304" s="713"/>
    </row>
    <row r="305" spans="5:5" ht="15" customHeight="1">
      <c r="E305" s="713"/>
    </row>
    <row r="306" spans="5:5" ht="15" customHeight="1">
      <c r="E306" s="713"/>
    </row>
    <row r="307" spans="5:5" ht="15" customHeight="1">
      <c r="E307" s="713"/>
    </row>
    <row r="308" spans="5:5" ht="15" customHeight="1">
      <c r="E308" s="713"/>
    </row>
    <row r="309" spans="5:5" ht="15" customHeight="1">
      <c r="E309" s="713"/>
    </row>
    <row r="310" spans="5:5" ht="15" customHeight="1">
      <c r="E310" s="713"/>
    </row>
    <row r="311" spans="5:5" ht="15" customHeight="1">
      <c r="E311" s="713"/>
    </row>
    <row r="312" spans="5:5" ht="15" customHeight="1">
      <c r="E312" s="713"/>
    </row>
    <row r="313" spans="5:5" ht="15" customHeight="1">
      <c r="E313" s="713"/>
    </row>
    <row r="314" spans="5:5" ht="15" customHeight="1">
      <c r="E314" s="713"/>
    </row>
    <row r="315" spans="5:5" ht="15" customHeight="1">
      <c r="E315" s="713"/>
    </row>
    <row r="316" spans="5:5" ht="15" customHeight="1">
      <c r="E316" s="713"/>
    </row>
    <row r="317" spans="5:5" ht="15" customHeight="1">
      <c r="E317" s="713"/>
    </row>
    <row r="318" spans="5:5" ht="15" customHeight="1">
      <c r="E318" s="713"/>
    </row>
    <row r="319" spans="5:5" ht="15" customHeight="1">
      <c r="E319" s="713"/>
    </row>
    <row r="320" spans="5:5" ht="15" customHeight="1">
      <c r="E320" s="713"/>
    </row>
    <row r="321" spans="5:5" ht="15" customHeight="1">
      <c r="E321" s="713"/>
    </row>
    <row r="322" spans="5:5" ht="15" customHeight="1">
      <c r="E322" s="713"/>
    </row>
    <row r="323" spans="5:5" ht="15" customHeight="1">
      <c r="E323" s="713"/>
    </row>
    <row r="324" spans="5:5" ht="15" customHeight="1">
      <c r="E324" s="713"/>
    </row>
    <row r="325" spans="5:5" ht="15" customHeight="1">
      <c r="E325" s="713"/>
    </row>
    <row r="326" spans="5:5" ht="15" customHeight="1">
      <c r="E326" s="713"/>
    </row>
    <row r="327" spans="5:5" ht="15" customHeight="1">
      <c r="E327" s="713"/>
    </row>
    <row r="328" spans="5:5" ht="15" customHeight="1">
      <c r="E328" s="713"/>
    </row>
    <row r="329" spans="5:5" ht="15" customHeight="1">
      <c r="E329" s="713"/>
    </row>
    <row r="330" spans="5:5" ht="15" customHeight="1">
      <c r="E330" s="713"/>
    </row>
    <row r="331" spans="5:5" ht="15" customHeight="1">
      <c r="E331" s="713"/>
    </row>
    <row r="332" spans="5:5" ht="15" customHeight="1">
      <c r="E332" s="713"/>
    </row>
    <row r="333" spans="5:5" ht="15" customHeight="1">
      <c r="E333" s="713"/>
    </row>
    <row r="334" spans="5:5" ht="15" customHeight="1">
      <c r="E334" s="713"/>
    </row>
    <row r="335" spans="5:5" ht="15" customHeight="1">
      <c r="E335" s="713"/>
    </row>
    <row r="336" spans="5:5" ht="15" customHeight="1">
      <c r="E336" s="713"/>
    </row>
    <row r="337" spans="5:5" ht="15" customHeight="1">
      <c r="E337" s="713"/>
    </row>
    <row r="338" spans="5:5" ht="15" customHeight="1">
      <c r="E338" s="713"/>
    </row>
    <row r="339" spans="5:5" ht="15" customHeight="1">
      <c r="E339" s="713"/>
    </row>
    <row r="340" spans="5:5" ht="15" customHeight="1">
      <c r="E340" s="713"/>
    </row>
    <row r="341" spans="5:5" ht="15" customHeight="1">
      <c r="E341" s="713"/>
    </row>
    <row r="342" spans="5:5" ht="15" customHeight="1">
      <c r="E342" s="713"/>
    </row>
    <row r="343" spans="5:5" ht="15" customHeight="1">
      <c r="E343" s="713"/>
    </row>
    <row r="344" spans="5:5" ht="15" customHeight="1">
      <c r="E344" s="713"/>
    </row>
    <row r="345" spans="5:5" ht="15" customHeight="1">
      <c r="E345" s="713"/>
    </row>
    <row r="346" spans="5:5" ht="15" customHeight="1">
      <c r="E346" s="713"/>
    </row>
    <row r="347" spans="5:5" ht="15" customHeight="1">
      <c r="E347" s="713"/>
    </row>
    <row r="348" spans="5:5" ht="15" customHeight="1">
      <c r="E348" s="713"/>
    </row>
    <row r="349" spans="5:5" ht="15" customHeight="1">
      <c r="E349" s="713"/>
    </row>
    <row r="350" spans="5:5" ht="15" customHeight="1">
      <c r="E350" s="713"/>
    </row>
    <row r="351" spans="5:5" ht="15" customHeight="1">
      <c r="E351" s="713"/>
    </row>
    <row r="352" spans="5:5" ht="15" customHeight="1">
      <c r="E352" s="713"/>
    </row>
    <row r="353" spans="5:5" ht="15" customHeight="1">
      <c r="E353" s="713"/>
    </row>
    <row r="354" spans="5:5" ht="15" customHeight="1">
      <c r="E354" s="713"/>
    </row>
    <row r="355" spans="5:5" ht="15" customHeight="1">
      <c r="E355" s="713"/>
    </row>
    <row r="356" spans="5:5" ht="15" customHeight="1">
      <c r="E356" s="713"/>
    </row>
    <row r="357" spans="5:5" ht="15" customHeight="1">
      <c r="E357" s="713"/>
    </row>
    <row r="358" spans="5:5" ht="15" customHeight="1">
      <c r="E358" s="713"/>
    </row>
    <row r="359" spans="5:5" ht="15" customHeight="1">
      <c r="E359" s="713"/>
    </row>
    <row r="360" spans="5:5" ht="15" customHeight="1">
      <c r="E360" s="713"/>
    </row>
    <row r="361" spans="5:5" ht="15" customHeight="1">
      <c r="E361" s="713"/>
    </row>
    <row r="362" spans="5:5" ht="15" customHeight="1">
      <c r="E362" s="713"/>
    </row>
    <row r="363" spans="5:5" ht="15" customHeight="1">
      <c r="E363" s="713"/>
    </row>
    <row r="364" spans="5:5" ht="15" customHeight="1">
      <c r="E364" s="713"/>
    </row>
    <row r="365" spans="5:5" ht="15" customHeight="1">
      <c r="E365" s="713"/>
    </row>
    <row r="366" spans="5:5" ht="15" customHeight="1">
      <c r="E366" s="713"/>
    </row>
    <row r="367" spans="5:5" ht="15" customHeight="1">
      <c r="E367" s="713"/>
    </row>
    <row r="368" spans="5:5" ht="15" customHeight="1">
      <c r="E368" s="713"/>
    </row>
    <row r="369" spans="5:5" ht="15" customHeight="1">
      <c r="E369" s="713"/>
    </row>
    <row r="370" spans="5:5" ht="15" customHeight="1">
      <c r="E370" s="713"/>
    </row>
    <row r="371" spans="5:5" ht="15" customHeight="1">
      <c r="E371" s="713"/>
    </row>
    <row r="372" spans="5:5" ht="15" customHeight="1">
      <c r="E372" s="713"/>
    </row>
    <row r="373" spans="5:5" ht="15" customHeight="1">
      <c r="E373" s="713"/>
    </row>
    <row r="374" spans="5:5" ht="15" customHeight="1">
      <c r="E374" s="713"/>
    </row>
    <row r="375" spans="5:5" ht="15" customHeight="1">
      <c r="E375" s="713"/>
    </row>
    <row r="376" spans="5:5" ht="15" customHeight="1">
      <c r="E376" s="713"/>
    </row>
    <row r="377" spans="5:5" ht="15" customHeight="1">
      <c r="E377" s="713"/>
    </row>
    <row r="378" spans="5:5" ht="15" customHeight="1">
      <c r="E378" s="713"/>
    </row>
    <row r="379" spans="5:5" ht="15" customHeight="1">
      <c r="E379" s="713"/>
    </row>
    <row r="380" spans="5:5" ht="15" customHeight="1">
      <c r="E380" s="713"/>
    </row>
    <row r="381" spans="5:5" ht="15" customHeight="1">
      <c r="E381" s="713"/>
    </row>
    <row r="382" spans="5:5" ht="15" customHeight="1">
      <c r="E382" s="713"/>
    </row>
    <row r="383" spans="5:5" ht="15" customHeight="1">
      <c r="E383" s="713"/>
    </row>
    <row r="384" spans="5:5" ht="15" customHeight="1">
      <c r="E384" s="713"/>
    </row>
    <row r="385" spans="5:5" ht="15" customHeight="1">
      <c r="E385" s="713"/>
    </row>
    <row r="386" spans="5:5" ht="15" customHeight="1">
      <c r="E386" s="713"/>
    </row>
    <row r="387" spans="5:5" ht="15" customHeight="1">
      <c r="E387" s="713"/>
    </row>
    <row r="388" spans="5:5" ht="15" customHeight="1">
      <c r="E388" s="713"/>
    </row>
    <row r="389" spans="5:5" ht="15" customHeight="1">
      <c r="E389" s="713"/>
    </row>
    <row r="390" spans="5:5" ht="15" customHeight="1">
      <c r="E390" s="713"/>
    </row>
    <row r="391" spans="5:5" ht="15" customHeight="1">
      <c r="E391" s="713"/>
    </row>
    <row r="392" spans="5:5" ht="15" customHeight="1">
      <c r="E392" s="713"/>
    </row>
    <row r="393" spans="5:5" ht="15" customHeight="1">
      <c r="E393" s="713"/>
    </row>
    <row r="394" spans="5:5" ht="15" customHeight="1">
      <c r="E394" s="713"/>
    </row>
    <row r="395" spans="5:5" ht="15" customHeight="1">
      <c r="E395" s="713"/>
    </row>
    <row r="396" spans="5:5" ht="15" customHeight="1">
      <c r="E396" s="713"/>
    </row>
    <row r="397" spans="5:5" ht="15" customHeight="1">
      <c r="E397" s="713"/>
    </row>
    <row r="398" spans="5:5" ht="15" customHeight="1">
      <c r="E398" s="713"/>
    </row>
    <row r="399" spans="5:5" ht="15" customHeight="1">
      <c r="E399" s="713"/>
    </row>
    <row r="400" spans="5:5" ht="15" customHeight="1">
      <c r="E400" s="713"/>
    </row>
    <row r="401" spans="5:5" ht="15" customHeight="1">
      <c r="E401" s="713"/>
    </row>
    <row r="402" spans="5:5" ht="15" customHeight="1">
      <c r="E402" s="713"/>
    </row>
    <row r="403" spans="5:5" ht="15" customHeight="1">
      <c r="E403" s="713"/>
    </row>
    <row r="404" spans="5:5" ht="15" customHeight="1">
      <c r="E404" s="713"/>
    </row>
    <row r="405" spans="5:5" ht="15" customHeight="1">
      <c r="E405" s="713"/>
    </row>
    <row r="406" spans="5:5" ht="15" customHeight="1">
      <c r="E406" s="713"/>
    </row>
    <row r="407" spans="5:5" ht="15" customHeight="1">
      <c r="E407" s="713"/>
    </row>
    <row r="408" spans="5:5" ht="15" customHeight="1">
      <c r="E408" s="713"/>
    </row>
    <row r="409" spans="5:5" ht="15" customHeight="1">
      <c r="E409" s="713"/>
    </row>
    <row r="410" spans="5:5" ht="15" customHeight="1">
      <c r="E410" s="713"/>
    </row>
    <row r="411" spans="5:5" ht="15" customHeight="1">
      <c r="E411" s="713"/>
    </row>
    <row r="412" spans="5:5" ht="15" customHeight="1">
      <c r="E412" s="713"/>
    </row>
    <row r="413" spans="5:5" ht="15" customHeight="1">
      <c r="E413" s="713"/>
    </row>
    <row r="414" spans="5:5" ht="15" customHeight="1">
      <c r="E414" s="713"/>
    </row>
    <row r="415" spans="5:5" ht="15" customHeight="1">
      <c r="E415" s="713"/>
    </row>
    <row r="416" spans="5:5" ht="15" customHeight="1">
      <c r="E416" s="713"/>
    </row>
    <row r="417" spans="5:5" ht="15" customHeight="1">
      <c r="E417" s="713"/>
    </row>
    <row r="418" spans="5:5" ht="15" customHeight="1">
      <c r="E418" s="713"/>
    </row>
    <row r="419" spans="5:5" ht="15" customHeight="1">
      <c r="E419" s="713"/>
    </row>
    <row r="420" spans="5:5" ht="15" customHeight="1">
      <c r="E420" s="713"/>
    </row>
    <row r="421" spans="5:5" ht="15" customHeight="1">
      <c r="E421" s="713"/>
    </row>
    <row r="422" spans="5:5" ht="15" customHeight="1">
      <c r="E422" s="713"/>
    </row>
    <row r="423" spans="5:5" ht="15" customHeight="1">
      <c r="E423" s="713"/>
    </row>
    <row r="424" spans="5:5" ht="15" customHeight="1">
      <c r="E424" s="713"/>
    </row>
    <row r="425" spans="5:5" ht="15" customHeight="1">
      <c r="E425" s="713"/>
    </row>
    <row r="426" spans="5:5" ht="15" customHeight="1">
      <c r="E426" s="713"/>
    </row>
    <row r="427" spans="5:5" ht="15" customHeight="1">
      <c r="E427" s="713"/>
    </row>
    <row r="428" spans="5:5" ht="15" customHeight="1">
      <c r="E428" s="713"/>
    </row>
    <row r="429" spans="5:5" ht="15" customHeight="1">
      <c r="E429" s="713"/>
    </row>
    <row r="430" spans="5:5" ht="15" customHeight="1">
      <c r="E430" s="713"/>
    </row>
    <row r="431" spans="5:5" ht="15" customHeight="1">
      <c r="E431" s="713"/>
    </row>
    <row r="432" spans="5:5" ht="15" customHeight="1">
      <c r="E432" s="713"/>
    </row>
    <row r="433" spans="5:5" ht="15" customHeight="1">
      <c r="E433" s="713"/>
    </row>
    <row r="434" spans="5:5" ht="15" customHeight="1">
      <c r="E434" s="713"/>
    </row>
    <row r="435" spans="5:5" ht="15" customHeight="1">
      <c r="E435" s="713"/>
    </row>
    <row r="436" spans="5:5" ht="15" customHeight="1">
      <c r="E436" s="713"/>
    </row>
    <row r="437" spans="5:5" ht="15" customHeight="1">
      <c r="E437" s="713"/>
    </row>
    <row r="438" spans="5:5" ht="15" customHeight="1">
      <c r="E438" s="713"/>
    </row>
    <row r="439" spans="5:5" ht="15" customHeight="1">
      <c r="E439" s="713"/>
    </row>
    <row r="440" spans="5:5" ht="15" customHeight="1">
      <c r="E440" s="713"/>
    </row>
    <row r="441" spans="5:5" ht="15" customHeight="1">
      <c r="E441" s="713"/>
    </row>
    <row r="442" spans="5:5" ht="15" customHeight="1">
      <c r="E442" s="713"/>
    </row>
    <row r="443" spans="5:5" ht="15" customHeight="1">
      <c r="E443" s="713"/>
    </row>
    <row r="444" spans="5:5" ht="15" customHeight="1">
      <c r="E444" s="713"/>
    </row>
    <row r="445" spans="5:5" ht="15" customHeight="1">
      <c r="E445" s="713"/>
    </row>
    <row r="446" spans="5:5" ht="15" customHeight="1">
      <c r="E446" s="713"/>
    </row>
    <row r="447" spans="5:5" ht="15" customHeight="1">
      <c r="E447" s="713"/>
    </row>
    <row r="448" spans="5:5" ht="15" customHeight="1">
      <c r="E448" s="713"/>
    </row>
    <row r="449" spans="5:5" ht="15" customHeight="1">
      <c r="E449" s="713"/>
    </row>
    <row r="450" spans="5:5" ht="15" customHeight="1">
      <c r="E450" s="713"/>
    </row>
    <row r="451" spans="5:5" ht="15" customHeight="1">
      <c r="E451" s="713"/>
    </row>
    <row r="452" spans="5:5" ht="15" customHeight="1">
      <c r="E452" s="713"/>
    </row>
    <row r="453" spans="5:5" ht="15" customHeight="1">
      <c r="E453" s="713"/>
    </row>
    <row r="454" spans="5:5" ht="15" customHeight="1">
      <c r="E454" s="713"/>
    </row>
    <row r="455" spans="5:5" ht="15" customHeight="1">
      <c r="E455" s="713"/>
    </row>
    <row r="456" spans="5:5" ht="15" customHeight="1">
      <c r="E456" s="713"/>
    </row>
    <row r="457" spans="5:5" ht="15" customHeight="1">
      <c r="E457" s="713"/>
    </row>
    <row r="458" spans="5:5" ht="15" customHeight="1">
      <c r="E458" s="713"/>
    </row>
    <row r="459" spans="5:5" ht="15" customHeight="1">
      <c r="E459" s="713"/>
    </row>
    <row r="460" spans="5:5" ht="15" customHeight="1">
      <c r="E460" s="713"/>
    </row>
    <row r="461" spans="5:5" ht="15" customHeight="1">
      <c r="E461" s="713"/>
    </row>
    <row r="462" spans="5:5" ht="15" customHeight="1">
      <c r="E462" s="713"/>
    </row>
    <row r="463" spans="5:5" ht="15" customHeight="1">
      <c r="E463" s="713"/>
    </row>
    <row r="464" spans="5:5" ht="15" customHeight="1">
      <c r="E464" s="713"/>
    </row>
    <row r="465" spans="5:5" ht="15" customHeight="1">
      <c r="E465" s="713"/>
    </row>
    <row r="466" spans="5:5" ht="15" customHeight="1">
      <c r="E466" s="713"/>
    </row>
    <row r="467" spans="5:5" ht="15" customHeight="1">
      <c r="E467" s="713"/>
    </row>
    <row r="468" spans="5:5" ht="15" customHeight="1">
      <c r="E468" s="713"/>
    </row>
    <row r="469" spans="5:5" ht="15" customHeight="1">
      <c r="E469" s="713"/>
    </row>
    <row r="470" spans="5:5" ht="15" customHeight="1">
      <c r="E470" s="713"/>
    </row>
    <row r="471" spans="5:5" ht="15" customHeight="1">
      <c r="E471" s="713"/>
    </row>
    <row r="472" spans="5:5" ht="15" customHeight="1">
      <c r="E472" s="713"/>
    </row>
    <row r="473" spans="5:5" ht="15" customHeight="1">
      <c r="E473" s="713"/>
    </row>
    <row r="474" spans="5:5" ht="15" customHeight="1">
      <c r="E474" s="713"/>
    </row>
    <row r="475" spans="5:5" ht="15" customHeight="1">
      <c r="E475" s="713"/>
    </row>
    <row r="476" spans="5:5" ht="15" customHeight="1">
      <c r="E476" s="713"/>
    </row>
    <row r="477" spans="5:5" ht="15" customHeight="1">
      <c r="E477" s="713"/>
    </row>
    <row r="478" spans="5:5" ht="15" customHeight="1">
      <c r="E478" s="713"/>
    </row>
    <row r="479" spans="5:5" ht="15" customHeight="1">
      <c r="E479" s="713"/>
    </row>
    <row r="480" spans="5:5" ht="15" customHeight="1">
      <c r="E480" s="713"/>
    </row>
    <row r="481" spans="5:5" ht="15" customHeight="1">
      <c r="E481" s="713"/>
    </row>
    <row r="482" spans="5:5" ht="15" customHeight="1">
      <c r="E482" s="713"/>
    </row>
    <row r="483" spans="5:5" ht="15" customHeight="1">
      <c r="E483" s="713"/>
    </row>
    <row r="484" spans="5:5" ht="15" customHeight="1">
      <c r="E484" s="713"/>
    </row>
    <row r="485" spans="5:5" ht="15" customHeight="1">
      <c r="E485" s="713"/>
    </row>
    <row r="486" spans="5:5" ht="15" customHeight="1">
      <c r="E486" s="713"/>
    </row>
    <row r="487" spans="5:5" ht="15" customHeight="1">
      <c r="E487" s="713"/>
    </row>
    <row r="488" spans="5:5" ht="15" customHeight="1">
      <c r="E488" s="713"/>
    </row>
    <row r="489" spans="5:5" ht="15" customHeight="1">
      <c r="E489" s="713"/>
    </row>
    <row r="490" spans="5:5" ht="15" customHeight="1">
      <c r="E490" s="713"/>
    </row>
    <row r="491" spans="5:5" ht="15" customHeight="1">
      <c r="E491" s="713"/>
    </row>
    <row r="492" spans="5:5" ht="15" customHeight="1">
      <c r="E492" s="713"/>
    </row>
    <row r="493" spans="5:5" ht="15" customHeight="1">
      <c r="E493" s="713"/>
    </row>
    <row r="494" spans="5:5" ht="15" customHeight="1">
      <c r="E494" s="713"/>
    </row>
    <row r="495" spans="5:5" ht="15" customHeight="1">
      <c r="E495" s="713"/>
    </row>
    <row r="496" spans="5:5" ht="15" customHeight="1">
      <c r="E496" s="713"/>
    </row>
    <row r="497" spans="5:5" ht="15" customHeight="1">
      <c r="E497" s="713"/>
    </row>
    <row r="498" spans="5:5" ht="15" customHeight="1">
      <c r="E498" s="713"/>
    </row>
    <row r="499" spans="5:5" ht="15" customHeight="1">
      <c r="E499" s="713"/>
    </row>
    <row r="500" spans="5:5" ht="15" customHeight="1">
      <c r="E500" s="713"/>
    </row>
    <row r="501" spans="5:5" ht="15" customHeight="1">
      <c r="E501" s="713"/>
    </row>
    <row r="502" spans="5:5" ht="15" customHeight="1">
      <c r="E502" s="713"/>
    </row>
    <row r="503" spans="5:5" ht="15" customHeight="1">
      <c r="E503" s="713"/>
    </row>
    <row r="504" spans="5:5" ht="15" customHeight="1">
      <c r="E504" s="713"/>
    </row>
    <row r="505" spans="5:5" ht="15" customHeight="1">
      <c r="E505" s="713"/>
    </row>
    <row r="506" spans="5:5" ht="15" customHeight="1">
      <c r="E506" s="713"/>
    </row>
    <row r="507" spans="5:5" ht="15" customHeight="1">
      <c r="E507" s="713"/>
    </row>
    <row r="508" spans="5:5" ht="15" customHeight="1">
      <c r="E508" s="713"/>
    </row>
    <row r="509" spans="5:5" ht="15" customHeight="1">
      <c r="E509" s="713"/>
    </row>
    <row r="510" spans="5:5" ht="15" customHeight="1">
      <c r="E510" s="713"/>
    </row>
    <row r="511" spans="5:5" ht="15" customHeight="1">
      <c r="E511" s="713"/>
    </row>
    <row r="512" spans="5:5" ht="15" customHeight="1">
      <c r="E512" s="713"/>
    </row>
    <row r="513" spans="5:5" ht="15" customHeight="1">
      <c r="E513" s="713"/>
    </row>
    <row r="514" spans="5:5" ht="15" customHeight="1">
      <c r="E514" s="713"/>
    </row>
    <row r="515" spans="5:5" ht="15" customHeight="1">
      <c r="E515" s="713"/>
    </row>
    <row r="516" spans="5:5" ht="15" customHeight="1">
      <c r="E516" s="713"/>
    </row>
    <row r="517" spans="5:5" ht="15" customHeight="1">
      <c r="E517" s="713"/>
    </row>
    <row r="518" spans="5:5" ht="15" customHeight="1">
      <c r="E518" s="713"/>
    </row>
    <row r="519" spans="5:5" ht="15" customHeight="1">
      <c r="E519" s="713"/>
    </row>
    <row r="520" spans="5:5" ht="15" customHeight="1">
      <c r="E520" s="713"/>
    </row>
    <row r="521" spans="5:5" ht="15" customHeight="1">
      <c r="E521" s="713"/>
    </row>
    <row r="522" spans="5:5" ht="15" customHeight="1">
      <c r="E522" s="713"/>
    </row>
    <row r="523" spans="5:5" ht="15" customHeight="1">
      <c r="E523" s="713"/>
    </row>
    <row r="524" spans="5:5" ht="15" customHeight="1">
      <c r="E524" s="713"/>
    </row>
    <row r="525" spans="5:5" ht="15" customHeight="1">
      <c r="E525" s="713"/>
    </row>
    <row r="526" spans="5:5" ht="15" customHeight="1">
      <c r="E526" s="713"/>
    </row>
    <row r="527" spans="5:5" ht="15" customHeight="1">
      <c r="E527" s="713"/>
    </row>
    <row r="528" spans="5:5" ht="15" customHeight="1">
      <c r="E528" s="713"/>
    </row>
    <row r="529" spans="5:5" ht="15" customHeight="1">
      <c r="E529" s="713"/>
    </row>
    <row r="530" spans="5:5" ht="15" customHeight="1">
      <c r="E530" s="713"/>
    </row>
    <row r="531" spans="5:5" ht="15" customHeight="1">
      <c r="E531" s="713"/>
    </row>
    <row r="532" spans="5:5" ht="15" customHeight="1">
      <c r="E532" s="713"/>
    </row>
    <row r="533" spans="5:5" ht="15" customHeight="1">
      <c r="E533" s="713"/>
    </row>
    <row r="534" spans="5:5" ht="15" customHeight="1">
      <c r="E534" s="713"/>
    </row>
    <row r="535" spans="5:5" ht="15" customHeight="1">
      <c r="E535" s="713"/>
    </row>
    <row r="536" spans="5:5" ht="15" customHeight="1">
      <c r="E536" s="713"/>
    </row>
    <row r="537" spans="5:5" ht="15" customHeight="1">
      <c r="E537" s="713"/>
    </row>
    <row r="538" spans="5:5" ht="15" customHeight="1">
      <c r="E538" s="713"/>
    </row>
    <row r="539" spans="5:5" ht="15" customHeight="1">
      <c r="E539" s="713"/>
    </row>
    <row r="540" spans="5:5" ht="15" customHeight="1">
      <c r="E540" s="713"/>
    </row>
    <row r="541" spans="5:5" ht="15" customHeight="1">
      <c r="E541" s="713"/>
    </row>
    <row r="542" spans="5:5" ht="15" customHeight="1">
      <c r="E542" s="713"/>
    </row>
    <row r="543" spans="5:5" ht="15" customHeight="1">
      <c r="E543" s="713"/>
    </row>
    <row r="544" spans="5:5" ht="15" customHeight="1">
      <c r="E544" s="713"/>
    </row>
    <row r="545" spans="5:5" ht="15" customHeight="1">
      <c r="E545" s="713"/>
    </row>
    <row r="546" spans="5:5" ht="15" customHeight="1">
      <c r="E546" s="713"/>
    </row>
    <row r="547" spans="5:5" ht="15" customHeight="1">
      <c r="E547" s="713"/>
    </row>
    <row r="548" spans="5:5" ht="15" customHeight="1">
      <c r="E548" s="713"/>
    </row>
    <row r="549" spans="5:5" ht="15" customHeight="1">
      <c r="E549" s="713"/>
    </row>
    <row r="550" spans="5:5" ht="15" customHeight="1">
      <c r="E550" s="713"/>
    </row>
    <row r="551" spans="5:5" ht="15" customHeight="1">
      <c r="E551" s="713"/>
    </row>
    <row r="552" spans="5:5" ht="15" customHeight="1">
      <c r="E552" s="713"/>
    </row>
    <row r="553" spans="5:5" ht="15" customHeight="1">
      <c r="E553" s="713"/>
    </row>
    <row r="554" spans="5:5" ht="15" customHeight="1">
      <c r="E554" s="713"/>
    </row>
    <row r="555" spans="5:5" ht="15" customHeight="1">
      <c r="E555" s="713"/>
    </row>
    <row r="556" spans="5:5" ht="15" customHeight="1">
      <c r="E556" s="713"/>
    </row>
    <row r="557" spans="5:5" ht="15" customHeight="1">
      <c r="E557" s="713"/>
    </row>
    <row r="558" spans="5:5" ht="15" customHeight="1">
      <c r="E558" s="713"/>
    </row>
    <row r="559" spans="5:5" ht="15" customHeight="1">
      <c r="E559" s="713"/>
    </row>
    <row r="560" spans="5:5" ht="15" customHeight="1">
      <c r="E560" s="713"/>
    </row>
    <row r="561" spans="5:5" ht="15" customHeight="1">
      <c r="E561" s="713"/>
    </row>
    <row r="562" spans="5:5" ht="15" customHeight="1">
      <c r="E562" s="713"/>
    </row>
    <row r="563" spans="5:5" ht="15" customHeight="1">
      <c r="E563" s="713"/>
    </row>
    <row r="564" spans="5:5" ht="15" customHeight="1">
      <c r="E564" s="713"/>
    </row>
    <row r="565" spans="5:5" ht="15" customHeight="1">
      <c r="E565" s="713"/>
    </row>
    <row r="566" spans="5:5" ht="15" customHeight="1">
      <c r="E566" s="713"/>
    </row>
    <row r="567" spans="5:5" ht="15" customHeight="1">
      <c r="E567" s="713"/>
    </row>
    <row r="568" spans="5:5" ht="15" customHeight="1">
      <c r="E568" s="713"/>
    </row>
    <row r="569" spans="5:5" ht="15" customHeight="1">
      <c r="E569" s="713"/>
    </row>
    <row r="570" spans="5:5" ht="15" customHeight="1">
      <c r="E570" s="713"/>
    </row>
    <row r="571" spans="5:5" ht="15" customHeight="1">
      <c r="E571" s="713"/>
    </row>
    <row r="572" spans="5:5" ht="15" customHeight="1">
      <c r="E572" s="713"/>
    </row>
    <row r="573" spans="5:5" ht="15" customHeight="1">
      <c r="E573" s="713"/>
    </row>
    <row r="574" spans="5:5" ht="15" customHeight="1">
      <c r="E574" s="713"/>
    </row>
    <row r="575" spans="5:5" ht="15" customHeight="1">
      <c r="E575" s="713"/>
    </row>
    <row r="576" spans="5:5" ht="15" customHeight="1">
      <c r="E576" s="713"/>
    </row>
    <row r="577" spans="5:5" ht="15" customHeight="1">
      <c r="E577" s="713"/>
    </row>
    <row r="578" spans="5:5" ht="15" customHeight="1">
      <c r="E578" s="713"/>
    </row>
    <row r="579" spans="5:5" ht="15" customHeight="1">
      <c r="E579" s="713"/>
    </row>
    <row r="580" spans="5:5" ht="15" customHeight="1">
      <c r="E580" s="713"/>
    </row>
    <row r="581" spans="5:5" ht="15" customHeight="1">
      <c r="E581" s="713"/>
    </row>
    <row r="582" spans="5:5" ht="15" customHeight="1">
      <c r="E582" s="713"/>
    </row>
    <row r="583" spans="5:5" ht="15" customHeight="1">
      <c r="E583" s="713"/>
    </row>
    <row r="584" spans="5:5" ht="15" customHeight="1">
      <c r="E584" s="713"/>
    </row>
    <row r="585" spans="5:5" ht="15" customHeight="1">
      <c r="E585" s="713"/>
    </row>
    <row r="586" spans="5:5" ht="15" customHeight="1">
      <c r="E586" s="713"/>
    </row>
    <row r="587" spans="5:5" ht="15" customHeight="1">
      <c r="E587" s="713"/>
    </row>
    <row r="588" spans="5:5" ht="15" customHeight="1">
      <c r="E588" s="713"/>
    </row>
    <row r="589" spans="5:5" ht="15" customHeight="1">
      <c r="E589" s="713"/>
    </row>
    <row r="590" spans="5:5" ht="15" customHeight="1">
      <c r="E590" s="713"/>
    </row>
    <row r="591" spans="5:5" ht="15" customHeight="1">
      <c r="E591" s="713"/>
    </row>
    <row r="592" spans="5:5" ht="15" customHeight="1">
      <c r="E592" s="713"/>
    </row>
    <row r="593" spans="5:5" ht="15" customHeight="1">
      <c r="E593" s="713"/>
    </row>
    <row r="594" spans="5:5" ht="15" customHeight="1">
      <c r="E594" s="713"/>
    </row>
    <row r="595" spans="5:5" ht="15" customHeight="1">
      <c r="E595" s="713"/>
    </row>
    <row r="596" spans="5:5" ht="15" customHeight="1">
      <c r="E596" s="713"/>
    </row>
    <row r="597" spans="5:5" ht="15" customHeight="1">
      <c r="E597" s="713"/>
    </row>
    <row r="598" spans="5:5" ht="15" customHeight="1">
      <c r="E598" s="713"/>
    </row>
    <row r="599" spans="5:5" ht="15" customHeight="1">
      <c r="E599" s="713"/>
    </row>
    <row r="600" spans="5:5" ht="15" customHeight="1">
      <c r="E600" s="713"/>
    </row>
    <row r="601" spans="5:5" ht="15" customHeight="1">
      <c r="E601" s="713"/>
    </row>
    <row r="602" spans="5:5" ht="15" customHeight="1">
      <c r="E602" s="713"/>
    </row>
    <row r="603" spans="5:5" ht="15" customHeight="1">
      <c r="E603" s="713"/>
    </row>
    <row r="604" spans="5:5" ht="15" customHeight="1">
      <c r="E604" s="713"/>
    </row>
    <row r="605" spans="5:5" ht="15" customHeight="1">
      <c r="E605" s="713"/>
    </row>
    <row r="606" spans="5:5" ht="15" customHeight="1">
      <c r="E606" s="713"/>
    </row>
    <row r="607" spans="5:5" ht="15" customHeight="1">
      <c r="E607" s="713"/>
    </row>
    <row r="608" spans="5:5" ht="15" customHeight="1">
      <c r="E608" s="713"/>
    </row>
    <row r="609" spans="5:5" ht="15" customHeight="1">
      <c r="E609" s="713"/>
    </row>
    <row r="610" spans="5:5" ht="15" customHeight="1">
      <c r="E610" s="713"/>
    </row>
    <row r="611" spans="5:5" ht="15" customHeight="1">
      <c r="E611" s="713"/>
    </row>
    <row r="612" spans="5:5" ht="15" customHeight="1">
      <c r="E612" s="713"/>
    </row>
    <row r="613" spans="5:5" ht="15" customHeight="1">
      <c r="E613" s="713"/>
    </row>
    <row r="614" spans="5:5" ht="15" customHeight="1">
      <c r="E614" s="713"/>
    </row>
    <row r="615" spans="5:5" ht="15" customHeight="1">
      <c r="E615" s="713"/>
    </row>
    <row r="616" spans="5:5" ht="15" customHeight="1">
      <c r="E616" s="713"/>
    </row>
    <row r="617" spans="5:5" ht="15" customHeight="1">
      <c r="E617" s="713"/>
    </row>
    <row r="618" spans="5:5" ht="15" customHeight="1">
      <c r="E618" s="713"/>
    </row>
    <row r="619" spans="5:5" ht="15" customHeight="1">
      <c r="E619" s="713"/>
    </row>
    <row r="620" spans="5:5" ht="15" customHeight="1">
      <c r="E620" s="713"/>
    </row>
    <row r="621" spans="5:5" ht="15" customHeight="1">
      <c r="E621" s="713"/>
    </row>
    <row r="622" spans="5:5" ht="15" customHeight="1">
      <c r="E622" s="713"/>
    </row>
    <row r="623" spans="5:5" ht="15" customHeight="1">
      <c r="E623" s="713"/>
    </row>
    <row r="624" spans="5:5" ht="15" customHeight="1">
      <c r="E624" s="713"/>
    </row>
    <row r="625" spans="5:5" ht="15" customHeight="1">
      <c r="E625" s="713"/>
    </row>
    <row r="626" spans="5:5" ht="15" customHeight="1">
      <c r="E626" s="713"/>
    </row>
    <row r="627" spans="5:5" ht="15" customHeight="1">
      <c r="E627" s="713"/>
    </row>
    <row r="628" spans="5:5" ht="15" customHeight="1">
      <c r="E628" s="713"/>
    </row>
    <row r="629" spans="5:5" ht="15" customHeight="1">
      <c r="E629" s="713"/>
    </row>
    <row r="630" spans="5:5" ht="15" customHeight="1">
      <c r="E630" s="713"/>
    </row>
    <row r="631" spans="5:5" ht="15" customHeight="1">
      <c r="E631" s="713"/>
    </row>
    <row r="632" spans="5:5" ht="15" customHeight="1">
      <c r="E632" s="713"/>
    </row>
    <row r="633" spans="5:5" ht="15" customHeight="1">
      <c r="E633" s="713"/>
    </row>
    <row r="634" spans="5:5" ht="15" customHeight="1">
      <c r="E634" s="713"/>
    </row>
    <row r="635" spans="5:5" ht="15" customHeight="1">
      <c r="E635" s="713"/>
    </row>
    <row r="636" spans="5:5" ht="15" customHeight="1">
      <c r="E636" s="713"/>
    </row>
    <row r="637" spans="5:5" ht="15" customHeight="1">
      <c r="E637" s="713"/>
    </row>
    <row r="638" spans="5:5" ht="15" customHeight="1">
      <c r="E638" s="713"/>
    </row>
    <row r="639" spans="5:5" ht="15" customHeight="1">
      <c r="E639" s="713"/>
    </row>
    <row r="640" spans="5:5" ht="15" customHeight="1">
      <c r="E640" s="713"/>
    </row>
    <row r="641" spans="5:5" ht="15" customHeight="1">
      <c r="E641" s="713"/>
    </row>
    <row r="642" spans="5:5" ht="15" customHeight="1">
      <c r="E642" s="713"/>
    </row>
    <row r="643" spans="5:5" ht="15" customHeight="1">
      <c r="E643" s="713"/>
    </row>
    <row r="644" spans="5:5" ht="15" customHeight="1">
      <c r="E644" s="713"/>
    </row>
    <row r="645" spans="5:5" ht="15" customHeight="1">
      <c r="E645" s="713"/>
    </row>
    <row r="646" spans="5:5" ht="15" customHeight="1">
      <c r="E646" s="713"/>
    </row>
    <row r="647" spans="5:5" ht="15" customHeight="1">
      <c r="E647" s="713"/>
    </row>
    <row r="648" spans="5:5" ht="15" customHeight="1">
      <c r="E648" s="713"/>
    </row>
    <row r="649" spans="5:5" ht="15" customHeight="1">
      <c r="E649" s="713"/>
    </row>
    <row r="650" spans="5:5" ht="15" customHeight="1">
      <c r="E650" s="713"/>
    </row>
    <row r="651" spans="5:5" ht="15" customHeight="1">
      <c r="E651" s="713"/>
    </row>
    <row r="652" spans="5:5" ht="15" customHeight="1">
      <c r="E652" s="713"/>
    </row>
    <row r="653" spans="5:5" ht="15" customHeight="1">
      <c r="E653" s="713"/>
    </row>
    <row r="654" spans="5:5" ht="15" customHeight="1">
      <c r="E654" s="713"/>
    </row>
    <row r="655" spans="5:5" ht="15" customHeight="1">
      <c r="E655" s="713"/>
    </row>
    <row r="656" spans="5:5" ht="15" customHeight="1">
      <c r="E656" s="713"/>
    </row>
    <row r="657" spans="5:5" ht="15" customHeight="1">
      <c r="E657" s="713"/>
    </row>
    <row r="658" spans="5:5" ht="15" customHeight="1">
      <c r="E658" s="713"/>
    </row>
    <row r="659" spans="5:5" ht="15" customHeight="1">
      <c r="E659" s="713"/>
    </row>
    <row r="660" spans="5:5" ht="15" customHeight="1">
      <c r="E660" s="713"/>
    </row>
    <row r="661" spans="5:5" ht="15" customHeight="1">
      <c r="E661" s="713"/>
    </row>
    <row r="662" spans="5:5" ht="15" customHeight="1">
      <c r="E662" s="713"/>
    </row>
    <row r="663" spans="5:5" ht="15" customHeight="1">
      <c r="E663" s="713"/>
    </row>
    <row r="664" spans="5:5" ht="15" customHeight="1">
      <c r="E664" s="713"/>
    </row>
    <row r="665" spans="5:5" ht="15" customHeight="1">
      <c r="E665" s="713"/>
    </row>
    <row r="666" spans="5:5" ht="15" customHeight="1">
      <c r="E666" s="713"/>
    </row>
    <row r="667" spans="5:5" ht="15" customHeight="1">
      <c r="E667" s="713"/>
    </row>
    <row r="668" spans="5:5" ht="15" customHeight="1">
      <c r="E668" s="713"/>
    </row>
    <row r="669" spans="5:5" ht="15" customHeight="1">
      <c r="E669" s="713"/>
    </row>
    <row r="670" spans="5:5" ht="15" customHeight="1">
      <c r="E670" s="713"/>
    </row>
    <row r="671" spans="5:5" ht="15" customHeight="1">
      <c r="E671" s="713"/>
    </row>
    <row r="672" spans="5:5" ht="15" customHeight="1">
      <c r="E672" s="713"/>
    </row>
    <row r="673" spans="5:5" ht="15" customHeight="1">
      <c r="E673" s="713"/>
    </row>
    <row r="674" spans="5:5" ht="15" customHeight="1">
      <c r="E674" s="713"/>
    </row>
    <row r="675" spans="5:5" ht="15" customHeight="1">
      <c r="E675" s="713"/>
    </row>
    <row r="676" spans="5:5" ht="15" customHeight="1">
      <c r="E676" s="713"/>
    </row>
    <row r="677" spans="5:5" ht="15" customHeight="1">
      <c r="E677" s="713"/>
    </row>
    <row r="678" spans="5:5" ht="15" customHeight="1">
      <c r="E678" s="713"/>
    </row>
    <row r="679" spans="5:5" ht="15" customHeight="1">
      <c r="E679" s="713"/>
    </row>
    <row r="680" spans="5:5" ht="15" customHeight="1">
      <c r="E680" s="713"/>
    </row>
    <row r="681" spans="5:5" ht="15" customHeight="1">
      <c r="E681" s="713"/>
    </row>
    <row r="682" spans="5:5" ht="15" customHeight="1">
      <c r="E682" s="713"/>
    </row>
    <row r="683" spans="5:5" ht="15" customHeight="1">
      <c r="E683" s="713"/>
    </row>
    <row r="684" spans="5:5" ht="15" customHeight="1">
      <c r="E684" s="713"/>
    </row>
    <row r="685" spans="5:5" ht="15" customHeight="1">
      <c r="E685" s="713"/>
    </row>
    <row r="686" spans="5:5" ht="15" customHeight="1">
      <c r="E686" s="713"/>
    </row>
    <row r="687" spans="5:5" ht="15" customHeight="1">
      <c r="E687" s="713"/>
    </row>
    <row r="688" spans="5:5" ht="15" customHeight="1">
      <c r="E688" s="713"/>
    </row>
    <row r="689" spans="5:5" ht="15" customHeight="1">
      <c r="E689" s="713"/>
    </row>
    <row r="690" spans="5:5" ht="15" customHeight="1">
      <c r="E690" s="713"/>
    </row>
    <row r="691" spans="5:5" ht="15" customHeight="1">
      <c r="E691" s="713"/>
    </row>
    <row r="692" spans="5:5" ht="15" customHeight="1">
      <c r="E692" s="713"/>
    </row>
    <row r="693" spans="5:5" ht="15" customHeight="1">
      <c r="E693" s="713"/>
    </row>
    <row r="694" spans="5:5" ht="15" customHeight="1">
      <c r="E694" s="713"/>
    </row>
    <row r="695" spans="5:5" ht="15" customHeight="1">
      <c r="E695" s="713"/>
    </row>
    <row r="696" spans="5:5" ht="15" customHeight="1">
      <c r="E696" s="713"/>
    </row>
    <row r="697" spans="5:5" ht="15" customHeight="1">
      <c r="E697" s="713"/>
    </row>
    <row r="698" spans="5:5" ht="15" customHeight="1">
      <c r="E698" s="713"/>
    </row>
    <row r="699" spans="5:5" ht="15" customHeight="1">
      <c r="E699" s="713"/>
    </row>
    <row r="700" spans="5:5" ht="15" customHeight="1">
      <c r="E700" s="713"/>
    </row>
    <row r="701" spans="5:5" ht="15" customHeight="1">
      <c r="E701" s="713"/>
    </row>
    <row r="702" spans="5:5" ht="15" customHeight="1">
      <c r="E702" s="713"/>
    </row>
    <row r="703" spans="5:5" ht="15" customHeight="1">
      <c r="E703" s="713"/>
    </row>
    <row r="704" spans="5:5" ht="15" customHeight="1">
      <c r="E704" s="713"/>
    </row>
    <row r="705" spans="5:5" ht="15" customHeight="1">
      <c r="E705" s="713"/>
    </row>
    <row r="706" spans="5:5" ht="15" customHeight="1">
      <c r="E706" s="713"/>
    </row>
    <row r="707" spans="5:5" ht="15" customHeight="1">
      <c r="E707" s="713"/>
    </row>
    <row r="708" spans="5:5" ht="15" customHeight="1">
      <c r="E708" s="713"/>
    </row>
    <row r="709" spans="5:5" ht="15" customHeight="1">
      <c r="E709" s="713"/>
    </row>
    <row r="710" spans="5:5" ht="15" customHeight="1">
      <c r="E710" s="713"/>
    </row>
    <row r="711" spans="5:5" ht="15" customHeight="1">
      <c r="E711" s="713"/>
    </row>
    <row r="712" spans="5:5" ht="15" customHeight="1">
      <c r="E712" s="713"/>
    </row>
    <row r="713" spans="5:5" ht="15" customHeight="1">
      <c r="E713" s="713"/>
    </row>
    <row r="714" spans="5:5" ht="15" customHeight="1">
      <c r="E714" s="713"/>
    </row>
    <row r="715" spans="5:5" ht="15" customHeight="1">
      <c r="E715" s="713"/>
    </row>
    <row r="716" spans="5:5" ht="15" customHeight="1">
      <c r="E716" s="713"/>
    </row>
    <row r="717" spans="5:5" ht="15" customHeight="1">
      <c r="E717" s="713"/>
    </row>
    <row r="718" spans="5:5" ht="15" customHeight="1">
      <c r="E718" s="713"/>
    </row>
    <row r="719" spans="5:5" ht="15" customHeight="1">
      <c r="E719" s="713"/>
    </row>
    <row r="720" spans="5:5" ht="15" customHeight="1">
      <c r="E720" s="713"/>
    </row>
    <row r="721" spans="5:5" ht="15" customHeight="1">
      <c r="E721" s="713"/>
    </row>
    <row r="722" spans="5:5" ht="15" customHeight="1">
      <c r="E722" s="713"/>
    </row>
    <row r="723" spans="5:5" ht="15" customHeight="1">
      <c r="E723" s="713"/>
    </row>
    <row r="724" spans="5:5" ht="15" customHeight="1">
      <c r="E724" s="713"/>
    </row>
    <row r="725" spans="5:5" ht="15" customHeight="1">
      <c r="E725" s="713"/>
    </row>
    <row r="726" spans="5:5" ht="15" customHeight="1">
      <c r="E726" s="713"/>
    </row>
    <row r="727" spans="5:5" ht="15" customHeight="1">
      <c r="E727" s="713"/>
    </row>
    <row r="728" spans="5:5" ht="15" customHeight="1">
      <c r="E728" s="713"/>
    </row>
    <row r="729" spans="5:5" ht="15" customHeight="1">
      <c r="E729" s="713"/>
    </row>
    <row r="730" spans="5:5" ht="15" customHeight="1">
      <c r="E730" s="713"/>
    </row>
    <row r="731" spans="5:5" ht="15" customHeight="1">
      <c r="E731" s="713"/>
    </row>
    <row r="732" spans="5:5" ht="15" customHeight="1">
      <c r="E732" s="713"/>
    </row>
    <row r="733" spans="5:5" ht="15" customHeight="1">
      <c r="E733" s="713"/>
    </row>
    <row r="734" spans="5:5" ht="15" customHeight="1">
      <c r="E734" s="713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690"/>
  <sheetViews>
    <sheetView showGridLines="0" tabSelected="1" topLeftCell="G1" zoomScale="60" zoomScaleNormal="60" workbookViewId="0">
      <pane ySplit="2" topLeftCell="A3" activePane="bottomLeft" state="frozen"/>
      <selection pane="bottomLeft" activeCell="T3" sqref="T3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116" t="s">
        <v>3957</v>
      </c>
      <c r="C2" s="1115" t="s">
        <v>3958</v>
      </c>
      <c r="D2" s="9" t="s">
        <v>7</v>
      </c>
      <c r="E2" s="9" t="s">
        <v>9</v>
      </c>
      <c r="F2" s="175" t="s">
        <v>691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690</v>
      </c>
      <c r="N2" s="175" t="s">
        <v>692</v>
      </c>
      <c r="O2" s="60" t="s">
        <v>453</v>
      </c>
      <c r="P2" s="270" t="s">
        <v>1197</v>
      </c>
      <c r="Q2" s="273" t="s">
        <v>391</v>
      </c>
      <c r="R2" s="273" t="s">
        <v>392</v>
      </c>
      <c r="S2" s="1123" t="s">
        <v>3978</v>
      </c>
      <c r="T2" s="1419" t="s">
        <v>2766</v>
      </c>
      <c r="U2" s="1123"/>
    </row>
    <row r="3" spans="2:22" ht="15" customHeight="1">
      <c r="B3" s="13" t="s">
        <v>48</v>
      </c>
      <c r="C3" s="911" t="s">
        <v>3556</v>
      </c>
      <c r="D3" s="1280">
        <v>45990.764884259261</v>
      </c>
      <c r="E3" s="809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4" t="str">
        <f>LEFT(base[[#This Row],[Evento / Mercado]],FIND("/",base[[#This Row],[Evento / Mercado]])-2)</f>
        <v>FC Luzern vs FC Winterthur</v>
      </c>
      <c r="T3" s="142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911" t="s">
        <v>3556</v>
      </c>
      <c r="D4" s="1280">
        <v>45990.764884259261</v>
      </c>
      <c r="E4" s="809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4" t="str">
        <f>LEFT(base[[#This Row],[Evento / Mercado]],FIND("/",base[[#This Row],[Evento / Mercado]])-2)</f>
        <v>FC Luzern vs FC Winterthur</v>
      </c>
      <c r="T4" s="142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717" t="s">
        <v>47</v>
      </c>
      <c r="C5" s="911" t="s">
        <v>3556</v>
      </c>
      <c r="D5" s="1281">
        <v>45990.785810185182</v>
      </c>
      <c r="E5" s="810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5" t="str">
        <f>LEFT(base[[#This Row],[Evento / Mercado]],FIND("/",base[[#This Row],[Evento / Mercado]])-2)</f>
        <v>AC Milan vs Lazio</v>
      </c>
      <c r="T5" s="1420">
        <f>base[[#This Row],[Data de liquidação]]</f>
        <v>45990.785810185182</v>
      </c>
    </row>
    <row r="6" spans="2:22" ht="15" customHeight="1">
      <c r="B6" s="13" t="s">
        <v>46</v>
      </c>
      <c r="C6" s="911" t="s">
        <v>3556</v>
      </c>
      <c r="D6" s="1280">
        <v>45990.791944444441</v>
      </c>
      <c r="E6" s="809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4" t="str">
        <f>LEFT(base[[#This Row],[Evento / Mercado]],FIND("/",base[[#This Row],[Evento / Mercado]])-2)</f>
        <v>Olympique Marseille vs Toulouse FC</v>
      </c>
      <c r="T6" s="142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911" t="s">
        <v>3556</v>
      </c>
      <c r="D7" s="1280">
        <v>45990.791944444441</v>
      </c>
      <c r="E7" s="809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4" t="str">
        <f>LEFT(base[[#This Row],[Evento / Mercado]],FIND("/",base[[#This Row],[Evento / Mercado]])-2)</f>
        <v>Olympique Marseille vs Toulouse FC</v>
      </c>
      <c r="T7" s="142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911" t="s">
        <v>3556</v>
      </c>
      <c r="D8" s="1280">
        <v>45990.794189814813</v>
      </c>
      <c r="E8" s="809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4" t="str">
        <f>LEFT(base[[#This Row],[Evento / Mercado]],FIND("/",base[[#This Row],[Evento / Mercado]])-2)</f>
        <v>NEC vs Sparta Rotterdam</v>
      </c>
      <c r="T8" s="1420">
        <f>base[[#This Row],[Data de liquidação]]</f>
        <v>45990.794189814813</v>
      </c>
    </row>
    <row r="9" spans="2:22" ht="15" customHeight="1">
      <c r="B9" s="13" t="s">
        <v>44</v>
      </c>
      <c r="C9" s="911" t="s">
        <v>3556</v>
      </c>
      <c r="D9" s="1280">
        <v>45990.812858796293</v>
      </c>
      <c r="E9" s="809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4" t="str">
        <f>LEFT(base[[#This Row],[Evento / Mercado]],FIND("/",base[[#This Row],[Evento / Mercado]])-2)</f>
        <v>Gil Vicente vs Tondela</v>
      </c>
      <c r="T9" s="1420">
        <f>base[[#This Row],[Data de liquidação]]</f>
        <v>45990.812858796293</v>
      </c>
    </row>
    <row r="10" spans="2:22" ht="15" customHeight="1">
      <c r="B10" s="13" t="s">
        <v>43</v>
      </c>
      <c r="C10" s="911" t="s">
        <v>3556</v>
      </c>
      <c r="D10" s="1280">
        <v>45990.85601851852</v>
      </c>
      <c r="E10" s="809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4" t="str">
        <f>LEFT(base[[#This Row],[Evento / Mercado]],FIND("/",base[[#This Row],[Evento / Mercado]])-2)</f>
        <v>Universidad Católica del Ecuador vs Orense SC</v>
      </c>
      <c r="T10" s="1420">
        <f>base[[#This Row],[Data de liquidação]]</f>
        <v>45990.85601851852</v>
      </c>
    </row>
    <row r="11" spans="2:22" ht="15" customHeight="1">
      <c r="B11" s="13" t="s">
        <v>42</v>
      </c>
      <c r="C11" s="911" t="s">
        <v>3556</v>
      </c>
      <c r="D11" s="1280">
        <v>45991.392083333332</v>
      </c>
      <c r="E11" s="809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4" t="str">
        <f>LEFT(base[[#This Row],[Evento / Mercado]],FIND("/",base[[#This Row],[Evento / Mercado]])-2)</f>
        <v>Slavia Sofia vs PFC Dobrudzha Dobrich</v>
      </c>
      <c r="T11" s="1420">
        <f>base[[#This Row],[Data de liquidação]]</f>
        <v>45991.392083333332</v>
      </c>
    </row>
    <row r="12" spans="2:22" ht="15" customHeight="1">
      <c r="B12" s="13" t="s">
        <v>41</v>
      </c>
      <c r="C12" s="911" t="s">
        <v>3556</v>
      </c>
      <c r="D12" s="1280">
        <v>45991.424212962964</v>
      </c>
      <c r="E12" s="809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4" t="str">
        <f>LEFT(base[[#This Row],[Evento / Mercado]],FIND("/",base[[#This Row],[Evento / Mercado]])-2)</f>
        <v>UD Ibiza vs Algeciras</v>
      </c>
      <c r="T12" s="1420">
        <f>base[[#This Row],[Data de liquidação]]</f>
        <v>45991.424212962964</v>
      </c>
    </row>
    <row r="13" spans="2:22" ht="15" customHeight="1">
      <c r="B13" s="13" t="s">
        <v>40</v>
      </c>
      <c r="C13" s="911" t="s">
        <v>3556</v>
      </c>
      <c r="D13" s="1280">
        <v>45991.45820601852</v>
      </c>
      <c r="E13" s="809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4" t="str">
        <f>LEFT(base[[#This Row],[Evento / Mercado]],FIND("/",base[[#This Row],[Evento / Mercado]])-2)</f>
        <v>Bohemians 1905 vs FK Teplice</v>
      </c>
      <c r="T13" s="1420">
        <f>base[[#This Row],[Data de liquidação]]</f>
        <v>45991.45820601852</v>
      </c>
    </row>
    <row r="14" spans="2:22" ht="15" customHeight="1">
      <c r="B14" s="13" t="s">
        <v>39</v>
      </c>
      <c r="C14" s="911" t="s">
        <v>3556</v>
      </c>
      <c r="D14" s="1280">
        <v>45991.479502314818</v>
      </c>
      <c r="E14" s="809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4" t="str">
        <f>LEFT(base[[#This Row],[Evento / Mercado]],FIND("/",base[[#This Row],[Evento / Mercado]])-2)</f>
        <v>US Avranches vs Aubervilliers</v>
      </c>
      <c r="T14" s="142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911" t="s">
        <v>3556</v>
      </c>
      <c r="D15" s="1280">
        <v>45991.479502314818</v>
      </c>
      <c r="E15" s="809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4" t="str">
        <f>LEFT(base[[#This Row],[Evento / Mercado]],FIND("/",base[[#This Row],[Evento / Mercado]])-2)</f>
        <v>US Avranches vs Aubervilliers</v>
      </c>
      <c r="T15" s="142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911" t="s">
        <v>3556</v>
      </c>
      <c r="D16" s="1280">
        <v>45991.494872685187</v>
      </c>
      <c r="E16" s="809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4" t="str">
        <f>LEFT(base[[#This Row],[Evento / Mercado]],FIND("/",base[[#This Row],[Evento / Mercado]])-2)</f>
        <v>FC Yverdon-Sport vs Etoile-Carouge FC</v>
      </c>
      <c r="T16" s="1420">
        <f>base[[#This Row],[Data de liquidação]]</f>
        <v>45991.494872685187</v>
      </c>
    </row>
    <row r="17" spans="2:22" ht="15" customHeight="1">
      <c r="B17" s="13" t="s">
        <v>37</v>
      </c>
      <c r="C17" s="911" t="s">
        <v>3556</v>
      </c>
      <c r="D17" s="1280">
        <v>45991.519236111111</v>
      </c>
      <c r="E17" s="809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4" t="str">
        <f>LEFT(base[[#This Row],[Evento / Mercado]],FIND("/",base[[#This Row],[Evento / Mercado]])-2)</f>
        <v>Trapani vs S.S. Monopoli 1966</v>
      </c>
      <c r="T17" s="1420">
        <f>base[[#This Row],[Data de liquidação]]</f>
        <v>45991.519236111111</v>
      </c>
    </row>
    <row r="18" spans="2:22" ht="15" customHeight="1">
      <c r="B18" s="13" t="s">
        <v>36</v>
      </c>
      <c r="C18" s="911" t="s">
        <v>3556</v>
      </c>
      <c r="D18" s="1280">
        <v>45991.536354166667</v>
      </c>
      <c r="E18" s="809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4" t="str">
        <f>LEFT(base[[#This Row],[Evento / Mercado]],FIND("/",base[[#This Row],[Evento / Mercado]])-2)</f>
        <v>Rangers vs Falkirk</v>
      </c>
      <c r="T18" s="142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911" t="s">
        <v>3556</v>
      </c>
      <c r="D19" s="1280">
        <v>45991.536354166667</v>
      </c>
      <c r="E19" s="809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4" t="str">
        <f>LEFT(base[[#This Row],[Evento / Mercado]],FIND("/",base[[#This Row],[Evento / Mercado]])-2)</f>
        <v>Rangers vs Falkirk</v>
      </c>
      <c r="T19" s="142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911" t="s">
        <v>3556</v>
      </c>
      <c r="D20" s="1280">
        <v>45991.538275462961</v>
      </c>
      <c r="E20" s="809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4" t="str">
        <f>LEFT(base[[#This Row],[Evento / Mercado]],FIND("/",base[[#This Row],[Evento / Mercado]])-2)</f>
        <v>RC Strasbourg vs Stade Brestois 29</v>
      </c>
      <c r="T20" s="1420">
        <f>base[[#This Row],[Data de liquidação]]</f>
        <v>45991.538275462961</v>
      </c>
    </row>
    <row r="21" spans="2:22" ht="15" customHeight="1">
      <c r="B21" s="13" t="s">
        <v>34</v>
      </c>
      <c r="C21" s="911" t="s">
        <v>3556</v>
      </c>
      <c r="D21" s="1280">
        <v>45991.544120370374</v>
      </c>
      <c r="E21" s="809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4" t="str">
        <f>LEFT(base[[#This Row],[Evento / Mercado]],FIND("/",base[[#This Row],[Evento / Mercado]])-2)</f>
        <v>Aston Villa vs Wolverhampton Wanderers</v>
      </c>
      <c r="T21" s="1420">
        <f>base[[#This Row],[Data de liquidação]]</f>
        <v>45991.544120370374</v>
      </c>
    </row>
    <row r="22" spans="2:22" ht="15" customHeight="1">
      <c r="B22" s="13" t="s">
        <v>33</v>
      </c>
      <c r="C22" s="911" t="s">
        <v>3556</v>
      </c>
      <c r="D22" s="1280">
        <v>45991.559074074074</v>
      </c>
      <c r="E22" s="809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4" t="str">
        <f>LEFT(base[[#This Row],[Evento / Mercado]],FIND("/",base[[#This Row],[Evento / Mercado]])-2)</f>
        <v>Slovan Bratislava vs MFK Zemplín Michalovce</v>
      </c>
      <c r="T22" s="1420">
        <f>base[[#This Row],[Data de liquidação]]</f>
        <v>45991.559074074074</v>
      </c>
    </row>
    <row r="23" spans="2:22" ht="15" customHeight="1">
      <c r="B23" s="13" t="s">
        <v>32</v>
      </c>
      <c r="C23" s="911" t="s">
        <v>3556</v>
      </c>
      <c r="D23" s="1280">
        <v>45991.559398148151</v>
      </c>
      <c r="E23" s="809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4" t="str">
        <f>LEFT(base[[#This Row],[Evento / Mercado]],FIND("/",base[[#This Row],[Evento / Mercado]])-2)</f>
        <v>FC Slovan Liberec vs SK Sigma Olomouc</v>
      </c>
      <c r="T23" s="1420">
        <f>base[[#This Row],[Data de liquidação]]</f>
        <v>45991.559398148151</v>
      </c>
    </row>
    <row r="24" spans="2:22" ht="15" customHeight="1">
      <c r="B24" s="13" t="s">
        <v>31</v>
      </c>
      <c r="C24" s="911" t="s">
        <v>3556</v>
      </c>
      <c r="D24" s="1280">
        <v>45991.578877314816</v>
      </c>
      <c r="E24" s="809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4" t="str">
        <f>LEFT(base[[#This Row],[Evento / Mercado]],FIND("/",base[[#This Row],[Evento / Mercado]])-2)</f>
        <v>FC Midtjylland vs FC Nordsjælland</v>
      </c>
      <c r="T24" s="1420">
        <f>base[[#This Row],[Data de liquidação]]</f>
        <v>45991.578877314816</v>
      </c>
    </row>
    <row r="25" spans="2:22" ht="15" customHeight="1">
      <c r="B25" s="13" t="s">
        <v>30</v>
      </c>
      <c r="C25" s="911" t="s">
        <v>3556</v>
      </c>
      <c r="D25" s="1280">
        <v>45991.57917824074</v>
      </c>
      <c r="E25" s="809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4" t="str">
        <f>LEFT(base[[#This Row],[Evento / Mercado]],FIND("/",base[[#This Row],[Evento / Mercado]])-2)</f>
        <v>Racing Genk vs Oud-Heverlee Leuven</v>
      </c>
      <c r="T25" s="142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911" t="s">
        <v>3556</v>
      </c>
      <c r="D26" s="1280">
        <v>45991.57917824074</v>
      </c>
      <c r="E26" s="809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4" t="str">
        <f>LEFT(base[[#This Row],[Evento / Mercado]],FIND("/",base[[#This Row],[Evento / Mercado]])-2)</f>
        <v>Racing Genk vs Oud-Heverlee Leuven</v>
      </c>
      <c r="T26" s="142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911" t="s">
        <v>3556</v>
      </c>
      <c r="D27" s="1280">
        <v>45991.602337962962</v>
      </c>
      <c r="E27" s="809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4" t="str">
        <f>LEFT(base[[#This Row],[Evento / Mercado]],FIND("/",base[[#This Row],[Evento / Mercado]])-2)</f>
        <v>FC Basel vs FC St. Gallen</v>
      </c>
      <c r="T27" s="1420">
        <f>base[[#This Row],[Data de liquidação]]</f>
        <v>45991.602337962962</v>
      </c>
    </row>
    <row r="28" spans="2:22" ht="15" customHeight="1">
      <c r="B28" s="13" t="s">
        <v>28</v>
      </c>
      <c r="C28" s="911" t="s">
        <v>3556</v>
      </c>
      <c r="D28" s="1280">
        <v>45991.612268518518</v>
      </c>
      <c r="E28" s="809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4" t="str">
        <f>LEFT(base[[#This Row],[Evento / Mercado]],FIND("/",base[[#This Row],[Evento / Mercado]])-2)</f>
        <v>De Graafschap vs FC Eindhoven</v>
      </c>
      <c r="T28" s="1420">
        <f>base[[#This Row],[Data de liquidação]]</f>
        <v>45991.612268518518</v>
      </c>
    </row>
    <row r="29" spans="2:22" ht="15" customHeight="1">
      <c r="B29" s="13" t="s">
        <v>27</v>
      </c>
      <c r="C29" s="911" t="s">
        <v>3556</v>
      </c>
      <c r="D29" s="1280">
        <v>45991.646157407406</v>
      </c>
      <c r="E29" s="809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4" t="str">
        <f>LEFT(base[[#This Row],[Evento / Mercado]],FIND("/",base[[#This Row],[Evento / Mercado]])-2)</f>
        <v>NK Celje vs FC Koper</v>
      </c>
      <c r="T29" s="1420">
        <f>base[[#This Row],[Data de liquidação]]</f>
        <v>45991.646157407406</v>
      </c>
    </row>
    <row r="30" spans="2:22" ht="15" customHeight="1">
      <c r="B30" s="13" t="s">
        <v>26</v>
      </c>
      <c r="C30" s="911" t="s">
        <v>3556</v>
      </c>
      <c r="D30" s="1280">
        <v>45991.661064814813</v>
      </c>
      <c r="E30" s="809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4" t="str">
        <f>LEFT(base[[#This Row],[Evento / Mercado]],FIND("/",base[[#This Row],[Evento / Mercado]])-2)</f>
        <v>Atalanta vs Fiorentina</v>
      </c>
      <c r="T30" s="142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911" t="s">
        <v>3556</v>
      </c>
      <c r="D31" s="1280">
        <v>45991.661064814813</v>
      </c>
      <c r="E31" s="809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4" t="str">
        <f>LEFT(base[[#This Row],[Evento / Mercado]],FIND("/",base[[#This Row],[Evento / Mercado]])-2)</f>
        <v>Atalanta vs Fiorentina</v>
      </c>
      <c r="T31" s="142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911" t="s">
        <v>3556</v>
      </c>
      <c r="D32" s="1280">
        <v>45991.686249999999</v>
      </c>
      <c r="E32" s="809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4" t="str">
        <f>LEFT(base[[#This Row],[Evento / Mercado]],FIND("/",base[[#This Row],[Evento / Mercado]])-2)</f>
        <v>AC Sparta Praha vs FK Pardubice</v>
      </c>
      <c r="T32" s="1420">
        <f>base[[#This Row],[Data de liquidação]]</f>
        <v>45991.686249999999</v>
      </c>
    </row>
    <row r="33" spans="2:22" ht="15" customHeight="1">
      <c r="B33" s="13" t="s">
        <v>24</v>
      </c>
      <c r="C33" s="911" t="s">
        <v>3556</v>
      </c>
      <c r="D33" s="1280">
        <v>45991.724652777775</v>
      </c>
      <c r="E33" s="809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4" t="str">
        <f>LEFT(base[[#This Row],[Evento / Mercado]],FIND("/",base[[#This Row],[Evento / Mercado]])-2)</f>
        <v>SC Freiburg vs 1. FSV Mainz 05</v>
      </c>
      <c r="T33" s="1420">
        <f>base[[#This Row],[Data de liquidação]]</f>
        <v>45991.724652777775</v>
      </c>
    </row>
    <row r="34" spans="2:22" ht="15" customHeight="1">
      <c r="B34" s="13" t="s">
        <v>23</v>
      </c>
      <c r="C34" s="911" t="s">
        <v>3556</v>
      </c>
      <c r="D34" s="1280">
        <v>45991.724803240744</v>
      </c>
      <c r="E34" s="809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4" t="str">
        <f>LEFT(base[[#This Row],[Evento / Mercado]],FIND("/",base[[#This Row],[Evento / Mercado]])-2)</f>
        <v>VfB Stuttgart II vs TSV Havelse</v>
      </c>
      <c r="T34" s="1420">
        <f>base[[#This Row],[Data de liquidação]]</f>
        <v>45991.724803240744</v>
      </c>
    </row>
    <row r="35" spans="2:22" ht="15" customHeight="1">
      <c r="B35" s="13" t="s">
        <v>22</v>
      </c>
      <c r="C35" s="911" t="s">
        <v>3556</v>
      </c>
      <c r="D35" s="1280">
        <v>45991.753796296296</v>
      </c>
      <c r="E35" s="809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4" t="str">
        <f>LEFT(base[[#This Row],[Evento / Mercado]],FIND("/",base[[#This Row],[Evento / Mercado]])-2)</f>
        <v>Oriente Petrolero vs Blooming Santa Cruz</v>
      </c>
      <c r="T35" s="1420">
        <f>base[[#This Row],[Data de liquidação]]</f>
        <v>45991.753796296296</v>
      </c>
    </row>
    <row r="36" spans="2:22" ht="15" customHeight="1">
      <c r="B36" s="13" t="s">
        <v>21</v>
      </c>
      <c r="C36" s="911" t="s">
        <v>3556</v>
      </c>
      <c r="D36" s="1280">
        <v>45991.780300925922</v>
      </c>
      <c r="E36" s="809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4" t="str">
        <f>LEFT(base[[#This Row],[Evento / Mercado]],FIND("/",base[[#This Row],[Evento / Mercado]])-2)</f>
        <v>Olympique Lyonnais vs FC Nantes</v>
      </c>
      <c r="T36" s="1420">
        <f>base[[#This Row],[Data de liquidação]]</f>
        <v>45991.780300925922</v>
      </c>
    </row>
    <row r="37" spans="2:22" ht="15" customHeight="1">
      <c r="B37" s="13" t="s">
        <v>20</v>
      </c>
      <c r="C37" s="911" t="s">
        <v>3556</v>
      </c>
      <c r="D37" s="1280">
        <v>45991.811747685184</v>
      </c>
      <c r="E37" s="809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4" t="str">
        <f>LEFT(base[[#This Row],[Evento / Mercado]],FIND("/",base[[#This Row],[Evento / Mercado]])-2)</f>
        <v>Deportivo Macara vs El Nacional</v>
      </c>
      <c r="T37" s="1420">
        <f>base[[#This Row],[Data de liquidação]]</f>
        <v>45991.811747685184</v>
      </c>
    </row>
    <row r="38" spans="2:22" ht="15" customHeight="1">
      <c r="B38" s="13" t="s">
        <v>19</v>
      </c>
      <c r="C38" s="911" t="s">
        <v>3556</v>
      </c>
      <c r="D38" s="1280">
        <v>45991.832094907404</v>
      </c>
      <c r="E38" s="809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4" t="str">
        <f>LEFT(base[[#This Row],[Evento / Mercado]],FIND("/",base[[#This Row],[Evento / Mercado]])-2)</f>
        <v>Club Guaraní vs Club Sportivo Luqueño</v>
      </c>
      <c r="T38" s="142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911" t="s">
        <v>3556</v>
      </c>
      <c r="D39" s="1280">
        <v>45991.832094907404</v>
      </c>
      <c r="E39" s="809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4" t="str">
        <f>LEFT(base[[#This Row],[Evento / Mercado]],FIND("/",base[[#This Row],[Evento / Mercado]])-2)</f>
        <v>Club Guaraní vs Club Sportivo Luqueño</v>
      </c>
      <c r="T39" s="142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911" t="s">
        <v>3556</v>
      </c>
      <c r="D40" s="1280">
        <v>45991.879386574074</v>
      </c>
      <c r="E40" s="809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4" t="str">
        <f>LEFT(base[[#This Row],[Evento / Mercado]],FIND("/",base[[#This Row],[Evento / Mercado]])-2)</f>
        <v>Deportivo Saprissa vs AD Municipal Liberia</v>
      </c>
      <c r="T40" s="1420">
        <f>base[[#This Row],[Data de liquidação]]</f>
        <v>45991.879386574074</v>
      </c>
    </row>
    <row r="41" spans="2:22" ht="15" customHeight="1">
      <c r="B41" s="13" t="s">
        <v>17</v>
      </c>
      <c r="C41" s="911" t="s">
        <v>3556</v>
      </c>
      <c r="D41" s="1280">
        <v>45992.395208333335</v>
      </c>
      <c r="E41" s="809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4" t="str">
        <f>LEFT(base[[#This Row],[Evento / Mercado]],FIND("/",base[[#This Row],[Evento / Mercado]])-2)</f>
        <v>FC Ararat-Armenia vs Shirak Gumri</v>
      </c>
      <c r="T41" s="1420">
        <f>base[[#This Row],[Data de liquidação]]</f>
        <v>45992.395208333335</v>
      </c>
    </row>
    <row r="42" spans="2:22" ht="15" customHeight="1">
      <c r="B42" s="13" t="s">
        <v>53</v>
      </c>
      <c r="C42" s="911" t="s">
        <v>3556</v>
      </c>
      <c r="D42" s="1280">
        <v>45992.62332175926</v>
      </c>
      <c r="E42" s="809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4" t="str">
        <f>LEFT(base[[#This Row],[Evento / Mercado]],FIND("/",base[[#This Row],[Evento / Mercado]])-2)</f>
        <v>Shakhtar Donetsk vs Kryvbas Kryvyi Rih</v>
      </c>
      <c r="T42" s="1420">
        <f>base[[#This Row],[Data de liquidação]]</f>
        <v>45992.62332175926</v>
      </c>
    </row>
    <row r="43" spans="2:22" ht="15" customHeight="1">
      <c r="B43" s="13" t="s">
        <v>52</v>
      </c>
      <c r="C43" s="911" t="s">
        <v>3556</v>
      </c>
      <c r="D43" s="1280">
        <v>45992.664444444446</v>
      </c>
      <c r="E43" s="809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4" t="str">
        <f>LEFT(base[[#This Row],[Evento / Mercado]],FIND("/",base[[#This Row],[Evento / Mercado]])-2)</f>
        <v>Samsunspor vs Alanyaspor</v>
      </c>
      <c r="T43" s="1420">
        <f>base[[#This Row],[Data de liquidação]]</f>
        <v>45992.664444444446</v>
      </c>
    </row>
    <row r="44" spans="2:22" ht="15" customHeight="1">
      <c r="B44" s="13" t="s">
        <v>51</v>
      </c>
      <c r="C44" s="911" t="s">
        <v>3556</v>
      </c>
      <c r="D44" s="1280">
        <v>45992.781597222223</v>
      </c>
      <c r="E44" s="809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4" t="str">
        <f>LEFT(base[[#This Row],[Evento / Mercado]],FIND("/",base[[#This Row],[Evento / Mercado]])-2)</f>
        <v>Bologna vs Cremonese</v>
      </c>
      <c r="T44" s="1420">
        <f>base[[#This Row],[Data de liquidação]]</f>
        <v>45992.781597222223</v>
      </c>
    </row>
    <row r="45" spans="2:22" ht="15" customHeight="1">
      <c r="B45" s="13" t="s">
        <v>50</v>
      </c>
      <c r="C45" s="911" t="s">
        <v>3556</v>
      </c>
      <c r="D45" s="1280">
        <v>45992.978645833333</v>
      </c>
      <c r="E45" s="809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4" t="str">
        <f>LEFT(base[[#This Row],[Evento / Mercado]],FIND("/",base[[#This Row],[Evento / Mercado]])-2)</f>
        <v>Racing Club vs Tigre</v>
      </c>
      <c r="T45" s="1420">
        <f>base[[#This Row],[Data de liquidação]]</f>
        <v>45992.978645833333</v>
      </c>
    </row>
    <row r="46" spans="2:22" ht="15" customHeight="1">
      <c r="B46" s="13" t="s">
        <v>49</v>
      </c>
      <c r="C46" s="911" t="s">
        <v>3556</v>
      </c>
      <c r="D46" s="1280">
        <v>45993.006192129629</v>
      </c>
      <c r="E46" s="809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4" t="str">
        <f>LEFT(base[[#This Row],[Evento / Mercado]],FIND("/",base[[#This Row],[Evento / Mercado]])-2)</f>
        <v>Independiente Medellín vs América de Cali</v>
      </c>
      <c r="T46" s="1420">
        <f>base[[#This Row],[Data de liquidação]]</f>
        <v>45993.006192129629</v>
      </c>
    </row>
    <row r="47" spans="2:22" ht="15" customHeight="1">
      <c r="B47" s="13" t="s">
        <v>71</v>
      </c>
      <c r="C47" s="911" t="s">
        <v>3556</v>
      </c>
      <c r="D47" s="1280">
        <v>45993.51829861111</v>
      </c>
      <c r="E47" s="809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4" t="str">
        <f>LEFT(base[[#This Row],[Evento / Mercado]],FIND("/",base[[#This Row],[Evento / Mercado]])-2)</f>
        <v>Ajax vs FC Groningen</v>
      </c>
      <c r="T47" s="1420">
        <f>base[[#This Row],[Data de liquidação]]</f>
        <v>45993.51829861111</v>
      </c>
    </row>
    <row r="48" spans="2:22" ht="15" customHeight="1">
      <c r="B48" s="13" t="s">
        <v>70</v>
      </c>
      <c r="C48" s="911" t="s">
        <v>3556</v>
      </c>
      <c r="D48" s="1280">
        <v>45993.662719907406</v>
      </c>
      <c r="E48" s="809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4" t="str">
        <f>LEFT(base[[#This Row],[Evento / Mercado]],FIND("/",base[[#This Row],[Evento / Mercado]])-2)</f>
        <v>Borussia Mönchengladbach vs FC St. Pauli</v>
      </c>
      <c r="T48" s="1420">
        <f>base[[#This Row],[Data de liquidação]]</f>
        <v>45993.662719907406</v>
      </c>
    </row>
    <row r="49" spans="2:24" ht="15" customHeight="1">
      <c r="B49" s="13" t="s">
        <v>69</v>
      </c>
      <c r="C49" s="911" t="s">
        <v>3556</v>
      </c>
      <c r="D49" s="1280">
        <v>45994.456087962964</v>
      </c>
      <c r="E49" s="809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4" t="str">
        <f>LEFT(base[[#This Row],[Evento / Mercado]],FIND("/",base[[#This Row],[Evento / Mercado]])-2)</f>
        <v>Algeria vs Sudan</v>
      </c>
      <c r="T49" s="1420">
        <f>base[[#This Row],[Data de liquidação]]</f>
        <v>45994.456087962964</v>
      </c>
    </row>
    <row r="50" spans="2:24" ht="15" customHeight="1">
      <c r="B50" s="13" t="s">
        <v>68</v>
      </c>
      <c r="C50" s="911" t="s">
        <v>3556</v>
      </c>
      <c r="D50" s="1280">
        <v>45994.537777777776</v>
      </c>
      <c r="E50" s="809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4" t="str">
        <f>LEFT(base[[#This Row],[Evento / Mercado]],FIND("/",base[[#This Row],[Evento / Mercado]])-2)</f>
        <v>Atalanta vs Genoa</v>
      </c>
      <c r="T50" s="1420">
        <f>base[[#This Row],[Data de liquidação]]</f>
        <v>45994.537777777776</v>
      </c>
    </row>
    <row r="51" spans="2:24" ht="15" customHeight="1">
      <c r="B51" s="13" t="s">
        <v>67</v>
      </c>
      <c r="C51" s="911" t="s">
        <v>3556</v>
      </c>
      <c r="D51" s="1280">
        <v>45994.576331018521</v>
      </c>
      <c r="E51" s="809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4" t="str">
        <f>LEFT(base[[#This Row],[Evento / Mercado]],FIND("/",base[[#This Row],[Evento / Mercado]])-2)</f>
        <v>FC Botosani vs Afc Hermannstadt</v>
      </c>
      <c r="T51" s="1420">
        <f>base[[#This Row],[Data de liquidação]]</f>
        <v>45994.576331018521</v>
      </c>
    </row>
    <row r="52" spans="2:24" ht="15" customHeight="1">
      <c r="B52" s="13" t="s">
        <v>66</v>
      </c>
      <c r="C52" s="911" t="s">
        <v>3556</v>
      </c>
      <c r="D52" s="1280">
        <v>45994.622696759259</v>
      </c>
      <c r="E52" s="809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4" t="str">
        <f>LEFT(base[[#This Row],[Evento / Mercado]],FIND("/",base[[#This Row],[Evento / Mercado]])-2)</f>
        <v>CSKA Sofia vs Lokomotiv Plovdiv</v>
      </c>
      <c r="T52" s="1420">
        <f>base[[#This Row],[Data de liquidação]]</f>
        <v>45994.622696759259</v>
      </c>
    </row>
    <row r="53" spans="2:24" ht="15" customHeight="1">
      <c r="B53" s="13" t="s">
        <v>65</v>
      </c>
      <c r="C53" s="911" t="s">
        <v>3556</v>
      </c>
      <c r="D53" s="1280">
        <v>45994.662106481483</v>
      </c>
      <c r="E53" s="809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4" t="str">
        <f>LEFT(base[[#This Row],[Evento / Mercado]],FIND("/",base[[#This Row],[Evento / Mercado]])-2)</f>
        <v>SC Freiburg vs SV Darmstadt 98</v>
      </c>
      <c r="T53" s="1420">
        <f>base[[#This Row],[Data de liquidação]]</f>
        <v>45994.662106481483</v>
      </c>
    </row>
    <row r="54" spans="2:24" ht="15" customHeight="1">
      <c r="B54" s="13" t="s">
        <v>64</v>
      </c>
      <c r="C54" s="911" t="s">
        <v>3556</v>
      </c>
      <c r="D54" s="1280">
        <v>45994.662453703706</v>
      </c>
      <c r="E54" s="809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4" t="str">
        <f>LEFT(base[[#This Row],[Evento / Mercado]],FIND("/",base[[#This Row],[Evento / Mercado]])-2)</f>
        <v>Napoli vs Cagliari</v>
      </c>
      <c r="T54" s="1420">
        <f>base[[#This Row],[Data de liquidação]]</f>
        <v>45994.662453703706</v>
      </c>
    </row>
    <row r="55" spans="2:24" ht="15" customHeight="1">
      <c r="B55" s="13" t="s">
        <v>63</v>
      </c>
      <c r="C55" s="911" t="s">
        <v>3556</v>
      </c>
      <c r="D55" s="1280">
        <v>45994.708726851852</v>
      </c>
      <c r="E55" s="809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4" t="str">
        <f>LEFT(base[[#This Row],[Evento / Mercado]],FIND("/",base[[#This Row],[Evento / Mercado]])-2)</f>
        <v>Kahraba Ismailia vs Pyramids FC</v>
      </c>
      <c r="T55" s="1420">
        <f>base[[#This Row],[Data de liquidação]]</f>
        <v>45994.708726851852</v>
      </c>
    </row>
    <row r="56" spans="2:24" ht="15" customHeight="1">
      <c r="B56" s="13" t="s">
        <v>62</v>
      </c>
      <c r="C56" s="911" t="s">
        <v>3556</v>
      </c>
      <c r="D56" s="1280">
        <v>45994.752303240741</v>
      </c>
      <c r="E56" s="809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693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1201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4" t="str">
        <f>LEFT(base[[#This Row],[Evento / Mercado]],FIND("/",base[[#This Row],[Evento / Mercado]])-2)</f>
        <v>Leeds United vs Chelsea</v>
      </c>
      <c r="T56" s="142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911" t="s">
        <v>3556</v>
      </c>
      <c r="D57" s="1280">
        <v>45994.766064814816</v>
      </c>
      <c r="E57" s="809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4" t="str">
        <f>LEFT(base[[#This Row],[Evento / Mercado]],FIND("/",base[[#This Row],[Evento / Mercado]])-2)</f>
        <v>SK Puntigamer Sturm Graz vs WSG Tirol</v>
      </c>
      <c r="T57" s="1420">
        <f>base[[#This Row],[Data de liquidação]]</f>
        <v>45994.766064814816</v>
      </c>
    </row>
    <row r="58" spans="2:24" ht="15" customHeight="1">
      <c r="B58" s="13" t="s">
        <v>60</v>
      </c>
      <c r="C58" s="911" t="s">
        <v>3556</v>
      </c>
      <c r="D58" s="1280">
        <v>45994.766238425924</v>
      </c>
      <c r="E58" s="809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4" t="str">
        <f>LEFT(base[[#This Row],[Evento / Mercado]],FIND("/",base[[#This Row],[Evento / Mercado]])-2)</f>
        <v>Union Saint Gilloise vs Zulte Waregem</v>
      </c>
      <c r="T58" s="1420">
        <f>base[[#This Row],[Data de liquidação]]</f>
        <v>45994.766238425924</v>
      </c>
    </row>
    <row r="59" spans="2:24" ht="15" customHeight="1">
      <c r="B59" s="13" t="s">
        <v>59</v>
      </c>
      <c r="C59" s="911" t="s">
        <v>3556</v>
      </c>
      <c r="D59" s="1280">
        <v>45994.767604166664</v>
      </c>
      <c r="E59" s="809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4" t="str">
        <f>LEFT(base[[#This Row],[Evento / Mercado]],FIND("/",base[[#This Row],[Evento / Mercado]])-2)</f>
        <v>Arsenal vs Brentford</v>
      </c>
      <c r="T59" s="142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911" t="s">
        <v>3556</v>
      </c>
      <c r="D60" s="1280">
        <v>45994.767604166664</v>
      </c>
      <c r="E60" s="809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628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1201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4" t="str">
        <f>LEFT(base[[#This Row],[Evento / Mercado]],FIND("/",base[[#This Row],[Evento / Mercado]])-2)</f>
        <v>Arsenal vs Brentford</v>
      </c>
      <c r="T60" s="142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911" t="s">
        <v>3556</v>
      </c>
      <c r="D61" s="1280">
        <v>45994.771504629629</v>
      </c>
      <c r="E61" s="809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9" t="s">
        <v>75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40" t="s">
        <v>1201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4" t="str">
        <f>LEFT(base[[#This Row],[Evento / Mercado]],FIND("/",base[[#This Row],[Evento / Mercado]])-2)</f>
        <v>Brighton &amp; Hove Albion vs Aston Villa</v>
      </c>
      <c r="T61" s="1420">
        <f>base[[#This Row],[Data de liquidação]]</f>
        <v>45994.771504629629</v>
      </c>
    </row>
    <row r="62" spans="2:24" ht="15" customHeight="1">
      <c r="B62" s="13" t="s">
        <v>57</v>
      </c>
      <c r="C62" s="911" t="s">
        <v>3556</v>
      </c>
      <c r="D62" s="1280">
        <v>45994.776076388887</v>
      </c>
      <c r="E62" s="809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4" t="str">
        <f>LEFT(base[[#This Row],[Evento / Mercado]],FIND("/",base[[#This Row],[Evento / Mercado]])-2)</f>
        <v>Hamburger SV vs Holstein Kiel</v>
      </c>
      <c r="T62" s="1420">
        <f>base[[#This Row],[Data de liquidação]]</f>
        <v>45994.776076388887</v>
      </c>
    </row>
    <row r="63" spans="2:24" ht="15" customHeight="1">
      <c r="B63" s="13" t="s">
        <v>56</v>
      </c>
      <c r="C63" s="911" t="s">
        <v>3556</v>
      </c>
      <c r="D63" s="1280">
        <v>45994.799502314818</v>
      </c>
      <c r="E63" s="809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4" t="str">
        <f>LEFT(base[[#This Row],[Evento / Mercado]],FIND("/",base[[#This Row],[Evento / Mercado]])-2)</f>
        <v>Liverpool vs Sunderland</v>
      </c>
      <c r="T63" s="1420">
        <f>base[[#This Row],[Data de liquidação]]</f>
        <v>45994.799502314818</v>
      </c>
    </row>
    <row r="64" spans="2:24" ht="15" customHeight="1">
      <c r="B64" s="13" t="s">
        <v>55</v>
      </c>
      <c r="C64" s="911" t="s">
        <v>3556</v>
      </c>
      <c r="D64" s="1280">
        <v>45994.87835648148</v>
      </c>
      <c r="E64" s="809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4" t="str">
        <f>LEFT(base[[#This Row],[Evento / Mercado]],FIND("/",base[[#This Row],[Evento / Mercado]])-2)</f>
        <v>Real Tomayapo vs Oriente Petrolero</v>
      </c>
      <c r="T64" s="1420">
        <f>base[[#This Row],[Data de liquidação]]</f>
        <v>45994.87835648148</v>
      </c>
    </row>
    <row r="65" spans="2:22" ht="15" customHeight="1">
      <c r="B65" s="13" t="s">
        <v>54</v>
      </c>
      <c r="C65" s="911" t="s">
        <v>3556</v>
      </c>
      <c r="D65" s="1280">
        <v>45995.481238425928</v>
      </c>
      <c r="E65" s="809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4" t="str">
        <f>LEFT(base[[#This Row],[Evento / Mercado]],FIND("/",base[[#This Row],[Evento / Mercado]])-2)</f>
        <v>El Gounah vs Asyut Petroleum</v>
      </c>
      <c r="T65" s="1420">
        <f>base[[#This Row],[Data de liquidação]]</f>
        <v>45995.481238425928</v>
      </c>
    </row>
    <row r="66" spans="2:22" ht="15" customHeight="1">
      <c r="B66" s="13" t="s">
        <v>107</v>
      </c>
      <c r="C66" s="911" t="s">
        <v>3556</v>
      </c>
      <c r="D66" s="1280">
        <v>45995.522337962961</v>
      </c>
      <c r="E66" s="809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4" t="str">
        <f>LEFT(base[[#This Row],[Evento / Mercado]],FIND("/",base[[#This Row],[Evento / Mercado]])-2)</f>
        <v>FC Botev Vratsa vs Spartak Varna</v>
      </c>
      <c r="T66" s="1420">
        <f>base[[#This Row],[Data de liquidação]]</f>
        <v>45995.522337962961</v>
      </c>
    </row>
    <row r="67" spans="2:22" ht="15" customHeight="1">
      <c r="B67" s="13" t="s">
        <v>106</v>
      </c>
      <c r="C67" s="911" t="s">
        <v>3556</v>
      </c>
      <c r="D67" s="1280">
        <v>45995.662743055553</v>
      </c>
      <c r="E67" s="809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4" t="str">
        <f>LEFT(base[[#This Row],[Evento / Mercado]],FIND("/",base[[#This Row],[Evento / Mercado]])-2)</f>
        <v>Bologna vs Parma</v>
      </c>
      <c r="T67" s="1420">
        <f>base[[#This Row],[Data de liquidação]]</f>
        <v>45995.662743055553</v>
      </c>
    </row>
    <row r="68" spans="2:22" ht="15" customHeight="1">
      <c r="B68" s="13" t="s">
        <v>105</v>
      </c>
      <c r="C68" s="911" t="s">
        <v>3556</v>
      </c>
      <c r="D68" s="1280">
        <v>45995.729988425926</v>
      </c>
      <c r="E68" s="809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4" t="str">
        <f>LEFT(base[[#This Row],[Evento / Mercado]],FIND("/",base[[#This Row],[Evento / Mercado]])-2)</f>
        <v>Juve Stabia vs Bari</v>
      </c>
      <c r="T68" s="1420">
        <f>base[[#This Row],[Data de liquidação]]</f>
        <v>45995.729988425926</v>
      </c>
    </row>
    <row r="69" spans="2:22" ht="15" customHeight="1">
      <c r="B69" s="13" t="s">
        <v>104</v>
      </c>
      <c r="C69" s="911" t="s">
        <v>3556</v>
      </c>
      <c r="D69" s="1280">
        <v>45995.786377314813</v>
      </c>
      <c r="E69" s="809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4" t="str">
        <f>LEFT(base[[#This Row],[Evento / Mercado]],FIND("/",base[[#This Row],[Evento / Mercado]])-2)</f>
        <v>Manchester United vs West Ham</v>
      </c>
      <c r="T69" s="142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911" t="s">
        <v>3556</v>
      </c>
      <c r="D70" s="1280">
        <v>45995.786377314813</v>
      </c>
      <c r="E70" s="809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627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1201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4" t="str">
        <f>LEFT(base[[#This Row],[Evento / Mercado]],FIND("/",base[[#This Row],[Evento / Mercado]])-2)</f>
        <v>Manchester United vs West Ham</v>
      </c>
      <c r="T70" s="142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911" t="s">
        <v>3556</v>
      </c>
      <c r="D71" s="1280">
        <v>45996.458078703705</v>
      </c>
      <c r="E71" s="809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4" t="str">
        <f>LEFT(base[[#This Row],[Evento / Mercado]],FIND("/",base[[#This Row],[Evento / Mercado]])-2)</f>
        <v>Ratchaburi vs Sukhothai FC</v>
      </c>
      <c r="T71" s="1420">
        <f>base[[#This Row],[Data de liquidação]]</f>
        <v>45996.458078703705</v>
      </c>
    </row>
    <row r="72" spans="2:22" ht="15" customHeight="1">
      <c r="B72" s="13" t="s">
        <v>148</v>
      </c>
      <c r="C72" s="911" t="s">
        <v>3556</v>
      </c>
      <c r="D72" s="1280">
        <v>45996.724479166667</v>
      </c>
      <c r="E72" s="809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4" t="str">
        <f>LEFT(base[[#This Row],[Evento / Mercado]],FIND("/",base[[#This Row],[Evento / Mercado]])-2)</f>
        <v>Otelul Galati vs FC Unirea Slobozia</v>
      </c>
      <c r="T72" s="1420">
        <f>base[[#This Row],[Data de liquidação]]</f>
        <v>45996.724479166667</v>
      </c>
    </row>
    <row r="73" spans="2:22" ht="15" customHeight="1">
      <c r="B73" s="13" t="s">
        <v>147</v>
      </c>
      <c r="C73" s="911" t="s">
        <v>3556</v>
      </c>
      <c r="D73" s="1280">
        <v>45996.74486111111</v>
      </c>
      <c r="E73" s="809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4" t="str">
        <f>LEFT(base[[#This Row],[Evento / Mercado]],FIND("/",base[[#This Row],[Evento / Mercado]])-2)</f>
        <v>ADO Den Haag vs FC Emmen</v>
      </c>
      <c r="T73" s="1420">
        <f>base[[#This Row],[Data de liquidação]]</f>
        <v>45996.74486111111</v>
      </c>
    </row>
    <row r="74" spans="2:22" ht="15" customHeight="1">
      <c r="B74" s="13" t="s">
        <v>146</v>
      </c>
      <c r="C74" s="911" t="s">
        <v>3556</v>
      </c>
      <c r="D74" s="1280">
        <v>45996.744953703703</v>
      </c>
      <c r="E74" s="809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4" t="str">
        <f>LEFT(base[[#This Row],[Evento / Mercado]],FIND("/",base[[#This Row],[Evento / Mercado]])-2)</f>
        <v>Le Mans FC vs Amiens SC</v>
      </c>
      <c r="T74" s="1420">
        <f>base[[#This Row],[Data de liquidação]]</f>
        <v>45996.744953703703</v>
      </c>
    </row>
    <row r="75" spans="2:22" ht="15" customHeight="1">
      <c r="B75" s="13" t="s">
        <v>145</v>
      </c>
      <c r="C75" s="911" t="s">
        <v>3556</v>
      </c>
      <c r="D75" s="1280">
        <v>45996.745659722219</v>
      </c>
      <c r="E75" s="809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4" t="str">
        <f>LEFT(base[[#This Row],[Evento / Mercado]],FIND("/",base[[#This Row],[Evento / Mercado]])-2)</f>
        <v>Roda JC vs Jong AZ Alkmaar</v>
      </c>
      <c r="T75" s="1420">
        <f>base[[#This Row],[Data de liquidação]]</f>
        <v>45996.745659722219</v>
      </c>
    </row>
    <row r="76" spans="2:22" ht="15" customHeight="1">
      <c r="B76" s="13" t="s">
        <v>144</v>
      </c>
      <c r="C76" s="911" t="s">
        <v>3556</v>
      </c>
      <c r="D76" s="1280">
        <v>45996.746469907404</v>
      </c>
      <c r="E76" s="809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4" t="str">
        <f>LEFT(base[[#This Row],[Evento / Mercado]],FIND("/",base[[#This Row],[Evento / Mercado]])-2)</f>
        <v>RKC Waalwijk vs VVV-Venlo</v>
      </c>
      <c r="T76" s="1420">
        <f>base[[#This Row],[Data de liquidação]]</f>
        <v>45996.746469907404</v>
      </c>
    </row>
    <row r="77" spans="2:22" ht="15" customHeight="1">
      <c r="B77" s="13" t="s">
        <v>143</v>
      </c>
      <c r="C77" s="911" t="s">
        <v>3556</v>
      </c>
      <c r="D77" s="1280">
        <v>45996.747465277775</v>
      </c>
      <c r="E77" s="809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4" t="str">
        <f>LEFT(base[[#This Row],[Evento / Mercado]],FIND("/",base[[#This Row],[Evento / Mercado]])-2)</f>
        <v>Almere City vs Jong Ajax</v>
      </c>
      <c r="T77" s="1420">
        <f>base[[#This Row],[Data de liquidação]]</f>
        <v>45996.747465277775</v>
      </c>
    </row>
    <row r="78" spans="2:22" ht="15" customHeight="1">
      <c r="B78" s="13" t="s">
        <v>142</v>
      </c>
      <c r="C78" s="911" t="s">
        <v>3556</v>
      </c>
      <c r="D78" s="1280">
        <v>45996.747974537036</v>
      </c>
      <c r="E78" s="809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4" t="str">
        <f>LEFT(base[[#This Row],[Evento / Mercado]],FIND("/",base[[#This Row],[Evento / Mercado]])-2)</f>
        <v>Cambuur Leeuwarden vs Den Bosch</v>
      </c>
      <c r="T78" s="1420">
        <f>base[[#This Row],[Data de liquidação]]</f>
        <v>45996.747974537036</v>
      </c>
    </row>
    <row r="79" spans="2:22" ht="15" customHeight="1">
      <c r="B79" s="13" t="s">
        <v>141</v>
      </c>
      <c r="C79" s="911" t="s">
        <v>3556</v>
      </c>
      <c r="D79" s="1280">
        <v>45996.754976851851</v>
      </c>
      <c r="E79" s="809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4" t="str">
        <f>LEFT(base[[#This Row],[Evento / Mercado]],FIND("/",base[[#This Row],[Evento / Mercado]])-2)</f>
        <v>Helmond Sport vs MVV Maastricht</v>
      </c>
      <c r="T79" s="1420">
        <f>base[[#This Row],[Data de liquidação]]</f>
        <v>45996.754976851851</v>
      </c>
    </row>
    <row r="80" spans="2:22" ht="15" customHeight="1">
      <c r="B80" s="13" t="s">
        <v>140</v>
      </c>
      <c r="C80" s="911" t="s">
        <v>3556</v>
      </c>
      <c r="D80" s="1280">
        <v>45996.775231481479</v>
      </c>
      <c r="E80" s="809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4" t="str">
        <f>LEFT(base[[#This Row],[Evento / Mercado]],FIND("/",base[[#This Row],[Evento / Mercado]])-2)</f>
        <v>Greenock Morton vs Queen's Park</v>
      </c>
      <c r="T80" s="1420">
        <f>base[[#This Row],[Data de liquidação]]</f>
        <v>45996.775231481479</v>
      </c>
    </row>
    <row r="81" spans="2:22" ht="15" customHeight="1">
      <c r="B81" s="13" t="s">
        <v>139</v>
      </c>
      <c r="C81" s="911" t="s">
        <v>3556</v>
      </c>
      <c r="D81" s="1280">
        <v>45996.778819444444</v>
      </c>
      <c r="E81" s="809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4" t="str">
        <f>LEFT(base[[#This Row],[Evento / Mercado]],FIND("/",base[[#This Row],[Evento / Mercado]])-2)</f>
        <v>Cardiff Metropolitan vs Llanelli Town</v>
      </c>
      <c r="T81" s="1420">
        <f>base[[#This Row],[Data de liquidação]]</f>
        <v>45996.778819444444</v>
      </c>
    </row>
    <row r="82" spans="2:22" ht="15" customHeight="1">
      <c r="B82" s="13" t="s">
        <v>138</v>
      </c>
      <c r="C82" s="911" t="s">
        <v>3556</v>
      </c>
      <c r="D82" s="1280">
        <v>45996.779039351852</v>
      </c>
      <c r="E82" s="809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4" t="str">
        <f>LEFT(base[[#This Row],[Evento / Mercado]],FIND("/",base[[#This Row],[Evento / Mercado]])-2)</f>
        <v>Connah's Quay Nomads F.C. vs Colwyn Bay</v>
      </c>
      <c r="T82" s="142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911" t="s">
        <v>3556</v>
      </c>
      <c r="D83" s="1280">
        <v>45996.779039351852</v>
      </c>
      <c r="E83" s="809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4" t="str">
        <f>LEFT(base[[#This Row],[Evento / Mercado]],FIND("/",base[[#This Row],[Evento / Mercado]])-2)</f>
        <v>Connah's Quay Nomads F.C. vs Colwyn Bay</v>
      </c>
      <c r="T83" s="142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911" t="s">
        <v>3556</v>
      </c>
      <c r="D84" s="1280">
        <v>45996.788171296299</v>
      </c>
      <c r="E84" s="809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9" t="s">
        <v>75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40" t="s">
        <v>1208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4" t="str">
        <f>LEFT(base[[#This Row],[Evento / Mercado]],FIND("/",base[[#This Row],[Evento / Mercado]])-2)</f>
        <v>Lille OSC vs Olympique Marseille</v>
      </c>
      <c r="T84" s="1420">
        <f>base[[#This Row],[Data de liquidação]]</f>
        <v>45996.788171296299</v>
      </c>
    </row>
    <row r="85" spans="2:22" ht="15" customHeight="1">
      <c r="B85" s="13" t="s">
        <v>136</v>
      </c>
      <c r="C85" s="911" t="s">
        <v>3556</v>
      </c>
      <c r="D85" s="1280">
        <v>45997.498923611114</v>
      </c>
      <c r="E85" s="809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4" t="str">
        <f>LEFT(base[[#This Row],[Evento / Mercado]],FIND("/",base[[#This Row],[Evento / Mercado]])-2)</f>
        <v>Villarreal vs Getafe</v>
      </c>
      <c r="T85" s="1420">
        <f>base[[#This Row],[Data de liquidação]]</f>
        <v>45997.498923611114</v>
      </c>
    </row>
    <row r="86" spans="2:22" ht="15" customHeight="1">
      <c r="B86" s="13" t="s">
        <v>135</v>
      </c>
      <c r="C86" s="911" t="s">
        <v>3556</v>
      </c>
      <c r="D86" s="1280">
        <v>45997.550949074073</v>
      </c>
      <c r="E86" s="809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4" t="str">
        <f>LEFT(base[[#This Row],[Evento / Mercado]],FIND("/",base[[#This Row],[Evento / Mercado]])-2)</f>
        <v>Dinamo Zagreb vs Hajduk Split</v>
      </c>
      <c r="T86" s="1420">
        <f>base[[#This Row],[Data de liquidação]]</f>
        <v>45997.550949074073</v>
      </c>
    </row>
    <row r="87" spans="2:22" ht="15" customHeight="1">
      <c r="B87" s="13" t="s">
        <v>134</v>
      </c>
      <c r="C87" s="911" t="s">
        <v>3556</v>
      </c>
      <c r="D87" s="1280">
        <v>45997.562199074076</v>
      </c>
      <c r="E87" s="809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693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1200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4" t="str">
        <f>LEFT(base[[#This Row],[Evento / Mercado]],FIND("/",base[[#This Row],[Evento / Mercado]])-2)</f>
        <v>VfB Stuttgart vs FC Bayern München</v>
      </c>
      <c r="T87" s="1420">
        <f>base[[#This Row],[Data de liquidação]]</f>
        <v>45997.562199074076</v>
      </c>
    </row>
    <row r="88" spans="2:22" ht="15" customHeight="1">
      <c r="B88" s="13" t="s">
        <v>133</v>
      </c>
      <c r="C88" s="911" t="s">
        <v>3556</v>
      </c>
      <c r="D88" s="1280">
        <v>45997.576793981483</v>
      </c>
      <c r="E88" s="809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4" t="str">
        <f>LEFT(base[[#This Row],[Evento / Mercado]],FIND("/",base[[#This Row],[Evento / Mercado]])-2)</f>
        <v>Grimsby Town vs Wealdstone</v>
      </c>
      <c r="T88" s="1420">
        <f>base[[#This Row],[Data de liquidação]]</f>
        <v>45997.576793981483</v>
      </c>
    </row>
    <row r="89" spans="2:22" ht="15" customHeight="1">
      <c r="B89" s="13" t="s">
        <v>132</v>
      </c>
      <c r="C89" s="911" t="s">
        <v>3556</v>
      </c>
      <c r="D89" s="1280">
        <v>45997.577893518515</v>
      </c>
      <c r="E89" s="809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4" t="str">
        <f>LEFT(base[[#This Row],[Evento / Mercado]],FIND("/",base[[#This Row],[Evento / Mercado]])-2)</f>
        <v>Wigan Athletic vs Barrow</v>
      </c>
      <c r="T89" s="1420">
        <f>base[[#This Row],[Data de liquidação]]</f>
        <v>45997.577893518515</v>
      </c>
    </row>
    <row r="90" spans="2:22" ht="15" customHeight="1">
      <c r="B90" s="13" t="s">
        <v>131</v>
      </c>
      <c r="C90" s="911" t="s">
        <v>3556</v>
      </c>
      <c r="D90" s="1280">
        <v>45997.578275462962</v>
      </c>
      <c r="E90" s="809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4" t="str">
        <f>LEFT(base[[#This Row],[Evento / Mercado]],FIND("/",base[[#This Row],[Evento / Mercado]])-2)</f>
        <v>Port Vale vs Bristol Rovers</v>
      </c>
      <c r="T90" s="1420">
        <f>base[[#This Row],[Data de liquidação]]</f>
        <v>45997.578275462962</v>
      </c>
    </row>
    <row r="91" spans="2:22" ht="15" customHeight="1">
      <c r="B91" s="13" t="s">
        <v>130</v>
      </c>
      <c r="C91" s="911" t="s">
        <v>3556</v>
      </c>
      <c r="D91" s="1280">
        <v>45997.580590277779</v>
      </c>
      <c r="E91" s="809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4" t="str">
        <f>LEFT(base[[#This Row],[Evento / Mercado]],FIND("/",base[[#This Row],[Evento / Mercado]])-2)</f>
        <v>Stockport County vs Cambridge United</v>
      </c>
      <c r="T91" s="1420">
        <f>base[[#This Row],[Data de liquidação]]</f>
        <v>45997.580590277779</v>
      </c>
    </row>
    <row r="92" spans="2:22" ht="15" customHeight="1">
      <c r="B92" s="13" t="s">
        <v>129</v>
      </c>
      <c r="C92" s="911" t="s">
        <v>3556</v>
      </c>
      <c r="D92" s="1280">
        <v>45997.662974537037</v>
      </c>
      <c r="E92" s="809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4" t="str">
        <f>LEFT(base[[#This Row],[Evento / Mercado]],FIND("/",base[[#This Row],[Evento / Mercado]])-2)</f>
        <v>Stade Lausanne-Ouchy vs FC Rapperswil Jona</v>
      </c>
      <c r="T92" s="1420">
        <f>base[[#This Row],[Data de liquidação]]</f>
        <v>45997.662974537037</v>
      </c>
    </row>
    <row r="93" spans="2:22" ht="15" customHeight="1">
      <c r="B93" s="13" t="s">
        <v>128</v>
      </c>
      <c r="C93" s="911" t="s">
        <v>3556</v>
      </c>
      <c r="D93" s="1280">
        <v>45997.685601851852</v>
      </c>
      <c r="E93" s="809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4" t="str">
        <f>LEFT(base[[#This Row],[Evento / Mercado]],FIND("/",base[[#This Row],[Evento / Mercado]])-2)</f>
        <v>RB Leipzig vs Eintracht Frankfurt</v>
      </c>
      <c r="T93" s="1420">
        <f>base[[#This Row],[Data de liquidação]]</f>
        <v>45997.685601851852</v>
      </c>
    </row>
    <row r="94" spans="2:22" ht="15" customHeight="1">
      <c r="B94" s="13" t="s">
        <v>127</v>
      </c>
      <c r="C94" s="911" t="s">
        <v>3556</v>
      </c>
      <c r="D94" s="1280">
        <v>45997.688842592594</v>
      </c>
      <c r="E94" s="809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693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1202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4" t="str">
        <f>LEFT(base[[#This Row],[Evento / Mercado]],FIND("/",base[[#This Row],[Evento / Mercado]])-2)</f>
        <v>Real Betis vs FC Barcelona</v>
      </c>
      <c r="T94" s="1420">
        <f>base[[#This Row],[Data de liquidação]]</f>
        <v>45997.688842592594</v>
      </c>
    </row>
    <row r="95" spans="2:22" ht="15" customHeight="1">
      <c r="B95" s="13" t="s">
        <v>126</v>
      </c>
      <c r="C95" s="911" t="s">
        <v>3556</v>
      </c>
      <c r="D95" s="1280">
        <v>45997.746666666666</v>
      </c>
      <c r="E95" s="809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4" t="str">
        <f>LEFT(base[[#This Row],[Evento / Mercado]],FIND("/",base[[#This Row],[Evento / Mercado]])-2)</f>
        <v>SK Beveren vs Francs Borains</v>
      </c>
      <c r="T95" s="1420">
        <f>base[[#This Row],[Data de liquidação]]</f>
        <v>45997.746666666666</v>
      </c>
    </row>
    <row r="96" spans="2:22" ht="15" customHeight="1">
      <c r="B96" s="13" t="s">
        <v>125</v>
      </c>
      <c r="C96" s="911" t="s">
        <v>3556</v>
      </c>
      <c r="D96" s="1280">
        <v>45998.498807870368</v>
      </c>
      <c r="E96" s="809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4" t="str">
        <f>LEFT(base[[#This Row],[Evento / Mercado]],FIND("/",base[[#This Row],[Evento / Mercado]])-2)</f>
        <v>FC Nordsjælland vs Silkeborg IF</v>
      </c>
      <c r="T96" s="1420">
        <f>base[[#This Row],[Data de liquidação]]</f>
        <v>45998.498807870368</v>
      </c>
    </row>
    <row r="97" spans="2:25" ht="15" customHeight="1">
      <c r="B97" s="13" t="s">
        <v>124</v>
      </c>
      <c r="C97" s="911" t="s">
        <v>3556</v>
      </c>
      <c r="D97" s="1280">
        <v>45998.515613425923</v>
      </c>
      <c r="E97" s="809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628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1205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4" t="str">
        <f>LEFT(base[[#This Row],[Evento / Mercado]],FIND("/",base[[#This Row],[Evento / Mercado]])-2)</f>
        <v>AZ Alkmaar vs Go Ahead Eagles</v>
      </c>
      <c r="T97" s="1420">
        <f>base[[#This Row],[Data de liquidação]]</f>
        <v>45998.515613425923</v>
      </c>
    </row>
    <row r="98" spans="2:25" ht="15" customHeight="1">
      <c r="B98" s="13" t="s">
        <v>123</v>
      </c>
      <c r="C98" s="911" t="s">
        <v>3556</v>
      </c>
      <c r="D98" s="1280">
        <v>45998.521273148152</v>
      </c>
      <c r="E98" s="809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693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1205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4" t="str">
        <f>LEFT(base[[#This Row],[Evento / Mercado]],FIND("/",base[[#This Row],[Evento / Mercado]])-2)</f>
        <v>FC Volendam vs NEC</v>
      </c>
      <c r="T98" s="142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911" t="s">
        <v>3556</v>
      </c>
      <c r="D99" s="1280">
        <v>45998.521273148152</v>
      </c>
      <c r="E99" s="809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694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1205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4" t="str">
        <f>LEFT(base[[#This Row],[Evento / Mercado]],FIND("/",base[[#This Row],[Evento / Mercado]])-2)</f>
        <v>FC Volendam vs NEC</v>
      </c>
      <c r="T99" s="142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911" t="s">
        <v>3556</v>
      </c>
      <c r="D100" s="1280">
        <v>45998.538657407407</v>
      </c>
      <c r="E100" s="809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4" t="str">
        <f>LEFT(base[[#This Row],[Evento / Mercado]],FIND("/",base[[#This Row],[Evento / Mercado]])-2)</f>
        <v>Brighton &amp; Hove Albion vs West Ham</v>
      </c>
      <c r="T100" s="142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911" t="s">
        <v>3556</v>
      </c>
      <c r="D101" s="1280">
        <v>45998.538657407407</v>
      </c>
      <c r="E101" s="809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4" t="str">
        <f>LEFT(base[[#This Row],[Evento / Mercado]],FIND("/",base[[#This Row],[Evento / Mercado]])-2)</f>
        <v>Brighton &amp; Hove Albion vs West Ham</v>
      </c>
      <c r="T101" s="142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911" t="s">
        <v>3556</v>
      </c>
      <c r="D102" s="1280">
        <v>45998.579930555556</v>
      </c>
      <c r="E102" s="809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4" t="str">
        <f>LEFT(base[[#This Row],[Evento / Mercado]],FIND("/",base[[#This Row],[Evento / Mercado]])-2)</f>
        <v>Celtic vs Hearts</v>
      </c>
      <c r="T102" s="1420">
        <f>base[[#This Row],[Data de liquidação]]</f>
        <v>45998.579930555556</v>
      </c>
    </row>
    <row r="103" spans="2:25" ht="15" customHeight="1">
      <c r="B103" s="13" t="s">
        <v>120</v>
      </c>
      <c r="C103" s="911" t="s">
        <v>3556</v>
      </c>
      <c r="D103" s="1280">
        <v>45998.627233796295</v>
      </c>
      <c r="E103" s="809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4" t="str">
        <f>LEFT(base[[#This Row],[Evento / Mercado]],FIND("/",base[[#This Row],[Evento / Mercado]])-2)</f>
        <v>SK Puntigamer Sturm Graz vs Grazer AK</v>
      </c>
      <c r="T103" s="142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911" t="s">
        <v>3556</v>
      </c>
      <c r="D104" s="1280">
        <v>45998.627233796295</v>
      </c>
      <c r="E104" s="809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4" t="str">
        <f>LEFT(base[[#This Row],[Evento / Mercado]],FIND("/",base[[#This Row],[Evento / Mercado]])-2)</f>
        <v>SK Puntigamer Sturm Graz vs Grazer AK</v>
      </c>
      <c r="T104" s="142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911" t="s">
        <v>3556</v>
      </c>
      <c r="D105" s="1280">
        <v>45998.642222222225</v>
      </c>
      <c r="E105" s="809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628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1200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4" t="str">
        <f>LEFT(base[[#This Row],[Evento / Mercado]],FIND("/",base[[#This Row],[Evento / Mercado]])-2)</f>
        <v>Borussia Dortmund vs 1899 Hoffenheim</v>
      </c>
      <c r="T105" s="142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911" t="s">
        <v>3556</v>
      </c>
      <c r="D106" s="1280">
        <v>45998.642222222225</v>
      </c>
      <c r="E106" s="809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627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1200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4" t="str">
        <f>LEFT(base[[#This Row],[Evento / Mercado]],FIND("/",base[[#This Row],[Evento / Mercado]])-2)</f>
        <v>Borussia Dortmund vs 1899 Hoffenheim</v>
      </c>
      <c r="T106" s="142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911" t="s">
        <v>3556</v>
      </c>
      <c r="D107" s="1280">
        <v>45998.642951388887</v>
      </c>
      <c r="E107" s="809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4" t="str">
        <f>LEFT(base[[#This Row],[Evento / Mercado]],FIND("/",base[[#This Row],[Evento / Mercado]])-2)</f>
        <v>NK Celje vs ND Primorje</v>
      </c>
      <c r="T107" s="1420">
        <f>base[[#This Row],[Data de liquidação]]</f>
        <v>45998.642951388887</v>
      </c>
    </row>
    <row r="108" spans="2:25" ht="15" customHeight="1">
      <c r="B108" s="13" t="s">
        <v>117</v>
      </c>
      <c r="C108" s="911" t="s">
        <v>3556</v>
      </c>
      <c r="D108" s="1280">
        <v>45998.665462962963</v>
      </c>
      <c r="E108" s="809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4" t="str">
        <f>LEFT(base[[#This Row],[Evento / Mercado]],FIND("/",base[[#This Row],[Evento / Mercado]])-2)</f>
        <v>FC København vs SønderjyskE</v>
      </c>
      <c r="T108" s="142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911" t="s">
        <v>3556</v>
      </c>
      <c r="D109" s="1280">
        <v>45998.665462962963</v>
      </c>
      <c r="E109" s="809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4" t="str">
        <f>LEFT(base[[#This Row],[Evento / Mercado]],FIND("/",base[[#This Row],[Evento / Mercado]])-2)</f>
        <v>FC København vs SønderjyskE</v>
      </c>
      <c r="T109" s="142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911" t="s">
        <v>3556</v>
      </c>
      <c r="D110" s="1280">
        <v>45998.748645833337</v>
      </c>
      <c r="E110" s="809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4" t="str">
        <f>LEFT(base[[#This Row],[Evento / Mercado]],FIND("/",base[[#This Row],[Evento / Mercado]])-2)</f>
        <v>Atlético Mineiro vs Vasco da Gama</v>
      </c>
      <c r="T110" s="1420">
        <f>base[[#This Row],[Data de liquidação]]</f>
        <v>45998.748645833337</v>
      </c>
    </row>
    <row r="111" spans="2:25" ht="15" customHeight="1">
      <c r="B111" s="13" t="s">
        <v>115</v>
      </c>
      <c r="C111" s="911" t="s">
        <v>3556</v>
      </c>
      <c r="D111" s="1280">
        <v>45998.75</v>
      </c>
      <c r="E111" s="809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4" t="str">
        <f>LEFT(base[[#This Row],[Evento / Mercado]],FIND("/",base[[#This Row],[Evento / Mercado]])-2)</f>
        <v>Fluminense FC vs Esporte Clube Bahia</v>
      </c>
      <c r="T111" s="142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911" t="s">
        <v>3556</v>
      </c>
      <c r="D112" s="1280">
        <v>45998.75</v>
      </c>
      <c r="E112" s="809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4" t="str">
        <f>LEFT(base[[#This Row],[Evento / Mercado]],FIND("/",base[[#This Row],[Evento / Mercado]])-2)</f>
        <v>Fluminense FC vs Esporte Clube Bahia</v>
      </c>
      <c r="T112" s="142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911" t="s">
        <v>3556</v>
      </c>
      <c r="D113" s="1280">
        <v>45998.750590277778</v>
      </c>
      <c r="E113" s="809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4" t="str">
        <f>LEFT(base[[#This Row],[Evento / Mercado]],FIND("/",base[[#This Row],[Evento / Mercado]])-2)</f>
        <v>Corinthians vs EC Juventude</v>
      </c>
      <c r="T113" s="1420">
        <f>base[[#This Row],[Data de liquidação]]</f>
        <v>45998.750590277778</v>
      </c>
    </row>
    <row r="114" spans="2:22" ht="15" customHeight="1">
      <c r="B114" s="13" t="s">
        <v>113</v>
      </c>
      <c r="C114" s="911" t="s">
        <v>3556</v>
      </c>
      <c r="D114" s="1280">
        <v>45998.752442129633</v>
      </c>
      <c r="E114" s="809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4" t="str">
        <f>LEFT(base[[#This Row],[Evento / Mercado]],FIND("/",base[[#This Row],[Evento / Mercado]])-2)</f>
        <v>SC Internacional vs Red Bull Bragantino</v>
      </c>
      <c r="T114" s="142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911" t="s">
        <v>3556</v>
      </c>
      <c r="D115" s="1280">
        <v>45998.752442129633</v>
      </c>
      <c r="E115" s="809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4" t="str">
        <f>LEFT(base[[#This Row],[Evento / Mercado]],FIND("/",base[[#This Row],[Evento / Mercado]])-2)</f>
        <v>SC Internacional vs Red Bull Bragantino</v>
      </c>
      <c r="T115" s="142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911" t="s">
        <v>3556</v>
      </c>
      <c r="D116" s="1280">
        <v>45998.752951388888</v>
      </c>
      <c r="E116" s="809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627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1370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4" t="str">
        <f>LEFT(base[[#This Row],[Evento / Mercado]],FIND("/",base[[#This Row],[Evento / Mercado]])-2)</f>
        <v>Botafogo FR vs Fortaleza EC</v>
      </c>
      <c r="T116" s="142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911" t="s">
        <v>3556</v>
      </c>
      <c r="D117" s="1280">
        <v>45998.752951388888</v>
      </c>
      <c r="E117" s="809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628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1370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4" t="str">
        <f>LEFT(base[[#This Row],[Evento / Mercado]],FIND("/",base[[#This Row],[Evento / Mercado]])-2)</f>
        <v>Botafogo FR vs Fortaleza EC</v>
      </c>
      <c r="T117" s="142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911" t="s">
        <v>3556</v>
      </c>
      <c r="D118" s="1280">
        <v>45998.792002314818</v>
      </c>
      <c r="E118" s="809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4" t="str">
        <f>LEFT(base[[#This Row],[Evento / Mercado]],FIND("/",base[[#This Row],[Evento / Mercado]])-2)</f>
        <v>Real Madrid vs Celta de Vigo</v>
      </c>
      <c r="T118" s="1420">
        <f>base[[#This Row],[Data de liquidação]]</f>
        <v>45998.792002314818</v>
      </c>
    </row>
    <row r="119" spans="2:22" ht="15" customHeight="1">
      <c r="B119" s="13" t="s">
        <v>172</v>
      </c>
      <c r="C119" s="911" t="s">
        <v>3556</v>
      </c>
      <c r="D119" s="1280">
        <v>45999.439780092594</v>
      </c>
      <c r="E119" s="809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4" t="str">
        <f>LEFT(base[[#This Row],[Evento / Mercado]],FIND("/",base[[#This Row],[Evento / Mercado]])-2)</f>
        <v>Modena FC 2018 vs Catanzaro</v>
      </c>
      <c r="T119" s="1420">
        <f>base[[#This Row],[Data de liquidação]]</f>
        <v>45999.439780092594</v>
      </c>
    </row>
    <row r="120" spans="2:22" ht="15" customHeight="1">
      <c r="B120" s="13" t="s">
        <v>171</v>
      </c>
      <c r="C120" s="911" t="s">
        <v>3556</v>
      </c>
      <c r="D120" s="1280">
        <v>45999.519456018519</v>
      </c>
      <c r="E120" s="809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4" t="str">
        <f>LEFT(base[[#This Row],[Evento / Mercado]],FIND("/",base[[#This Row],[Evento / Mercado]])-2)</f>
        <v>Ascoli vs Forlì F.C.</v>
      </c>
      <c r="T120" s="1420">
        <f>base[[#This Row],[Data de liquidação]]</f>
        <v>45999.519456018519</v>
      </c>
    </row>
    <row r="121" spans="2:22" ht="15" customHeight="1">
      <c r="B121" s="13" t="s">
        <v>170</v>
      </c>
      <c r="C121" s="911" t="s">
        <v>3556</v>
      </c>
      <c r="D121" s="1280">
        <v>45999.535173611112</v>
      </c>
      <c r="E121" s="809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4" t="str">
        <f>LEFT(base[[#This Row],[Evento / Mercado]],FIND("/",base[[#This Row],[Evento / Mercado]])-2)</f>
        <v>FK Radnik Surdulica vs FK Mladost Lucani</v>
      </c>
      <c r="T121" s="1420">
        <f>base[[#This Row],[Data de liquidação]]</f>
        <v>45999.535173611112</v>
      </c>
    </row>
    <row r="122" spans="2:22" ht="15" customHeight="1">
      <c r="B122" s="13" t="s">
        <v>169</v>
      </c>
      <c r="C122" s="911" t="s">
        <v>3556</v>
      </c>
      <c r="D122" s="1280">
        <v>45999.538055555553</v>
      </c>
      <c r="E122" s="809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4" t="str">
        <f>LEFT(base[[#This Row],[Evento / Mercado]],FIND("/",base[[#This Row],[Evento / Mercado]])-2)</f>
        <v>Monza vs FC Sudtirol</v>
      </c>
      <c r="T122" s="1420">
        <f>base[[#This Row],[Data de liquidação]]</f>
        <v>45999.538055555553</v>
      </c>
    </row>
    <row r="123" spans="2:22" ht="15" customHeight="1">
      <c r="B123" s="13" t="s">
        <v>168</v>
      </c>
      <c r="C123" s="911" t="s">
        <v>3556</v>
      </c>
      <c r="D123" s="1280">
        <v>45999.603483796294</v>
      </c>
      <c r="E123" s="809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4" t="str">
        <f>LEFT(base[[#This Row],[Evento / Mercado]],FIND("/",base[[#This Row],[Evento / Mercado]])-2)</f>
        <v>Ludogorets Razgrad vs Slavia Sofia</v>
      </c>
      <c r="T123" s="1420">
        <f>base[[#This Row],[Data de liquidação]]</f>
        <v>45999.603483796294</v>
      </c>
    </row>
    <row r="124" spans="2:22" ht="15" customHeight="1">
      <c r="B124" s="13" t="s">
        <v>167</v>
      </c>
      <c r="C124" s="911" t="s">
        <v>3556</v>
      </c>
      <c r="D124" s="1280">
        <v>45999.665567129632</v>
      </c>
      <c r="E124" s="809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4" t="str">
        <f>LEFT(base[[#This Row],[Evento / Mercado]],FIND("/",base[[#This Row],[Evento / Mercado]])-2)</f>
        <v>Besiktas JK vs Gazişehir Gaziantep F.K.</v>
      </c>
      <c r="T124" s="1420">
        <f>base[[#This Row],[Data de liquidação]]</f>
        <v>45999.665567129632</v>
      </c>
    </row>
    <row r="125" spans="2:22" ht="15" customHeight="1">
      <c r="B125" s="13" t="s">
        <v>166</v>
      </c>
      <c r="C125" s="911" t="s">
        <v>3556</v>
      </c>
      <c r="D125" s="1280">
        <v>45999.665844907409</v>
      </c>
      <c r="E125" s="809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4" t="str">
        <f>LEFT(base[[#This Row],[Evento / Mercado]],FIND("/",base[[#This Row],[Evento / Mercado]])-2)</f>
        <v>Alanyaspor vs Antalyaspor</v>
      </c>
      <c r="T125" s="142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911" t="s">
        <v>3556</v>
      </c>
      <c r="D126" s="1280">
        <v>45999.665844907409</v>
      </c>
      <c r="E126" s="809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4" t="str">
        <f>LEFT(base[[#This Row],[Evento / Mercado]],FIND("/",base[[#This Row],[Evento / Mercado]])-2)</f>
        <v>Alanyaspor vs Antalyaspor</v>
      </c>
      <c r="T126" s="142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911" t="s">
        <v>3556</v>
      </c>
      <c r="D127" s="1280">
        <v>45999.684282407405</v>
      </c>
      <c r="E127" s="809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4" t="str">
        <f>LEFT(base[[#This Row],[Evento / Mercado]],FIND("/",base[[#This Row],[Evento / Mercado]])-2)</f>
        <v>UD Las Palmas vs Mirandés</v>
      </c>
      <c r="T127" s="1420">
        <f>base[[#This Row],[Data de liquidação]]</f>
        <v>45999.684282407405</v>
      </c>
    </row>
    <row r="128" spans="2:22" ht="15" customHeight="1">
      <c r="B128" s="13" t="s">
        <v>164</v>
      </c>
      <c r="C128" s="911" t="s">
        <v>3556</v>
      </c>
      <c r="D128" s="1280">
        <v>45999.712789351855</v>
      </c>
      <c r="E128" s="809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4" t="str">
        <f>LEFT(base[[#This Row],[Evento / Mercado]],FIND("/",base[[#This Row],[Evento / Mercado]])-2)</f>
        <v>Beitar Jerusalem vs Hapoel Jerusalem</v>
      </c>
      <c r="T128" s="1420">
        <f>base[[#This Row],[Data de liquidação]]</f>
        <v>45999.712789351855</v>
      </c>
    </row>
    <row r="129" spans="2:22" ht="15" customHeight="1">
      <c r="B129" s="13" t="s">
        <v>163</v>
      </c>
      <c r="C129" s="911" t="s">
        <v>3556</v>
      </c>
      <c r="D129" s="1280">
        <v>45999.747627314813</v>
      </c>
      <c r="E129" s="809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4" t="str">
        <f>LEFT(base[[#This Row],[Evento / Mercado]],FIND("/",base[[#This Row],[Evento / Mercado]])-2)</f>
        <v>San Antonio vs Real Tomayapo</v>
      </c>
      <c r="T129" s="1420">
        <f>base[[#This Row],[Data de liquidação]]</f>
        <v>45999.747627314813</v>
      </c>
    </row>
    <row r="130" spans="2:22" ht="15" customHeight="1">
      <c r="B130" s="13" t="s">
        <v>162</v>
      </c>
      <c r="C130" s="911" t="s">
        <v>3556</v>
      </c>
      <c r="D130" s="1280">
        <v>45999.773645833331</v>
      </c>
      <c r="E130" s="809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4" t="str">
        <f>LEFT(base[[#This Row],[Evento / Mercado]],FIND("/",base[[#This Row],[Evento / Mercado]])-2)</f>
        <v>Stade Reims vs Stade Lavallois</v>
      </c>
      <c r="T130" s="1420">
        <f>base[[#This Row],[Data de liquidação]]</f>
        <v>45999.773645833331</v>
      </c>
    </row>
    <row r="131" spans="2:22" ht="15" customHeight="1">
      <c r="B131" s="13" t="s">
        <v>161</v>
      </c>
      <c r="C131" s="911" t="s">
        <v>3556</v>
      </c>
      <c r="D131" s="1280">
        <v>45999.786296296297</v>
      </c>
      <c r="E131" s="809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4" t="str">
        <f>LEFT(base[[#This Row],[Evento / Mercado]],FIND("/",base[[#This Row],[Evento / Mercado]])-2)</f>
        <v>Deportes Tolima vs Fortaleza FC</v>
      </c>
      <c r="T131" s="1420">
        <f>base[[#This Row],[Data de liquidação]]</f>
        <v>45999.786296296297</v>
      </c>
    </row>
    <row r="132" spans="2:22" ht="15" customHeight="1">
      <c r="B132" s="13" t="s">
        <v>160</v>
      </c>
      <c r="C132" s="911" t="s">
        <v>3556</v>
      </c>
      <c r="D132" s="1280">
        <v>45999.786377314813</v>
      </c>
      <c r="E132" s="809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4" t="str">
        <f>LEFT(base[[#This Row],[Evento / Mercado]],FIND("/",base[[#This Row],[Evento / Mercado]])-2)</f>
        <v>Osasuna vs Levante UD</v>
      </c>
      <c r="T132" s="142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911" t="s">
        <v>3556</v>
      </c>
      <c r="D133" s="1280">
        <v>45999.786377314813</v>
      </c>
      <c r="E133" s="809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4" t="str">
        <f>LEFT(base[[#This Row],[Evento / Mercado]],FIND("/",base[[#This Row],[Evento / Mercado]])-2)</f>
        <v>Osasuna vs Levante UD</v>
      </c>
      <c r="T133" s="142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911" t="s">
        <v>3556</v>
      </c>
      <c r="D134" s="1280">
        <v>45999.790127314816</v>
      </c>
      <c r="E134" s="809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693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1201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4" t="str">
        <f>LEFT(base[[#This Row],[Evento / Mercado]],FIND("/",base[[#This Row],[Evento / Mercado]])-2)</f>
        <v>Wolverhampton Wanderers vs Manchester United</v>
      </c>
      <c r="T134" s="1420">
        <f>base[[#This Row],[Data de liquidação]]</f>
        <v>45999.790127314816</v>
      </c>
    </row>
    <row r="135" spans="2:22" ht="15" customHeight="1">
      <c r="B135" s="13" t="s">
        <v>158</v>
      </c>
      <c r="C135" s="911" t="s">
        <v>3556</v>
      </c>
      <c r="D135" s="1280">
        <v>46000.597777777781</v>
      </c>
      <c r="E135" s="809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694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1210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4" t="str">
        <f>LEFT(base[[#This Row],[Evento / Mercado]],FIND("/",base[[#This Row],[Evento / Mercado]])-2)</f>
        <v>FC Kairat Almaty vs Olympiacos</v>
      </c>
      <c r="T135" s="1420">
        <f>base[[#This Row],[Data de liquidação]]</f>
        <v>46000.597777777781</v>
      </c>
    </row>
    <row r="136" spans="2:22" ht="15" customHeight="1">
      <c r="B136" s="13" t="s">
        <v>178</v>
      </c>
      <c r="C136" s="911" t="s">
        <v>3556</v>
      </c>
      <c r="D136" s="1280">
        <v>46000.693298611113</v>
      </c>
      <c r="E136" s="809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628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1210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4" t="str">
        <f>LEFT(base[[#This Row],[Evento / Mercado]],FIND("/",base[[#This Row],[Evento / Mercado]])-2)</f>
        <v>FC Bayern München vs Sporting CP</v>
      </c>
      <c r="T136" s="1420">
        <f>base[[#This Row],[Data de liquidação]]</f>
        <v>46000.693298611113</v>
      </c>
    </row>
    <row r="137" spans="2:22" ht="15" customHeight="1">
      <c r="B137" s="13" t="s">
        <v>177</v>
      </c>
      <c r="C137" s="911" t="s">
        <v>3556</v>
      </c>
      <c r="D137" s="1280">
        <v>46000.693402777775</v>
      </c>
      <c r="E137" s="809">
        <v>6.82</v>
      </c>
      <c r="F137" s="12">
        <v>4.4999999999999998E-2</v>
      </c>
      <c r="G137" s="11">
        <f t="shared" si="2"/>
        <v>7.1413612565445028</v>
      </c>
      <c r="H137" s="101" t="s">
        <v>179</v>
      </c>
      <c r="I137" s="99" t="s">
        <v>392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1210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4" t="str">
        <f>LEFT(base[[#This Row],[Evento / Mercado]],FIND("/",base[[#This Row],[Evento / Mercado]])-2)</f>
        <v>FC Bayern München vs Sporting CP</v>
      </c>
      <c r="T137" s="1420">
        <f>base[[#This Row],[Data de liquidação]]</f>
        <v>46000.693402777775</v>
      </c>
    </row>
    <row r="138" spans="2:22" ht="15" customHeight="1">
      <c r="B138" s="13" t="s">
        <v>176</v>
      </c>
      <c r="C138" s="911" t="s">
        <v>3556</v>
      </c>
      <c r="D138" s="1280">
        <v>46000.776747685188</v>
      </c>
      <c r="E138" s="809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4" t="str">
        <f>LEFT(base[[#This Row],[Evento / Mercado]],FIND("/",base[[#This Row],[Evento / Mercado]])-2)</f>
        <v>Blackburn Rovers vs Oxford United</v>
      </c>
      <c r="T138" s="142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911" t="s">
        <v>3556</v>
      </c>
      <c r="D139" s="1280">
        <v>46000.776747685188</v>
      </c>
      <c r="E139" s="809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4" t="str">
        <f>LEFT(base[[#This Row],[Evento / Mercado]],FIND("/",base[[#This Row],[Evento / Mercado]])-2)</f>
        <v>Blackburn Rovers vs Oxford United</v>
      </c>
      <c r="T139" s="142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911" t="s">
        <v>3556</v>
      </c>
      <c r="D140" s="1280">
        <v>46000.778356481482</v>
      </c>
      <c r="E140" s="809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4" t="str">
        <f>LEFT(base[[#This Row],[Evento / Mercado]],FIND("/",base[[#This Row],[Evento / Mercado]])-2)</f>
        <v>Watford vs Sheffield Wednesday</v>
      </c>
      <c r="T140" s="1420">
        <f>base[[#This Row],[Data de liquidação]]</f>
        <v>46000.778356481482</v>
      </c>
    </row>
    <row r="141" spans="2:22" ht="15" customHeight="1">
      <c r="B141" s="13" t="s">
        <v>174</v>
      </c>
      <c r="C141" s="911" t="s">
        <v>3556</v>
      </c>
      <c r="D141" s="1280">
        <v>46000.779178240744</v>
      </c>
      <c r="E141" s="809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4" t="str">
        <f>LEFT(base[[#This Row],[Evento / Mercado]],FIND("/",base[[#This Row],[Evento / Mercado]])-2)</f>
        <v>Sheffield United vs Norwich City</v>
      </c>
      <c r="T141" s="142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911" t="s">
        <v>3556</v>
      </c>
      <c r="D142" s="1280">
        <v>46000.779178240744</v>
      </c>
      <c r="E142" s="809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4" t="str">
        <f>LEFT(base[[#This Row],[Evento / Mercado]],FIND("/",base[[#This Row],[Evento / Mercado]])-2)</f>
        <v>Sheffield United vs Norwich City</v>
      </c>
      <c r="T142" s="142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911" t="s">
        <v>3556</v>
      </c>
      <c r="D143" s="1280">
        <v>46000.786203703705</v>
      </c>
      <c r="E143" s="809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4" t="str">
        <f>LEFT(base[[#This Row],[Evento / Mercado]],FIND("/",base[[#This Row],[Evento / Mercado]])-2)</f>
        <v>Tottenham Hotspur vs SK Slavia Praha</v>
      </c>
      <c r="T143" s="1420">
        <f>base[[#This Row],[Data de liquidação]]</f>
        <v>46000.786203703705</v>
      </c>
    </row>
    <row r="144" spans="2:22" ht="15" customHeight="1">
      <c r="B144" s="13" t="s">
        <v>190</v>
      </c>
      <c r="C144" s="911" t="s">
        <v>3556</v>
      </c>
      <c r="D144" s="1280">
        <v>46001.646990740737</v>
      </c>
      <c r="E144" s="809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4" t="str">
        <f>LEFT(base[[#This Row],[Evento / Mercado]],FIND("/",base[[#This Row],[Evento / Mercado]])-2)</f>
        <v>Villarreal vs FC København</v>
      </c>
      <c r="T144" s="1420">
        <f>base[[#This Row],[Data de liquidação]]</f>
        <v>46001.646990740737</v>
      </c>
    </row>
    <row r="145" spans="2:22" ht="15" customHeight="1">
      <c r="B145" s="13" t="s">
        <v>189</v>
      </c>
      <c r="C145" s="911" t="s">
        <v>3556</v>
      </c>
      <c r="D145" s="1280">
        <v>46001.69259259259</v>
      </c>
      <c r="E145" s="809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4" t="str">
        <f>LEFT(base[[#This Row],[Evento / Mercado]],FIND("/",base[[#This Row],[Evento / Mercado]])-2)</f>
        <v>Villarreal vs FC København</v>
      </c>
      <c r="T145" s="1420">
        <f>base[[#This Row],[Data de liquidação]]</f>
        <v>46001.69259259259</v>
      </c>
    </row>
    <row r="146" spans="2:22" ht="15" customHeight="1">
      <c r="B146" s="13" t="s">
        <v>188</v>
      </c>
      <c r="C146" s="911" t="s">
        <v>3556</v>
      </c>
      <c r="D146" s="1280">
        <v>46001.777060185188</v>
      </c>
      <c r="E146" s="809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4" t="str">
        <f>LEFT(base[[#This Row],[Evento / Mercado]],FIND("/",base[[#This Row],[Evento / Mercado]])-2)</f>
        <v>Ipswich Town vs Stoke City</v>
      </c>
      <c r="T146" s="1420">
        <f>base[[#This Row],[Data de liquidação]]</f>
        <v>46001.777060185188</v>
      </c>
    </row>
    <row r="147" spans="2:22" ht="15" customHeight="1">
      <c r="B147" s="13" t="s">
        <v>187</v>
      </c>
      <c r="C147" s="911" t="s">
        <v>3556</v>
      </c>
      <c r="D147" s="1280">
        <v>46001.784791666665</v>
      </c>
      <c r="E147" s="809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4" t="str">
        <f>LEFT(base[[#This Row],[Evento / Mercado]],FIND("/",base[[#This Row],[Evento / Mercado]])-2)</f>
        <v>Juventus vs Paphos FC</v>
      </c>
      <c r="T147" s="1420">
        <f>base[[#This Row],[Data de liquidação]]</f>
        <v>46001.784791666665</v>
      </c>
    </row>
    <row r="148" spans="2:22" ht="15" customHeight="1">
      <c r="B148" s="13" t="s">
        <v>186</v>
      </c>
      <c r="C148" s="911" t="s">
        <v>3556</v>
      </c>
      <c r="D148" s="1280">
        <v>46001.785682870373</v>
      </c>
      <c r="E148" s="809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693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1210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4" t="str">
        <f>LEFT(base[[#This Row],[Evento / Mercado]],FIND("/",base[[#This Row],[Evento / Mercado]])-2)</f>
        <v>Athletic Bilbao vs Paris Saint-Germain</v>
      </c>
      <c r="T148" s="142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911" t="s">
        <v>3556</v>
      </c>
      <c r="D149" s="1280">
        <v>46001.785682870373</v>
      </c>
      <c r="E149" s="809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694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1210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4" t="str">
        <f>LEFT(base[[#This Row],[Evento / Mercado]],FIND("/",base[[#This Row],[Evento / Mercado]])-2)</f>
        <v>Athletic Bilbao vs Paris Saint-Germain</v>
      </c>
      <c r="T149" s="142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911" t="s">
        <v>3556</v>
      </c>
      <c r="D150" s="1280">
        <v>46001.787210648145</v>
      </c>
      <c r="E150" s="809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693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1210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4" t="str">
        <f>LEFT(base[[#This Row],[Evento / Mercado]],FIND("/",base[[#This Row],[Evento / Mercado]])-2)</f>
        <v>Club Brugge vs Arsenal</v>
      </c>
      <c r="T150" s="1420">
        <f>base[[#This Row],[Data de liquidação]]</f>
        <v>46001.787210648145</v>
      </c>
    </row>
    <row r="151" spans="2:22" ht="15" customHeight="1">
      <c r="B151" s="13" t="s">
        <v>184</v>
      </c>
      <c r="C151" s="911" t="s">
        <v>3556</v>
      </c>
      <c r="D151" s="1280">
        <v>46001.787719907406</v>
      </c>
      <c r="E151" s="809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628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1210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4" t="str">
        <f>LEFT(base[[#This Row],[Evento / Mercado]],FIND("/",base[[#This Row],[Evento / Mercado]])-2)</f>
        <v>Borussia Dortmund vs Bod</v>
      </c>
      <c r="T151" s="1420">
        <f>base[[#This Row],[Data de liquidação]]</f>
        <v>46001.787719907406</v>
      </c>
    </row>
    <row r="152" spans="2:22" ht="15" customHeight="1">
      <c r="B152" s="13" t="s">
        <v>199</v>
      </c>
      <c r="C152" s="911" t="s">
        <v>3556</v>
      </c>
      <c r="D152" s="1280">
        <v>46002.691354166665</v>
      </c>
      <c r="E152" s="809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4" t="str">
        <f>LEFT(base[[#This Row],[Evento / Mercado]],FIND("/",base[[#This Row],[Evento / Mercado]])-2)</f>
        <v>FC Midtjylland vs Racing Genk</v>
      </c>
      <c r="T152" s="1420">
        <f>base[[#This Row],[Data de liquidação]]</f>
        <v>46002.691354166665</v>
      </c>
    </row>
    <row r="153" spans="2:22" ht="15" customHeight="1">
      <c r="B153" s="13" t="s">
        <v>198</v>
      </c>
      <c r="C153" s="911" t="s">
        <v>3556</v>
      </c>
      <c r="D153" s="1280">
        <v>46002.694398148145</v>
      </c>
      <c r="E153" s="809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4" t="str">
        <f>LEFT(base[[#This Row],[Evento / Mercado]],FIND("/",base[[#This Row],[Evento / Mercado]])-2)</f>
        <v>KF Drita vs AZ Alkmaar</v>
      </c>
      <c r="T153" s="1420">
        <f>base[[#This Row],[Data de liquidação]]</f>
        <v>46002.694398148145</v>
      </c>
    </row>
    <row r="154" spans="2:22" ht="15" customHeight="1">
      <c r="B154" s="13" t="s">
        <v>197</v>
      </c>
      <c r="C154" s="911" t="s">
        <v>3556</v>
      </c>
      <c r="D154" s="1280">
        <v>46002.6955787037</v>
      </c>
      <c r="E154" s="809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4" t="str">
        <f>LEFT(base[[#This Row],[Evento / Mercado]],FIND("/",base[[#This Row],[Evento / Mercado]])-2)</f>
        <v>Ferencvárosi TC vs Rangers</v>
      </c>
      <c r="T154" s="1420">
        <f>base[[#This Row],[Data de liquidação]]</f>
        <v>46002.6955787037</v>
      </c>
    </row>
    <row r="155" spans="2:22" ht="15" customHeight="1">
      <c r="B155" s="13" t="s">
        <v>196</v>
      </c>
      <c r="C155" s="911" t="s">
        <v>3556</v>
      </c>
      <c r="D155" s="1280">
        <v>46002.791608796295</v>
      </c>
      <c r="E155" s="809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4" t="str">
        <f>LEFT(base[[#This Row],[Evento / Mercado]],FIND("/",base[[#This Row],[Evento / Mercado]])-2)</f>
        <v>Montego Bay United vs Harbour View</v>
      </c>
      <c r="T155" s="142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911" t="s">
        <v>3556</v>
      </c>
      <c r="D156" s="1280">
        <v>46002.791608796295</v>
      </c>
      <c r="E156" s="809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4" t="str">
        <f>LEFT(base[[#This Row],[Evento / Mercado]],FIND("/",base[[#This Row],[Evento / Mercado]])-2)</f>
        <v>Montego Bay United vs Harbour View</v>
      </c>
      <c r="T156" s="142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911" t="s">
        <v>3556</v>
      </c>
      <c r="D157" s="1280">
        <v>46003.745208333334</v>
      </c>
      <c r="E157" s="809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1198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4" t="e">
        <f>LEFT(base[[#This Row],[Evento / Mercado]],FIND("/",base[[#This Row],[Evento / Mercado]])-2)</f>
        <v>#VALUE!</v>
      </c>
      <c r="T157" s="1420">
        <f>base[[#This Row],[Data de liquidação]]</f>
        <v>46003.745208333334</v>
      </c>
    </row>
    <row r="158" spans="2:22" ht="15" customHeight="1">
      <c r="B158" s="13" t="s">
        <v>244</v>
      </c>
      <c r="C158" s="911" t="s">
        <v>3556</v>
      </c>
      <c r="D158" s="1280">
        <v>46003.745243055557</v>
      </c>
      <c r="E158" s="809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1198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4" t="e">
        <f>LEFT(base[[#This Row],[Evento / Mercado]],FIND("/",base[[#This Row],[Evento / Mercado]])-2)</f>
        <v>#VALUE!</v>
      </c>
      <c r="T158" s="1420">
        <f>base[[#This Row],[Data de liquidação]]</f>
        <v>46003.745243055557</v>
      </c>
    </row>
    <row r="159" spans="2:22" ht="15" customHeight="1">
      <c r="B159" s="13" t="s">
        <v>195</v>
      </c>
      <c r="C159" s="911" t="s">
        <v>3556</v>
      </c>
      <c r="D159" s="1280">
        <v>46003.748090277775</v>
      </c>
      <c r="E159" s="809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1199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4" t="e">
        <f>LEFT(base[[#This Row],[Evento / Mercado]],FIND("/",base[[#This Row],[Evento / Mercado]])-2)</f>
        <v>#VALUE!</v>
      </c>
      <c r="T159" s="142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911" t="s">
        <v>3556</v>
      </c>
      <c r="D160" s="1280">
        <v>46003.748090277775</v>
      </c>
      <c r="E160" s="809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1199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4" t="e">
        <f>LEFT(base[[#This Row],[Evento / Mercado]],FIND("/",base[[#This Row],[Evento / Mercado]])-2)</f>
        <v>#VALUE!</v>
      </c>
      <c r="T160" s="142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911" t="s">
        <v>3556</v>
      </c>
      <c r="D161" s="1280">
        <v>46003.756666666668</v>
      </c>
      <c r="E161" s="809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4" t="e">
        <f>LEFT(base[[#This Row],[Evento / Mercado]],FIND("/",base[[#This Row],[Evento / Mercado]])-2)</f>
        <v>#VALUE!</v>
      </c>
      <c r="T161" s="1420">
        <f>base[[#This Row],[Data de liquidação]]</f>
        <v>46003.756666666668</v>
      </c>
    </row>
    <row r="162" spans="2:22" ht="15" customHeight="1">
      <c r="B162" s="13" t="s">
        <v>242</v>
      </c>
      <c r="C162" s="911" t="s">
        <v>3556</v>
      </c>
      <c r="D162" s="1280">
        <v>46003.765659722223</v>
      </c>
      <c r="E162" s="809">
        <v>7.64</v>
      </c>
      <c r="F162" s="12">
        <v>4.4999999999999998E-2</v>
      </c>
      <c r="G162" s="11">
        <f t="shared" si="2"/>
        <v>8</v>
      </c>
      <c r="H162" s="11" t="s">
        <v>74</v>
      </c>
      <c r="I162" s="9" t="s">
        <v>75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1200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4" t="e">
        <f>LEFT(base[[#This Row],[Evento / Mercado]],FIND("/",base[[#This Row],[Evento / Mercado]])-2)</f>
        <v>#VALUE!</v>
      </c>
      <c r="T162" s="1420">
        <f>base[[#This Row],[Data de liquidação]]</f>
        <v>46003.765659722223</v>
      </c>
    </row>
    <row r="163" spans="2:22" ht="15" customHeight="1">
      <c r="B163" s="13" t="s">
        <v>241</v>
      </c>
      <c r="C163" s="911" t="s">
        <v>3556</v>
      </c>
      <c r="D163" s="1280">
        <v>46004.497488425928</v>
      </c>
      <c r="E163" s="809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4" t="e">
        <f>LEFT(base[[#This Row],[Evento / Mercado]],FIND("/",base[[#This Row],[Evento / Mercado]])-2)</f>
        <v>#VALUE!</v>
      </c>
      <c r="T163" s="1420">
        <f>base[[#This Row],[Data de liquidação]]</f>
        <v>46004.497488425928</v>
      </c>
    </row>
    <row r="164" spans="2:22" ht="15" customHeight="1">
      <c r="B164" s="13" t="s">
        <v>240</v>
      </c>
      <c r="C164" s="911" t="s">
        <v>3556</v>
      </c>
      <c r="D164" s="1280">
        <v>46004.558715277781</v>
      </c>
      <c r="E164" s="809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4" t="e">
        <f>LEFT(base[[#This Row],[Evento / Mercado]],FIND("/",base[[#This Row],[Evento / Mercado]])-2)</f>
        <v>#VALUE!</v>
      </c>
      <c r="T164" s="1420">
        <f>base[[#This Row],[Data de liquidação]]</f>
        <v>46004.558715277781</v>
      </c>
    </row>
    <row r="165" spans="2:22" ht="15" customHeight="1">
      <c r="B165" s="13" t="s">
        <v>239</v>
      </c>
      <c r="C165" s="911" t="s">
        <v>3556</v>
      </c>
      <c r="D165" s="1280">
        <v>46004.559942129628</v>
      </c>
      <c r="E165" s="809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4" t="e">
        <f>LEFT(base[[#This Row],[Evento / Mercado]],FIND("/",base[[#This Row],[Evento / Mercado]])-2)</f>
        <v>#VALUE!</v>
      </c>
      <c r="T165" s="1420">
        <f>base[[#This Row],[Data de liquidação]]</f>
        <v>46004.559942129628</v>
      </c>
    </row>
    <row r="166" spans="2:22" ht="15" customHeight="1">
      <c r="B166" s="13" t="s">
        <v>238</v>
      </c>
      <c r="C166" s="911" t="s">
        <v>3556</v>
      </c>
      <c r="D166" s="1280">
        <v>46004.578680555554</v>
      </c>
      <c r="E166" s="809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628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1201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4" t="e">
        <f>LEFT(base[[#This Row],[Evento / Mercado]],FIND("/",base[[#This Row],[Evento / Mercado]])-2)</f>
        <v>#VALUE!</v>
      </c>
      <c r="T166" s="1420">
        <f>base[[#This Row],[Data de liquidação]]</f>
        <v>46004.578680555554</v>
      </c>
    </row>
    <row r="167" spans="2:22" ht="15" customHeight="1">
      <c r="B167" s="13" t="s">
        <v>237</v>
      </c>
      <c r="C167" s="911" t="s">
        <v>3556</v>
      </c>
      <c r="D167" s="1280">
        <v>46004.581307870372</v>
      </c>
      <c r="E167" s="809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4" t="e">
        <f>LEFT(base[[#This Row],[Evento / Mercado]],FIND("/",base[[#This Row],[Evento / Mercado]])-2)</f>
        <v>#VALUE!</v>
      </c>
      <c r="T167" s="1420">
        <f>base[[#This Row],[Data de liquidação]]</f>
        <v>46004.581307870372</v>
      </c>
    </row>
    <row r="168" spans="2:22" ht="15" customHeight="1">
      <c r="B168" s="13" t="s">
        <v>236</v>
      </c>
      <c r="C168" s="911" t="s">
        <v>3556</v>
      </c>
      <c r="D168" s="1280">
        <v>46004.58253472222</v>
      </c>
      <c r="E168" s="809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628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1201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4" t="e">
        <f>LEFT(base[[#This Row],[Evento / Mercado]],FIND("/",base[[#This Row],[Evento / Mercado]])-2)</f>
        <v>#VALUE!</v>
      </c>
      <c r="T168" s="1420">
        <f>base[[#This Row],[Data de liquidação]]</f>
        <v>46004.58253472222</v>
      </c>
    </row>
    <row r="169" spans="2:22" ht="15" customHeight="1">
      <c r="B169" s="13" t="s">
        <v>235</v>
      </c>
      <c r="C169" s="911" t="s">
        <v>3556</v>
      </c>
      <c r="D169" s="1280">
        <v>46004.681944444441</v>
      </c>
      <c r="E169" s="809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628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1200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4" t="e">
        <f>LEFT(base[[#This Row],[Evento / Mercado]],FIND("/",base[[#This Row],[Evento / Mercado]])-2)</f>
        <v>#VALUE!</v>
      </c>
      <c r="T169" s="142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911" t="s">
        <v>3556</v>
      </c>
      <c r="D170" s="1280">
        <v>46004.681944444441</v>
      </c>
      <c r="E170" s="809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627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1200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4" t="e">
        <f>LEFT(base[[#This Row],[Evento / Mercado]],FIND("/",base[[#This Row],[Evento / Mercado]])-2)</f>
        <v>#VALUE!</v>
      </c>
      <c r="T170" s="142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911" t="s">
        <v>3556</v>
      </c>
      <c r="D171" s="1280">
        <v>46004.684687499997</v>
      </c>
      <c r="E171" s="809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628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1202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4" t="e">
        <f>LEFT(base[[#This Row],[Evento / Mercado]],FIND("/",base[[#This Row],[Evento / Mercado]])-2)</f>
        <v>#VALUE!</v>
      </c>
      <c r="T171" s="1420">
        <f>base[[#This Row],[Data de liquidação]]</f>
        <v>46004.684687499997</v>
      </c>
    </row>
    <row r="172" spans="2:22" ht="15" customHeight="1">
      <c r="B172" s="13" t="s">
        <v>233</v>
      </c>
      <c r="C172" s="911" t="s">
        <v>3556</v>
      </c>
      <c r="D172" s="1280">
        <v>46004.725370370368</v>
      </c>
      <c r="E172" s="809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4" t="e">
        <f>LEFT(base[[#This Row],[Evento / Mercado]],FIND("/",base[[#This Row],[Evento / Mercado]])-2)</f>
        <v>#VALUE!</v>
      </c>
      <c r="T172" s="1420">
        <f>base[[#This Row],[Data de liquidação]]</f>
        <v>46004.725370370368</v>
      </c>
    </row>
    <row r="173" spans="2:22" ht="15" customHeight="1">
      <c r="B173" s="13" t="s">
        <v>232</v>
      </c>
      <c r="C173" s="911" t="s">
        <v>3556</v>
      </c>
      <c r="D173" s="1280">
        <v>46004.746412037035</v>
      </c>
      <c r="E173" s="809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4" t="e">
        <f>LEFT(base[[#This Row],[Evento / Mercado]],FIND("/",base[[#This Row],[Evento / Mercado]])-2)</f>
        <v>#VALUE!</v>
      </c>
      <c r="T173" s="1420">
        <f>base[[#This Row],[Data de liquidação]]</f>
        <v>46004.746412037035</v>
      </c>
    </row>
    <row r="174" spans="2:22" ht="15" customHeight="1">
      <c r="B174" s="13" t="s">
        <v>231</v>
      </c>
      <c r="C174" s="911" t="s">
        <v>3556</v>
      </c>
      <c r="D174" s="1280">
        <v>46004.853854166664</v>
      </c>
      <c r="E174" s="809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4" t="e">
        <f>LEFT(base[[#This Row],[Evento / Mercado]],FIND("/",base[[#This Row],[Evento / Mercado]])-2)</f>
        <v>#VALUE!</v>
      </c>
      <c r="T174" s="1420">
        <f>base[[#This Row],[Data de liquidação]]</f>
        <v>46004.853854166664</v>
      </c>
    </row>
    <row r="175" spans="2:22" ht="15" customHeight="1">
      <c r="B175" s="13" t="s">
        <v>230</v>
      </c>
      <c r="C175" s="911" t="s">
        <v>3556</v>
      </c>
      <c r="D175" s="1280">
        <v>46005.435127314813</v>
      </c>
      <c r="E175" s="809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4" t="e">
        <f>LEFT(base[[#This Row],[Evento / Mercado]],FIND("/",base[[#This Row],[Evento / Mercado]])-2)</f>
        <v>#VALUE!</v>
      </c>
      <c r="T175" s="1420">
        <f>base[[#This Row],[Data de liquidação]]</f>
        <v>46005.435127314813</v>
      </c>
    </row>
    <row r="176" spans="2:22" ht="15" customHeight="1">
      <c r="B176" s="13" t="s">
        <v>229</v>
      </c>
      <c r="C176" s="911" t="s">
        <v>3556</v>
      </c>
      <c r="D176" s="1280">
        <v>46005.437673611108</v>
      </c>
      <c r="E176" s="809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4" t="e">
        <f>LEFT(base[[#This Row],[Evento / Mercado]],FIND("/",base[[#This Row],[Evento / Mercado]])-2)</f>
        <v>#VALUE!</v>
      </c>
      <c r="T176" s="1420">
        <f>base[[#This Row],[Data de liquidação]]</f>
        <v>46005.437673611108</v>
      </c>
    </row>
    <row r="177" spans="2:22" ht="15" customHeight="1">
      <c r="B177" s="13" t="s">
        <v>228</v>
      </c>
      <c r="C177" s="911" t="s">
        <v>3556</v>
      </c>
      <c r="D177" s="1280">
        <v>46005.437789351854</v>
      </c>
      <c r="E177" s="809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4" t="e">
        <f>LEFT(base[[#This Row],[Evento / Mercado]],FIND("/",base[[#This Row],[Evento / Mercado]])-2)</f>
        <v>#VALUE!</v>
      </c>
      <c r="T177" s="1420">
        <f>base[[#This Row],[Data de liquidação]]</f>
        <v>46005.437789351854</v>
      </c>
    </row>
    <row r="178" spans="2:22" ht="15" customHeight="1">
      <c r="B178" s="13" t="s">
        <v>227</v>
      </c>
      <c r="C178" s="911" t="s">
        <v>3556</v>
      </c>
      <c r="D178" s="1280">
        <v>46005.475335648145</v>
      </c>
      <c r="E178" s="809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4" t="e">
        <f>LEFT(base[[#This Row],[Evento / Mercado]],FIND("/",base[[#This Row],[Evento / Mercado]])-2)</f>
        <v>#VALUE!</v>
      </c>
      <c r="T178" s="1420">
        <f>base[[#This Row],[Data de liquidação]]</f>
        <v>46005.475335648145</v>
      </c>
    </row>
    <row r="179" spans="2:22" ht="15" customHeight="1">
      <c r="B179" s="13" t="s">
        <v>226</v>
      </c>
      <c r="C179" s="911" t="s">
        <v>3556</v>
      </c>
      <c r="D179" s="1280">
        <v>46005.476319444446</v>
      </c>
      <c r="E179" s="809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4" t="e">
        <f>LEFT(base[[#This Row],[Evento / Mercado]],FIND("/",base[[#This Row],[Evento / Mercado]])-2)</f>
        <v>#VALUE!</v>
      </c>
      <c r="T179" s="1420">
        <f>base[[#This Row],[Data de liquidação]]</f>
        <v>46005.476319444446</v>
      </c>
    </row>
    <row r="180" spans="2:22" ht="15" customHeight="1">
      <c r="B180" s="13" t="s">
        <v>225</v>
      </c>
      <c r="C180" s="911" t="s">
        <v>3556</v>
      </c>
      <c r="D180" s="1280">
        <v>46005.477071759262</v>
      </c>
      <c r="E180" s="809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4" t="e">
        <f>LEFT(base[[#This Row],[Evento / Mercado]],FIND("/",base[[#This Row],[Evento / Mercado]])-2)</f>
        <v>#VALUE!</v>
      </c>
      <c r="T180" s="1420">
        <f>base[[#This Row],[Data de liquidação]]</f>
        <v>46005.477071759262</v>
      </c>
    </row>
    <row r="181" spans="2:22" ht="15" customHeight="1">
      <c r="B181" s="13" t="s">
        <v>224</v>
      </c>
      <c r="C181" s="911" t="s">
        <v>3556</v>
      </c>
      <c r="D181" s="1280">
        <v>46005.494502314818</v>
      </c>
      <c r="E181" s="809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4" t="e">
        <f>LEFT(base[[#This Row],[Evento / Mercado]],FIND("/",base[[#This Row],[Evento / Mercado]])-2)</f>
        <v>#VALUE!</v>
      </c>
      <c r="T181" s="1420">
        <f>base[[#This Row],[Data de liquidação]]</f>
        <v>46005.494502314818</v>
      </c>
    </row>
    <row r="182" spans="2:22" ht="15" customHeight="1">
      <c r="B182" s="13" t="s">
        <v>223</v>
      </c>
      <c r="C182" s="911" t="s">
        <v>3556</v>
      </c>
      <c r="D182" s="1280">
        <v>46005.517592592594</v>
      </c>
      <c r="E182" s="809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4" t="e">
        <f>LEFT(base[[#This Row],[Evento / Mercado]],FIND("/",base[[#This Row],[Evento / Mercado]])-2)</f>
        <v>#VALUE!</v>
      </c>
      <c r="T182" s="1420">
        <f>base[[#This Row],[Data de liquidação]]</f>
        <v>46005.517592592594</v>
      </c>
    </row>
    <row r="183" spans="2:22" ht="15" customHeight="1">
      <c r="B183" s="13" t="s">
        <v>222</v>
      </c>
      <c r="C183" s="911" t="s">
        <v>3556</v>
      </c>
      <c r="D183" s="1280">
        <v>46005.518530092595</v>
      </c>
      <c r="E183" s="809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4" t="e">
        <f>LEFT(base[[#This Row],[Evento / Mercado]],FIND("/",base[[#This Row],[Evento / Mercado]])-2)</f>
        <v>#VALUE!</v>
      </c>
      <c r="T183" s="1420">
        <f>base[[#This Row],[Data de liquidação]]</f>
        <v>46005.518530092595</v>
      </c>
    </row>
    <row r="184" spans="2:22" ht="15" customHeight="1">
      <c r="B184" s="13" t="s">
        <v>221</v>
      </c>
      <c r="C184" s="911" t="s">
        <v>3556</v>
      </c>
      <c r="D184" s="1280">
        <v>46005.528437499997</v>
      </c>
      <c r="E184" s="809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4" t="e">
        <f>LEFT(base[[#This Row],[Evento / Mercado]],FIND("/",base[[#This Row],[Evento / Mercado]])-2)</f>
        <v>#VALUE!</v>
      </c>
      <c r="T184" s="1420">
        <f>base[[#This Row],[Data de liquidação]]</f>
        <v>46005.528437499997</v>
      </c>
    </row>
    <row r="185" spans="2:22" ht="15" customHeight="1">
      <c r="B185" s="13" t="s">
        <v>220</v>
      </c>
      <c r="C185" s="911" t="s">
        <v>3556</v>
      </c>
      <c r="D185" s="1280">
        <v>46005.538483796299</v>
      </c>
      <c r="E185" s="809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9" t="s">
        <v>75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1201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4" t="e">
        <f>LEFT(base[[#This Row],[Evento / Mercado]],FIND("/",base[[#This Row],[Evento / Mercado]])-2)</f>
        <v>#VALUE!</v>
      </c>
      <c r="T185" s="1420">
        <f>base[[#This Row],[Data de liquidação]]</f>
        <v>46005.538483796299</v>
      </c>
    </row>
    <row r="186" spans="2:22" ht="15" customHeight="1">
      <c r="B186" s="13" t="s">
        <v>219</v>
      </c>
      <c r="C186" s="911" t="s">
        <v>3556</v>
      </c>
      <c r="D186" s="1280">
        <v>46005.5390625</v>
      </c>
      <c r="E186" s="809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4" t="e">
        <f>LEFT(base[[#This Row],[Evento / Mercado]],FIND("/",base[[#This Row],[Evento / Mercado]])-2)</f>
        <v>#VALUE!</v>
      </c>
      <c r="T186" s="1420">
        <f>base[[#This Row],[Data de liquidação]]</f>
        <v>46005.5390625</v>
      </c>
    </row>
    <row r="187" spans="2:22" ht="15" customHeight="1">
      <c r="B187" s="13" t="s">
        <v>218</v>
      </c>
      <c r="C187" s="911" t="s">
        <v>3556</v>
      </c>
      <c r="D187" s="1280">
        <v>46005.559583333335</v>
      </c>
      <c r="E187" s="809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694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1200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4" t="e">
        <f>LEFT(base[[#This Row],[Evento / Mercado]],FIND("/",base[[#This Row],[Evento / Mercado]])-2)</f>
        <v>#VALUE!</v>
      </c>
      <c r="T187" s="142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911" t="s">
        <v>3556</v>
      </c>
      <c r="D188" s="1280">
        <v>46005.559583333335</v>
      </c>
      <c r="E188" s="809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9" t="s">
        <v>75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1200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4" t="e">
        <f>LEFT(base[[#This Row],[Evento / Mercado]],FIND("/",base[[#This Row],[Evento / Mercado]])-2)</f>
        <v>#VALUE!</v>
      </c>
      <c r="T188" s="142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911" t="s">
        <v>3556</v>
      </c>
      <c r="D189" s="1280">
        <v>46005.578402777777</v>
      </c>
      <c r="E189" s="809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4" t="e">
        <f>LEFT(base[[#This Row],[Evento / Mercado]],FIND("/",base[[#This Row],[Evento / Mercado]])-2)</f>
        <v>#VALUE!</v>
      </c>
      <c r="T189" s="142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911" t="s">
        <v>3556</v>
      </c>
      <c r="D190" s="1280">
        <v>46005.578402777777</v>
      </c>
      <c r="E190" s="809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4" t="e">
        <f>LEFT(base[[#This Row],[Evento / Mercado]],FIND("/",base[[#This Row],[Evento / Mercado]])-2)</f>
        <v>#VALUE!</v>
      </c>
      <c r="T190" s="142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911" t="s">
        <v>3556</v>
      </c>
      <c r="D191" s="1280">
        <v>46005.578599537039</v>
      </c>
      <c r="E191" s="809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4" t="e">
        <f>LEFT(base[[#This Row],[Evento / Mercado]],FIND("/",base[[#This Row],[Evento / Mercado]])-2)</f>
        <v>#VALUE!</v>
      </c>
      <c r="T191" s="1420">
        <f>base[[#This Row],[Data de liquidação]]</f>
        <v>46005.578599537039</v>
      </c>
    </row>
    <row r="192" spans="2:22" ht="15" customHeight="1">
      <c r="B192" s="13" t="s">
        <v>215</v>
      </c>
      <c r="C192" s="911" t="s">
        <v>3556</v>
      </c>
      <c r="D192" s="1280">
        <v>46005.58452546296</v>
      </c>
      <c r="E192" s="809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4" t="e">
        <f>LEFT(base[[#This Row],[Evento / Mercado]],FIND("/",base[[#This Row],[Evento / Mercado]])-2)</f>
        <v>#VALUE!</v>
      </c>
      <c r="T192" s="1420">
        <f>base[[#This Row],[Data de liquidação]]</f>
        <v>46005.58452546296</v>
      </c>
    </row>
    <row r="193" spans="2:20" ht="15" customHeight="1">
      <c r="B193" s="13" t="s">
        <v>214</v>
      </c>
      <c r="C193" s="911" t="s">
        <v>3556</v>
      </c>
      <c r="D193" s="1280">
        <v>46005.597546296296</v>
      </c>
      <c r="E193" s="809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4" t="e">
        <f>LEFT(base[[#This Row],[Evento / Mercado]],FIND("/",base[[#This Row],[Evento / Mercado]])-2)</f>
        <v>#VALUE!</v>
      </c>
      <c r="T193" s="1420">
        <f>base[[#This Row],[Data de liquidação]]</f>
        <v>46005.597546296296</v>
      </c>
    </row>
    <row r="194" spans="2:20" ht="15" customHeight="1">
      <c r="B194" s="13" t="s">
        <v>213</v>
      </c>
      <c r="C194" s="911" t="s">
        <v>3556</v>
      </c>
      <c r="D194" s="1280">
        <v>46005.630740740744</v>
      </c>
      <c r="E194" s="809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4" t="e">
        <f>LEFT(base[[#This Row],[Evento / Mercado]],FIND("/",base[[#This Row],[Evento / Mercado]])-2)</f>
        <v>#VALUE!</v>
      </c>
      <c r="T194" s="1420">
        <f>base[[#This Row],[Data de liquidação]]</f>
        <v>46005.630740740744</v>
      </c>
    </row>
    <row r="195" spans="2:20" ht="15" customHeight="1">
      <c r="B195" s="13" t="s">
        <v>212</v>
      </c>
      <c r="C195" s="911" t="s">
        <v>3556</v>
      </c>
      <c r="D195" s="1280">
        <v>46005.644606481481</v>
      </c>
      <c r="E195" s="809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628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1200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4" t="e">
        <f>LEFT(base[[#This Row],[Evento / Mercado]],FIND("/",base[[#This Row],[Evento / Mercado]])-2)</f>
        <v>#VALUE!</v>
      </c>
      <c r="T195" s="1420">
        <f>base[[#This Row],[Data de liquidação]]</f>
        <v>46005.644606481481</v>
      </c>
    </row>
    <row r="196" spans="2:20" ht="15" customHeight="1">
      <c r="B196" s="13" t="s">
        <v>211</v>
      </c>
      <c r="C196" s="911" t="s">
        <v>3556</v>
      </c>
      <c r="D196" s="1280">
        <v>46005.687916666669</v>
      </c>
      <c r="E196" s="809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4" t="e">
        <f>LEFT(base[[#This Row],[Evento / Mercado]],FIND("/",base[[#This Row],[Evento / Mercado]])-2)</f>
        <v>#VALUE!</v>
      </c>
      <c r="T196" s="1420">
        <f>base[[#This Row],[Data de liquidação]]</f>
        <v>46005.687916666669</v>
      </c>
    </row>
    <row r="197" spans="2:20" ht="15" customHeight="1">
      <c r="B197" s="13" t="s">
        <v>210</v>
      </c>
      <c r="C197" s="911" t="s">
        <v>3556</v>
      </c>
      <c r="D197" s="1280">
        <v>46005.706909722219</v>
      </c>
      <c r="E197" s="809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9" t="s">
        <v>75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1203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4" t="e">
        <f>LEFT(base[[#This Row],[Evento / Mercado]],FIND("/",base[[#This Row],[Evento / Mercado]])-2)</f>
        <v>#VALUE!</v>
      </c>
      <c r="T197" s="1420">
        <f>base[[#This Row],[Data de liquidação]]</f>
        <v>46005.706909722219</v>
      </c>
    </row>
    <row r="198" spans="2:20" ht="15" customHeight="1">
      <c r="B198" s="13" t="s">
        <v>209</v>
      </c>
      <c r="C198" s="911" t="s">
        <v>3556</v>
      </c>
      <c r="D198" s="1280">
        <v>46005.719085648147</v>
      </c>
      <c r="E198" s="809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4" t="e">
        <f>LEFT(base[[#This Row],[Evento / Mercado]],FIND("/",base[[#This Row],[Evento / Mercado]])-2)</f>
        <v>#VALUE!</v>
      </c>
      <c r="T198" s="1420">
        <f>base[[#This Row],[Data de liquidação]]</f>
        <v>46005.719085648147</v>
      </c>
    </row>
    <row r="199" spans="2:20" ht="15" customHeight="1">
      <c r="B199" s="13" t="s">
        <v>208</v>
      </c>
      <c r="C199" s="911" t="s">
        <v>3556</v>
      </c>
      <c r="D199" s="1280">
        <v>46005.727303240739</v>
      </c>
      <c r="E199" s="809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4" t="e">
        <f>LEFT(base[[#This Row],[Evento / Mercado]],FIND("/",base[[#This Row],[Evento / Mercado]])-2)</f>
        <v>#VALUE!</v>
      </c>
      <c r="T199" s="1420">
        <f>base[[#This Row],[Data de liquidação]]</f>
        <v>46005.727303240739</v>
      </c>
    </row>
    <row r="200" spans="2:20" ht="15" customHeight="1">
      <c r="B200" s="13" t="s">
        <v>207</v>
      </c>
      <c r="C200" s="911" t="s">
        <v>3556</v>
      </c>
      <c r="D200" s="1280">
        <v>46005.767210648148</v>
      </c>
      <c r="E200" s="809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4" t="e">
        <f>LEFT(base[[#This Row],[Evento / Mercado]],FIND("/",base[[#This Row],[Evento / Mercado]])-2)</f>
        <v>#VALUE!</v>
      </c>
      <c r="T200" s="1420">
        <f>base[[#This Row],[Data de liquidação]]</f>
        <v>46005.767210648148</v>
      </c>
    </row>
    <row r="201" spans="2:20" ht="15" customHeight="1">
      <c r="B201" s="13" t="s">
        <v>206</v>
      </c>
      <c r="C201" s="911" t="s">
        <v>3556</v>
      </c>
      <c r="D201" s="1280">
        <v>46005.859861111108</v>
      </c>
      <c r="E201" s="809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4" t="e">
        <f>LEFT(base[[#This Row],[Evento / Mercado]],FIND("/",base[[#This Row],[Evento / Mercado]])-2)</f>
        <v>#VALUE!</v>
      </c>
      <c r="T201" s="1420">
        <f>base[[#This Row],[Data de liquidação]]</f>
        <v>46005.859861111108</v>
      </c>
    </row>
    <row r="202" spans="2:20" ht="15" customHeight="1">
      <c r="B202" s="13" t="s">
        <v>205</v>
      </c>
      <c r="C202" s="911" t="s">
        <v>3556</v>
      </c>
      <c r="D202" s="1280">
        <v>46006.792581018519</v>
      </c>
      <c r="E202" s="809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628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1201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4" t="e">
        <f>LEFT(base[[#This Row],[Evento / Mercado]],FIND("/",base[[#This Row],[Evento / Mercado]])-2)</f>
        <v>#VALUE!</v>
      </c>
      <c r="T202" s="1420">
        <f>base[[#This Row],[Data de liquidação]]</f>
        <v>46006.792581018519</v>
      </c>
    </row>
    <row r="203" spans="2:20" ht="15" customHeight="1">
      <c r="B203" s="13" t="s">
        <v>292</v>
      </c>
      <c r="C203" s="911" t="s">
        <v>3556</v>
      </c>
      <c r="D203" s="1280">
        <v>46008.453738425924</v>
      </c>
      <c r="E203" s="809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4" t="e">
        <f>LEFT(base[[#This Row],[Evento / Mercado]],FIND("/",base[[#This Row],[Evento / Mercado]])-2)</f>
        <v>#VALUE!</v>
      </c>
      <c r="T203" s="1420">
        <f>base[[#This Row],[Data de liquidação]]</f>
        <v>46008.453738425924</v>
      </c>
    </row>
    <row r="204" spans="2:20" ht="15" customHeight="1">
      <c r="B204" s="13" t="s">
        <v>291</v>
      </c>
      <c r="C204" s="911" t="s">
        <v>3556</v>
      </c>
      <c r="D204" s="1280">
        <v>46008.744467592594</v>
      </c>
      <c r="E204" s="809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4" t="e">
        <f>LEFT(base[[#This Row],[Evento / Mercado]],FIND("/",base[[#This Row],[Evento / Mercado]])-2)</f>
        <v>#VALUE!</v>
      </c>
      <c r="T204" s="1420">
        <f>base[[#This Row],[Data de liquidação]]</f>
        <v>46008.744467592594</v>
      </c>
    </row>
    <row r="205" spans="2:20" ht="15" customHeight="1">
      <c r="B205" s="13" t="s">
        <v>290</v>
      </c>
      <c r="C205" s="911" t="s">
        <v>3556</v>
      </c>
      <c r="D205" s="1280">
        <v>46008.765462962961</v>
      </c>
      <c r="E205" s="809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4" t="e">
        <f>LEFT(base[[#This Row],[Evento / Mercado]],FIND("/",base[[#This Row],[Evento / Mercado]])-2)</f>
        <v>#VALUE!</v>
      </c>
      <c r="T205" s="1420">
        <f>base[[#This Row],[Data de liquidação]]</f>
        <v>46008.765462962961</v>
      </c>
    </row>
    <row r="206" spans="2:20" ht="15" customHeight="1">
      <c r="B206" s="13" t="s">
        <v>289</v>
      </c>
      <c r="C206" s="911" t="s">
        <v>3556</v>
      </c>
      <c r="D206" s="1280">
        <v>46008.786030092589</v>
      </c>
      <c r="E206" s="809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4" t="e">
        <f>LEFT(base[[#This Row],[Evento / Mercado]],FIND("/",base[[#This Row],[Evento / Mercado]])-2)</f>
        <v>#VALUE!</v>
      </c>
      <c r="T206" s="1420">
        <f>base[[#This Row],[Data de liquidação]]</f>
        <v>46008.786030092589</v>
      </c>
    </row>
    <row r="207" spans="2:20" ht="15" customHeight="1">
      <c r="B207" s="13" t="s">
        <v>288</v>
      </c>
      <c r="C207" s="911" t="s">
        <v>3556</v>
      </c>
      <c r="D207" s="1280">
        <v>46008.788518518515</v>
      </c>
      <c r="E207" s="809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4" t="e">
        <f>LEFT(base[[#This Row],[Evento / Mercado]],FIND("/",base[[#This Row],[Evento / Mercado]])-2)</f>
        <v>#VALUE!</v>
      </c>
      <c r="T207" s="1420">
        <f>base[[#This Row],[Data de liquidação]]</f>
        <v>46008.788518518515</v>
      </c>
    </row>
    <row r="208" spans="2:20" ht="15" customHeight="1">
      <c r="B208" s="13" t="s">
        <v>287</v>
      </c>
      <c r="C208" s="911" t="s">
        <v>3556</v>
      </c>
      <c r="D208" s="1280">
        <v>46008.797731481478</v>
      </c>
      <c r="E208" s="809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4" t="e">
        <f>LEFT(base[[#This Row],[Evento / Mercado]],FIND("/",base[[#This Row],[Evento / Mercado]])-2)</f>
        <v>#VALUE!</v>
      </c>
      <c r="T208" s="1420">
        <f>base[[#This Row],[Data de liquidação]]</f>
        <v>46008.797731481478</v>
      </c>
    </row>
    <row r="209" spans="2:20" ht="15" customHeight="1">
      <c r="B209" s="13" t="s">
        <v>305</v>
      </c>
      <c r="C209" s="911" t="s">
        <v>3556</v>
      </c>
      <c r="D209" s="1280">
        <v>46009.684502314813</v>
      </c>
      <c r="E209" s="809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4" t="e">
        <f>LEFT(base[[#This Row],[Evento / Mercado]],FIND("/",base[[#This Row],[Evento / Mercado]])-2)</f>
        <v>#VALUE!</v>
      </c>
      <c r="T209" s="1420">
        <f>base[[#This Row],[Data de liquidação]]</f>
        <v>46009.684502314813</v>
      </c>
    </row>
    <row r="210" spans="2:20" ht="15" customHeight="1">
      <c r="B210" s="13" t="s">
        <v>304</v>
      </c>
      <c r="C210" s="911" t="s">
        <v>3556</v>
      </c>
      <c r="D210" s="1280">
        <v>46009.695844907408</v>
      </c>
      <c r="E210" s="809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4" t="e">
        <f>LEFT(base[[#This Row],[Evento / Mercado]],FIND("/",base[[#This Row],[Evento / Mercado]])-2)</f>
        <v>#VALUE!</v>
      </c>
      <c r="T210" s="1420">
        <f>base[[#This Row],[Data de liquidação]]</f>
        <v>46009.695844907408</v>
      </c>
    </row>
    <row r="211" spans="2:20" ht="15" customHeight="1">
      <c r="B211" s="13" t="s">
        <v>303</v>
      </c>
      <c r="C211" s="911" t="s">
        <v>3556</v>
      </c>
      <c r="D211" s="1280">
        <v>46009.745254629626</v>
      </c>
      <c r="E211" s="809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4" t="e">
        <f>LEFT(base[[#This Row],[Evento / Mercado]],FIND("/",base[[#This Row],[Evento / Mercado]])-2)</f>
        <v>#VALUE!</v>
      </c>
      <c r="T211" s="1420">
        <f>base[[#This Row],[Data de liquidação]]</f>
        <v>46009.745254629626</v>
      </c>
    </row>
    <row r="212" spans="2:20" ht="15" customHeight="1">
      <c r="B212" s="13" t="s">
        <v>302</v>
      </c>
      <c r="C212" s="911" t="s">
        <v>3556</v>
      </c>
      <c r="D212" s="1280">
        <v>46009.751446759263</v>
      </c>
      <c r="E212" s="809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4" t="e">
        <f>LEFT(base[[#This Row],[Evento / Mercado]],FIND("/",base[[#This Row],[Evento / Mercado]])-2)</f>
        <v>#VALUE!</v>
      </c>
      <c r="T212" s="1420">
        <f>base[[#This Row],[Data de liquidação]]</f>
        <v>46009.751446759263</v>
      </c>
    </row>
    <row r="213" spans="2:20" ht="15" customHeight="1">
      <c r="B213" s="13" t="s">
        <v>301</v>
      </c>
      <c r="C213" s="911" t="s">
        <v>3556</v>
      </c>
      <c r="D213" s="1280">
        <v>46009.752280092594</v>
      </c>
      <c r="E213" s="809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4" t="e">
        <f>LEFT(base[[#This Row],[Evento / Mercado]],FIND("/",base[[#This Row],[Evento / Mercado]])-2)</f>
        <v>#VALUE!</v>
      </c>
      <c r="T213" s="1420">
        <f>base[[#This Row],[Data de liquidação]]</f>
        <v>46009.752280092594</v>
      </c>
    </row>
    <row r="214" spans="2:20" ht="15" customHeight="1">
      <c r="B214" s="13" t="s">
        <v>300</v>
      </c>
      <c r="C214" s="911" t="s">
        <v>3556</v>
      </c>
      <c r="D214" s="1280">
        <v>46009.785243055558</v>
      </c>
      <c r="E214" s="809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4" t="e">
        <f>LEFT(base[[#This Row],[Evento / Mercado]],FIND("/",base[[#This Row],[Evento / Mercado]])-2)</f>
        <v>#VALUE!</v>
      </c>
      <c r="T214" s="1420">
        <f>base[[#This Row],[Data de liquidação]]</f>
        <v>46009.785243055558</v>
      </c>
    </row>
    <row r="215" spans="2:20" ht="15" customHeight="1">
      <c r="B215" s="13" t="s">
        <v>299</v>
      </c>
      <c r="C215" s="911" t="s">
        <v>3556</v>
      </c>
      <c r="D215" s="1280">
        <v>46009.789756944447</v>
      </c>
      <c r="E215" s="809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4" t="e">
        <f>LEFT(base[[#This Row],[Evento / Mercado]],FIND("/",base[[#This Row],[Evento / Mercado]])-2)</f>
        <v>#VALUE!</v>
      </c>
      <c r="T215" s="1420">
        <f>base[[#This Row],[Data de liquidação]]</f>
        <v>46009.789756944447</v>
      </c>
    </row>
    <row r="216" spans="2:20" ht="15" customHeight="1">
      <c r="B216" s="13" t="s">
        <v>298</v>
      </c>
      <c r="C216" s="911" t="s">
        <v>3556</v>
      </c>
      <c r="D216" s="1280">
        <v>46009.795208333337</v>
      </c>
      <c r="E216" s="809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4" t="e">
        <f>LEFT(base[[#This Row],[Evento / Mercado]],FIND("/",base[[#This Row],[Evento / Mercado]])-2)</f>
        <v>#VALUE!</v>
      </c>
      <c r="T216" s="1420">
        <f>base[[#This Row],[Data de liquidação]]</f>
        <v>46009.795208333337</v>
      </c>
    </row>
    <row r="217" spans="2:20" ht="15" customHeight="1">
      <c r="B217" s="13" t="s">
        <v>313</v>
      </c>
      <c r="C217" s="911" t="s">
        <v>3556</v>
      </c>
      <c r="D217" s="1280">
        <v>46010.3281712963</v>
      </c>
      <c r="E217" s="809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4" t="e">
        <f>LEFT(base[[#This Row],[Evento / Mercado]],FIND("/",base[[#This Row],[Evento / Mercado]])-2)</f>
        <v>#VALUE!</v>
      </c>
      <c r="T217" s="1420">
        <f>base[[#This Row],[Data de liquidação]]</f>
        <v>46010.3281712963</v>
      </c>
    </row>
    <row r="218" spans="2:20" ht="15" customHeight="1">
      <c r="B218" s="13" t="s">
        <v>312</v>
      </c>
      <c r="C218" s="911" t="s">
        <v>3556</v>
      </c>
      <c r="D218" s="1280">
        <v>46010.468692129631</v>
      </c>
      <c r="E218" s="809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4" t="e">
        <f>LEFT(base[[#This Row],[Evento / Mercado]],FIND("/",base[[#This Row],[Evento / Mercado]])-2)</f>
        <v>#VALUE!</v>
      </c>
      <c r="T218" s="1420">
        <f>base[[#This Row],[Data de liquidação]]</f>
        <v>46010.468692129631</v>
      </c>
    </row>
    <row r="219" spans="2:20" ht="15" customHeight="1">
      <c r="B219" s="13" t="s">
        <v>311</v>
      </c>
      <c r="C219" s="911" t="s">
        <v>3556</v>
      </c>
      <c r="D219" s="1280">
        <v>46010.654895833337</v>
      </c>
      <c r="E219" s="809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4" t="e">
        <f>LEFT(base[[#This Row],[Evento / Mercado]],FIND("/",base[[#This Row],[Evento / Mercado]])-2)</f>
        <v>#VALUE!</v>
      </c>
      <c r="T219" s="1420">
        <f>base[[#This Row],[Data de liquidação]]</f>
        <v>46010.654895833337</v>
      </c>
    </row>
    <row r="220" spans="2:20" ht="15" customHeight="1">
      <c r="B220" s="13" t="s">
        <v>310</v>
      </c>
      <c r="C220" s="911" t="s">
        <v>3556</v>
      </c>
      <c r="D220" s="1280">
        <v>46010.68608796296</v>
      </c>
      <c r="E220" s="809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4" t="e">
        <f>LEFT(base[[#This Row],[Evento / Mercado]],FIND("/",base[[#This Row],[Evento / Mercado]])-2)</f>
        <v>#VALUE!</v>
      </c>
      <c r="T220" s="1420">
        <f>base[[#This Row],[Data de liquidação]]</f>
        <v>46010.68608796296</v>
      </c>
    </row>
    <row r="221" spans="2:20" ht="15" customHeight="1">
      <c r="B221" s="13" t="s">
        <v>309</v>
      </c>
      <c r="C221" s="911" t="s">
        <v>3556</v>
      </c>
      <c r="D221" s="1280">
        <v>46010.767951388887</v>
      </c>
      <c r="E221" s="809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628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1200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4" t="e">
        <f>LEFT(base[[#This Row],[Evento / Mercado]],FIND("/",base[[#This Row],[Evento / Mercado]])-2)</f>
        <v>#VALUE!</v>
      </c>
      <c r="T221" s="1420">
        <f>base[[#This Row],[Data de liquidação]]</f>
        <v>46010.767951388887</v>
      </c>
    </row>
    <row r="222" spans="2:20" ht="15" customHeight="1">
      <c r="B222" s="13" t="s">
        <v>309</v>
      </c>
      <c r="C222" s="911" t="s">
        <v>3556</v>
      </c>
      <c r="D222" s="1280">
        <v>46010.767951388887</v>
      </c>
      <c r="E222" s="809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4" t="e">
        <f>LEFT(base[[#This Row],[Evento / Mercado]],FIND("/",base[[#This Row],[Evento / Mercado]])-2)</f>
        <v>#VALUE!</v>
      </c>
      <c r="T222" s="1420">
        <f>base[[#This Row],[Data de liquidação]]</f>
        <v>46010.767951388887</v>
      </c>
    </row>
    <row r="223" spans="2:20" ht="15" customHeight="1">
      <c r="B223" s="13" t="s">
        <v>308</v>
      </c>
      <c r="C223" s="911" t="s">
        <v>3556</v>
      </c>
      <c r="D223" s="1280">
        <v>46010.776377314818</v>
      </c>
      <c r="E223" s="809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4" t="e">
        <f>LEFT(base[[#This Row],[Evento / Mercado]],FIND("/",base[[#This Row],[Evento / Mercado]])-2)</f>
        <v>#VALUE!</v>
      </c>
      <c r="T223" s="1420">
        <f>base[[#This Row],[Data de liquidação]]</f>
        <v>46010.776377314818</v>
      </c>
    </row>
    <row r="224" spans="2:20" ht="15" customHeight="1">
      <c r="B224" s="13" t="s">
        <v>307</v>
      </c>
      <c r="C224" s="911" t="s">
        <v>3556</v>
      </c>
      <c r="D224" s="1280">
        <v>46010.776516203703</v>
      </c>
      <c r="E224" s="809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4" t="e">
        <f>LEFT(base[[#This Row],[Evento / Mercado]],FIND("/",base[[#This Row],[Evento / Mercado]])-2)</f>
        <v>#VALUE!</v>
      </c>
      <c r="T224" s="1420">
        <f>base[[#This Row],[Data de liquidação]]</f>
        <v>46010.776516203703</v>
      </c>
    </row>
    <row r="225" spans="2:20" ht="15" customHeight="1">
      <c r="B225" s="13" t="s">
        <v>306</v>
      </c>
      <c r="C225" s="911" t="s">
        <v>3556</v>
      </c>
      <c r="D225" s="1280">
        <v>46010.798773148148</v>
      </c>
      <c r="E225" s="809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9" t="s">
        <v>75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1203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4" t="e">
        <f>LEFT(base[[#This Row],[Evento / Mercado]],FIND("/",base[[#This Row],[Evento / Mercado]])-2)</f>
        <v>#VALUE!</v>
      </c>
      <c r="T225" s="1420">
        <f>base[[#This Row],[Data de liquidação]]</f>
        <v>46010.798773148148</v>
      </c>
    </row>
    <row r="226" spans="2:20" ht="15" customHeight="1">
      <c r="B226" s="13" t="s">
        <v>348</v>
      </c>
      <c r="C226" s="911" t="s">
        <v>3556</v>
      </c>
      <c r="D226" s="1280">
        <v>46011.40289351852</v>
      </c>
      <c r="E226" s="809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4" t="e">
        <f>LEFT(base[[#This Row],[Evento / Mercado]],FIND("/",base[[#This Row],[Evento / Mercado]])-2)</f>
        <v>#VALUE!</v>
      </c>
      <c r="T226" s="1420">
        <f>base[[#This Row],[Data de liquidação]]</f>
        <v>46011.40289351852</v>
      </c>
    </row>
    <row r="227" spans="2:20" ht="15" customHeight="1">
      <c r="B227" s="13" t="s">
        <v>347</v>
      </c>
      <c r="C227" s="911" t="s">
        <v>3556</v>
      </c>
      <c r="D227" s="1280">
        <v>46011.444803240738</v>
      </c>
      <c r="E227" s="809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4" t="e">
        <f>LEFT(base[[#This Row],[Evento / Mercado]],FIND("/",base[[#This Row],[Evento / Mercado]])-2)</f>
        <v>#VALUE!</v>
      </c>
      <c r="T227" s="1420">
        <f>base[[#This Row],[Data de liquidação]]</f>
        <v>46011.444803240738</v>
      </c>
    </row>
    <row r="228" spans="2:20" ht="15" customHeight="1">
      <c r="B228" s="13" t="s">
        <v>346</v>
      </c>
      <c r="C228" s="911" t="s">
        <v>3556</v>
      </c>
      <c r="D228" s="1280">
        <v>46011.477141203701</v>
      </c>
      <c r="E228" s="809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4" t="e">
        <f>LEFT(base[[#This Row],[Evento / Mercado]],FIND("/",base[[#This Row],[Evento / Mercado]])-2)</f>
        <v>#VALUE!</v>
      </c>
      <c r="T228" s="1420">
        <f>base[[#This Row],[Data de liquidação]]</f>
        <v>46011.477141203701</v>
      </c>
    </row>
    <row r="229" spans="2:20" ht="15" customHeight="1">
      <c r="B229" s="13" t="s">
        <v>346</v>
      </c>
      <c r="C229" s="911" t="s">
        <v>3556</v>
      </c>
      <c r="D229" s="1280">
        <v>46011.477384259262</v>
      </c>
      <c r="E229" s="809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4" t="e">
        <f>LEFT(base[[#This Row],[Evento / Mercado]],FIND("/",base[[#This Row],[Evento / Mercado]])-2)</f>
        <v>#VALUE!</v>
      </c>
      <c r="T229" s="1420">
        <f>base[[#This Row],[Data de liquidação]]</f>
        <v>46011.477384259262</v>
      </c>
    </row>
    <row r="230" spans="2:20" ht="15" customHeight="1">
      <c r="B230" s="13" t="s">
        <v>345</v>
      </c>
      <c r="C230" s="911" t="s">
        <v>3556</v>
      </c>
      <c r="D230" s="1280">
        <v>46011.478020833332</v>
      </c>
      <c r="E230" s="809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4" t="e">
        <f>LEFT(base[[#This Row],[Evento / Mercado]],FIND("/",base[[#This Row],[Evento / Mercado]])-2)</f>
        <v>#VALUE!</v>
      </c>
      <c r="T230" s="1420">
        <f>base[[#This Row],[Data de liquidação]]</f>
        <v>46011.478020833332</v>
      </c>
    </row>
    <row r="231" spans="2:20" ht="15" customHeight="1">
      <c r="B231" s="13" t="s">
        <v>344</v>
      </c>
      <c r="C231" s="911" t="s">
        <v>3556</v>
      </c>
      <c r="D231" s="1280">
        <v>46011.480555555558</v>
      </c>
      <c r="E231" s="809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4" t="e">
        <f>LEFT(base[[#This Row],[Evento / Mercado]],FIND("/",base[[#This Row],[Evento / Mercado]])-2)</f>
        <v>#VALUE!</v>
      </c>
      <c r="T231" s="1420">
        <f>base[[#This Row],[Data de liquidação]]</f>
        <v>46011.480555555558</v>
      </c>
    </row>
    <row r="232" spans="2:20" ht="15" customHeight="1">
      <c r="B232" s="13" t="s">
        <v>343</v>
      </c>
      <c r="C232" s="911" t="s">
        <v>3556</v>
      </c>
      <c r="D232" s="1280">
        <v>46011.488749999997</v>
      </c>
      <c r="E232" s="809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4" t="e">
        <f>LEFT(base[[#This Row],[Evento / Mercado]],FIND("/",base[[#This Row],[Evento / Mercado]])-2)</f>
        <v>#VALUE!</v>
      </c>
      <c r="T232" s="1420">
        <f>base[[#This Row],[Data de liquidação]]</f>
        <v>46011.488749999997</v>
      </c>
    </row>
    <row r="233" spans="2:20" ht="15" customHeight="1">
      <c r="B233" s="13" t="s">
        <v>342</v>
      </c>
      <c r="C233" s="911" t="s">
        <v>3556</v>
      </c>
      <c r="D233" s="1280">
        <v>46011.496446759258</v>
      </c>
      <c r="E233" s="809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4" t="e">
        <f>LEFT(base[[#This Row],[Evento / Mercado]],FIND("/",base[[#This Row],[Evento / Mercado]])-2)</f>
        <v>#VALUE!</v>
      </c>
      <c r="T233" s="1420">
        <f>base[[#This Row],[Data de liquidação]]</f>
        <v>46011.496446759258</v>
      </c>
    </row>
    <row r="234" spans="2:20" ht="15" customHeight="1">
      <c r="B234" s="13" t="s">
        <v>341</v>
      </c>
      <c r="C234" s="911" t="s">
        <v>3556</v>
      </c>
      <c r="D234" s="1280">
        <v>46011.498553240737</v>
      </c>
      <c r="E234" s="809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4" t="e">
        <f>LEFT(base[[#This Row],[Evento / Mercado]],FIND("/",base[[#This Row],[Evento / Mercado]])-2)</f>
        <v>#VALUE!</v>
      </c>
      <c r="T234" s="1420">
        <f>base[[#This Row],[Data de liquidação]]</f>
        <v>46011.498553240737</v>
      </c>
    </row>
    <row r="235" spans="2:20" ht="15" customHeight="1">
      <c r="B235" s="13" t="s">
        <v>340</v>
      </c>
      <c r="C235" s="911" t="s">
        <v>3556</v>
      </c>
      <c r="D235" s="1280">
        <v>46011.502118055556</v>
      </c>
      <c r="E235" s="809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4" t="e">
        <f>LEFT(base[[#This Row],[Evento / Mercado]],FIND("/",base[[#This Row],[Evento / Mercado]])-2)</f>
        <v>#VALUE!</v>
      </c>
      <c r="T235" s="1420">
        <f>base[[#This Row],[Data de liquidação]]</f>
        <v>46011.502118055556</v>
      </c>
    </row>
    <row r="236" spans="2:20" ht="15" customHeight="1">
      <c r="B236" s="13" t="s">
        <v>339</v>
      </c>
      <c r="C236" s="911" t="s">
        <v>3556</v>
      </c>
      <c r="D236" s="1280">
        <v>46011.536273148151</v>
      </c>
      <c r="E236" s="809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4" t="e">
        <f>LEFT(base[[#This Row],[Evento / Mercado]],FIND("/",base[[#This Row],[Evento / Mercado]])-2)</f>
        <v>#VALUE!</v>
      </c>
      <c r="T236" s="1420">
        <f>base[[#This Row],[Data de liquidação]]</f>
        <v>46011.536273148151</v>
      </c>
    </row>
    <row r="237" spans="2:20" ht="15" customHeight="1">
      <c r="B237" s="13" t="s">
        <v>338</v>
      </c>
      <c r="C237" s="911" t="s">
        <v>3556</v>
      </c>
      <c r="D237" s="1280">
        <v>46011.539664351854</v>
      </c>
      <c r="E237" s="809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4" t="e">
        <f>LEFT(base[[#This Row],[Evento / Mercado]],FIND("/",base[[#This Row],[Evento / Mercado]])-2)</f>
        <v>#VALUE!</v>
      </c>
      <c r="T237" s="1420">
        <f>base[[#This Row],[Data de liquidação]]</f>
        <v>46011.539664351854</v>
      </c>
    </row>
    <row r="238" spans="2:20" ht="15" customHeight="1">
      <c r="B238" s="13" t="s">
        <v>337</v>
      </c>
      <c r="C238" s="911" t="s">
        <v>3556</v>
      </c>
      <c r="D238" s="1280">
        <v>46011.559189814812</v>
      </c>
      <c r="E238" s="809">
        <v>20</v>
      </c>
      <c r="F238" s="12">
        <v>4.4999999999999998E-2</v>
      </c>
      <c r="G238" s="11">
        <f t="shared" si="3"/>
        <v>20.942408376963353</v>
      </c>
      <c r="H238" s="11" t="s">
        <v>352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4" t="e">
        <f>LEFT(base[[#This Row],[Evento / Mercado]],FIND("/",base[[#This Row],[Evento / Mercado]])-2)</f>
        <v>#VALUE!</v>
      </c>
      <c r="T238" s="1420">
        <f>base[[#This Row],[Data de liquidação]]</f>
        <v>46011.559189814812</v>
      </c>
    </row>
    <row r="239" spans="2:20" ht="15" customHeight="1">
      <c r="B239" s="13" t="s">
        <v>336</v>
      </c>
      <c r="C239" s="911" t="s">
        <v>3556</v>
      </c>
      <c r="D239" s="1280">
        <v>46011.562488425923</v>
      </c>
      <c r="E239" s="809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4" t="e">
        <f>LEFT(base[[#This Row],[Evento / Mercado]],FIND("/",base[[#This Row],[Evento / Mercado]])-2)</f>
        <v>#VALUE!</v>
      </c>
      <c r="T239" s="1420">
        <f>base[[#This Row],[Data de liquidação]]</f>
        <v>46011.562488425923</v>
      </c>
    </row>
    <row r="240" spans="2:20" ht="15" customHeight="1">
      <c r="B240" s="13" t="s">
        <v>335</v>
      </c>
      <c r="C240" s="911" t="s">
        <v>3556</v>
      </c>
      <c r="D240" s="1280">
        <v>46011.564027777778</v>
      </c>
      <c r="E240" s="809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4" t="e">
        <f>LEFT(base[[#This Row],[Evento / Mercado]],FIND("/",base[[#This Row],[Evento / Mercado]])-2)</f>
        <v>#VALUE!</v>
      </c>
      <c r="T240" s="1420">
        <f>base[[#This Row],[Data de liquidação]]</f>
        <v>46011.564027777778</v>
      </c>
    </row>
    <row r="241" spans="2:22" ht="15" customHeight="1">
      <c r="B241" s="13" t="s">
        <v>334</v>
      </c>
      <c r="C241" s="911" t="s">
        <v>3556</v>
      </c>
      <c r="D241" s="1280">
        <v>46011.571701388886</v>
      </c>
      <c r="E241" s="809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4" t="e">
        <f>LEFT(base[[#This Row],[Evento / Mercado]],FIND("/",base[[#This Row],[Evento / Mercado]])-2)</f>
        <v>#VALUE!</v>
      </c>
      <c r="T241" s="1420">
        <f>base[[#This Row],[Data de liquidação]]</f>
        <v>46011.571701388886</v>
      </c>
    </row>
    <row r="242" spans="2:22" ht="15" customHeight="1">
      <c r="B242" s="13" t="s">
        <v>333</v>
      </c>
      <c r="C242" s="911" t="s">
        <v>3556</v>
      </c>
      <c r="D242" s="1280">
        <v>46011.576493055552</v>
      </c>
      <c r="E242" s="809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4" t="e">
        <f>LEFT(base[[#This Row],[Evento / Mercado]],FIND("/",base[[#This Row],[Evento / Mercado]])-2)</f>
        <v>#VALUE!</v>
      </c>
      <c r="T242" s="1420">
        <f>base[[#This Row],[Data de liquidação]]</f>
        <v>46011.576493055552</v>
      </c>
    </row>
    <row r="243" spans="2:22" ht="15" customHeight="1">
      <c r="B243" s="13" t="s">
        <v>332</v>
      </c>
      <c r="C243" s="911" t="s">
        <v>3556</v>
      </c>
      <c r="D243" s="1280">
        <v>46011.578425925924</v>
      </c>
      <c r="E243" s="809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628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1201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4" t="e">
        <f>LEFT(base[[#This Row],[Evento / Mercado]],FIND("/",base[[#This Row],[Evento / Mercado]])-2)</f>
        <v>#VALUE!</v>
      </c>
      <c r="T243" s="1420">
        <f>base[[#This Row],[Data de liquidação]]</f>
        <v>46011.578425925924</v>
      </c>
    </row>
    <row r="244" spans="2:22" ht="15" customHeight="1">
      <c r="B244" s="13" t="s">
        <v>331</v>
      </c>
      <c r="C244" s="911" t="s">
        <v>3556</v>
      </c>
      <c r="D244" s="1280">
        <v>46011.580879629626</v>
      </c>
      <c r="E244" s="809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4" t="e">
        <f>LEFT(base[[#This Row],[Evento / Mercado]],FIND("/",base[[#This Row],[Evento / Mercado]])-2)</f>
        <v>#VALUE!</v>
      </c>
      <c r="T244" s="1420">
        <f>base[[#This Row],[Data de liquidação]]</f>
        <v>46011.580879629626</v>
      </c>
    </row>
    <row r="245" spans="2:22" ht="15" customHeight="1">
      <c r="B245" s="13" t="s">
        <v>330</v>
      </c>
      <c r="C245" s="911" t="s">
        <v>3556</v>
      </c>
      <c r="D245" s="1280">
        <v>46011.581307870372</v>
      </c>
      <c r="E245" s="809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4" t="e">
        <f>LEFT(base[[#This Row],[Evento / Mercado]],FIND("/",base[[#This Row],[Evento / Mercado]])-2)</f>
        <v>#VALUE!</v>
      </c>
      <c r="T245" s="142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911" t="s">
        <v>3556</v>
      </c>
      <c r="D246" s="1280">
        <v>46011.581307870372</v>
      </c>
      <c r="E246" s="809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4" t="e">
        <f>LEFT(base[[#This Row],[Evento / Mercado]],FIND("/",base[[#This Row],[Evento / Mercado]])-2)</f>
        <v>#VALUE!</v>
      </c>
      <c r="T246" s="142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911" t="s">
        <v>3556</v>
      </c>
      <c r="D247" s="1280">
        <v>46011.605416666665</v>
      </c>
      <c r="E247" s="809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4" t="e">
        <f>LEFT(base[[#This Row],[Evento / Mercado]],FIND("/",base[[#This Row],[Evento / Mercado]])-2)</f>
        <v>#VALUE!</v>
      </c>
      <c r="T247" s="1420">
        <f>base[[#This Row],[Data de liquidação]]</f>
        <v>46011.605416666665</v>
      </c>
    </row>
    <row r="248" spans="2:22" ht="15" customHeight="1">
      <c r="B248" s="13" t="s">
        <v>328</v>
      </c>
      <c r="C248" s="911" t="s">
        <v>3556</v>
      </c>
      <c r="D248" s="1280">
        <v>46011.663900462961</v>
      </c>
      <c r="E248" s="809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4" t="e">
        <f>LEFT(base[[#This Row],[Evento / Mercado]],FIND("/",base[[#This Row],[Evento / Mercado]])-2)</f>
        <v>#VALUE!</v>
      </c>
      <c r="T248" s="1420">
        <f>base[[#This Row],[Data de liquidação]]</f>
        <v>46011.663900462961</v>
      </c>
    </row>
    <row r="249" spans="2:22" ht="15" customHeight="1">
      <c r="B249" s="13" t="s">
        <v>327</v>
      </c>
      <c r="C249" s="911" t="s">
        <v>3556</v>
      </c>
      <c r="D249" s="1280">
        <v>46011.665289351855</v>
      </c>
      <c r="E249" s="809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4" t="e">
        <f>LEFT(base[[#This Row],[Evento / Mercado]],FIND("/",base[[#This Row],[Evento / Mercado]])-2)</f>
        <v>#VALUE!</v>
      </c>
      <c r="T249" s="1420">
        <f>base[[#This Row],[Data de liquidação]]</f>
        <v>46011.665289351855</v>
      </c>
    </row>
    <row r="250" spans="2:22" ht="15" customHeight="1">
      <c r="B250" s="13" t="s">
        <v>326</v>
      </c>
      <c r="C250" s="911" t="s">
        <v>3556</v>
      </c>
      <c r="D250" s="1280">
        <v>46011.665300925924</v>
      </c>
      <c r="E250" s="809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627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1204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4" t="e">
        <f>LEFT(base[[#This Row],[Evento / Mercado]],FIND("/",base[[#This Row],[Evento / Mercado]])-2)</f>
        <v>#VALUE!</v>
      </c>
      <c r="T250" s="1420">
        <f>base[[#This Row],[Data de liquidação]]</f>
        <v>46011.665300925924</v>
      </c>
    </row>
    <row r="251" spans="2:22" ht="15" customHeight="1">
      <c r="B251" s="13" t="s">
        <v>325</v>
      </c>
      <c r="C251" s="911" t="s">
        <v>3556</v>
      </c>
      <c r="D251" s="1280">
        <v>46011.673425925925</v>
      </c>
      <c r="E251" s="809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4" t="e">
        <f>LEFT(base[[#This Row],[Evento / Mercado]],FIND("/",base[[#This Row],[Evento / Mercado]])-2)</f>
        <v>#VALUE!</v>
      </c>
      <c r="T251" s="1420">
        <f>base[[#This Row],[Data de liquidação]]</f>
        <v>46011.673425925925</v>
      </c>
    </row>
    <row r="252" spans="2:22" ht="15" customHeight="1">
      <c r="B252" s="13" t="s">
        <v>324</v>
      </c>
      <c r="C252" s="911" t="s">
        <v>3556</v>
      </c>
      <c r="D252" s="1280">
        <v>46011.677199074074</v>
      </c>
      <c r="E252" s="809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4" t="e">
        <f>LEFT(base[[#This Row],[Evento / Mercado]],FIND("/",base[[#This Row],[Evento / Mercado]])-2)</f>
        <v>#VALUE!</v>
      </c>
      <c r="T252" s="1420">
        <f>base[[#This Row],[Data de liquidação]]</f>
        <v>46011.677199074074</v>
      </c>
    </row>
    <row r="253" spans="2:22" ht="15" customHeight="1">
      <c r="B253" s="13" t="s">
        <v>323</v>
      </c>
      <c r="C253" s="911" t="s">
        <v>3556</v>
      </c>
      <c r="D253" s="1280">
        <v>46011.687303240738</v>
      </c>
      <c r="E253" s="809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627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1200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4" t="e">
        <f>LEFT(base[[#This Row],[Evento / Mercado]],FIND("/",base[[#This Row],[Evento / Mercado]])-2)</f>
        <v>#VALUE!</v>
      </c>
      <c r="T253" s="1420">
        <f>base[[#This Row],[Data de liquidação]]</f>
        <v>46011.687303240738</v>
      </c>
    </row>
    <row r="254" spans="2:22" ht="15" customHeight="1">
      <c r="B254" s="13" t="s">
        <v>322</v>
      </c>
      <c r="C254" s="911" t="s">
        <v>3556</v>
      </c>
      <c r="D254" s="1280">
        <v>46011.694687499999</v>
      </c>
      <c r="E254" s="809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4" t="e">
        <f>LEFT(base[[#This Row],[Evento / Mercado]],FIND("/",base[[#This Row],[Evento / Mercado]])-2)</f>
        <v>#VALUE!</v>
      </c>
      <c r="T254" s="1420">
        <f>base[[#This Row],[Data de liquidação]]</f>
        <v>46011.694687499999</v>
      </c>
    </row>
    <row r="255" spans="2:22" ht="15" customHeight="1">
      <c r="B255" s="13" t="s">
        <v>321</v>
      </c>
      <c r="C255" s="911" t="s">
        <v>3556</v>
      </c>
      <c r="D255" s="1280">
        <v>46011.709328703706</v>
      </c>
      <c r="E255" s="809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4" t="e">
        <f>LEFT(base[[#This Row],[Evento / Mercado]],FIND("/",base[[#This Row],[Evento / Mercado]])-2)</f>
        <v>#VALUE!</v>
      </c>
      <c r="T255" s="1420">
        <f>base[[#This Row],[Data de liquidação]]</f>
        <v>46011.709328703706</v>
      </c>
    </row>
    <row r="256" spans="2:22" ht="15" customHeight="1">
      <c r="B256" s="13" t="s">
        <v>320</v>
      </c>
      <c r="C256" s="911" t="s">
        <v>3556</v>
      </c>
      <c r="D256" s="1280">
        <v>46011.778692129628</v>
      </c>
      <c r="E256" s="809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4" t="e">
        <f>LEFT(base[[#This Row],[Evento / Mercado]],FIND("/",base[[#This Row],[Evento / Mercado]])-2)</f>
        <v>#VALUE!</v>
      </c>
      <c r="T256" s="1420">
        <f>base[[#This Row],[Data de liquidação]]</f>
        <v>46011.778692129628</v>
      </c>
    </row>
    <row r="257" spans="2:22" ht="15" customHeight="1">
      <c r="B257" s="13" t="s">
        <v>319</v>
      </c>
      <c r="C257" s="911" t="s">
        <v>3556</v>
      </c>
      <c r="D257" s="1280">
        <v>46011.786400462966</v>
      </c>
      <c r="E257" s="809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4" t="e">
        <f>LEFT(base[[#This Row],[Evento / Mercado]],FIND("/",base[[#This Row],[Evento / Mercado]])-2)</f>
        <v>#VALUE!</v>
      </c>
      <c r="T257" s="1420">
        <f>base[[#This Row],[Data de liquidação]]</f>
        <v>46011.786400462966</v>
      </c>
    </row>
    <row r="258" spans="2:22" ht="15" customHeight="1">
      <c r="B258" s="13" t="s">
        <v>319</v>
      </c>
      <c r="C258" s="911" t="s">
        <v>3556</v>
      </c>
      <c r="D258" s="1280">
        <v>46011.786400462966</v>
      </c>
      <c r="E258" s="809">
        <v>-100</v>
      </c>
      <c r="F258" s="12">
        <v>4.4999999999999998E-2</v>
      </c>
      <c r="G258" s="11">
        <f t="shared" si="3"/>
        <v>-100</v>
      </c>
      <c r="H258" s="11" t="s">
        <v>352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4" t="e">
        <f>LEFT(base[[#This Row],[Evento / Mercado]],FIND("/",base[[#This Row],[Evento / Mercado]])-2)</f>
        <v>#VALUE!</v>
      </c>
      <c r="T258" s="1420">
        <f>base[[#This Row],[Data de liquidação]]</f>
        <v>46011.786400462966</v>
      </c>
    </row>
    <row r="259" spans="2:22" ht="15" customHeight="1">
      <c r="B259" s="13" t="s">
        <v>318</v>
      </c>
      <c r="C259" s="911" t="s">
        <v>3556</v>
      </c>
      <c r="D259" s="1280">
        <v>46011.787233796298</v>
      </c>
      <c r="E259" s="809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4" t="e">
        <f>LEFT(base[[#This Row],[Evento / Mercado]],FIND("/",base[[#This Row],[Evento / Mercado]])-2)</f>
        <v>#VALUE!</v>
      </c>
      <c r="T259" s="1420">
        <f>base[[#This Row],[Data de liquidação]]</f>
        <v>46011.787233796298</v>
      </c>
    </row>
    <row r="260" spans="2:22" ht="15" customHeight="1">
      <c r="B260" s="13" t="s">
        <v>317</v>
      </c>
      <c r="C260" s="911" t="s">
        <v>3556</v>
      </c>
      <c r="D260" s="1280">
        <v>46011.791759259257</v>
      </c>
      <c r="E260" s="809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693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1201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4" t="e">
        <f>LEFT(base[[#This Row],[Evento / Mercado]],FIND("/",base[[#This Row],[Evento / Mercado]])-2)</f>
        <v>#VALUE!</v>
      </c>
      <c r="T260" s="142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911" t="s">
        <v>3556</v>
      </c>
      <c r="D261" s="1280">
        <v>46011.791759259257</v>
      </c>
      <c r="E261" s="809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9" t="s">
        <v>351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1201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4" t="e">
        <f>LEFT(base[[#This Row],[Evento / Mercado]],FIND("/",base[[#This Row],[Evento / Mercado]])-2)</f>
        <v>#VALUE!</v>
      </c>
      <c r="T261" s="142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366</v>
      </c>
      <c r="C262" s="911" t="s">
        <v>3556</v>
      </c>
      <c r="D262" s="1280">
        <v>46012.433506944442</v>
      </c>
      <c r="E262" s="809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4" t="e">
        <f>LEFT(base[[#This Row],[Evento / Mercado]],FIND("/",base[[#This Row],[Evento / Mercado]])-2)</f>
        <v>#VALUE!</v>
      </c>
      <c r="T262" s="142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366</v>
      </c>
      <c r="C263" s="911" t="s">
        <v>3556</v>
      </c>
      <c r="D263" s="1280">
        <v>46012.433506944442</v>
      </c>
      <c r="E263" s="809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4" t="e">
        <f>LEFT(base[[#This Row],[Evento / Mercado]],FIND("/",base[[#This Row],[Evento / Mercado]])-2)</f>
        <v>#VALUE!</v>
      </c>
      <c r="T263" s="142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365</v>
      </c>
      <c r="C264" s="911" t="s">
        <v>3556</v>
      </c>
      <c r="D264" s="1280">
        <v>46012.478263888886</v>
      </c>
      <c r="E264" s="809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4" t="e">
        <f>LEFT(base[[#This Row],[Evento / Mercado]],FIND("/",base[[#This Row],[Evento / Mercado]])-2)</f>
        <v>#VALUE!</v>
      </c>
      <c r="T264" s="1420">
        <f>base[[#This Row],[Data de liquidação]]</f>
        <v>46012.478263888886</v>
      </c>
    </row>
    <row r="265" spans="2:22" ht="15" customHeight="1">
      <c r="B265" s="13" t="s">
        <v>364</v>
      </c>
      <c r="C265" s="911" t="s">
        <v>3556</v>
      </c>
      <c r="D265" s="1280">
        <v>46012.479050925926</v>
      </c>
      <c r="E265" s="809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4" t="e">
        <f>LEFT(base[[#This Row],[Evento / Mercado]],FIND("/",base[[#This Row],[Evento / Mercado]])-2)</f>
        <v>#VALUE!</v>
      </c>
      <c r="T265" s="1420">
        <f>base[[#This Row],[Data de liquidação]]</f>
        <v>46012.479050925926</v>
      </c>
    </row>
    <row r="266" spans="2:22" ht="15" customHeight="1">
      <c r="B266" s="13" t="s">
        <v>363</v>
      </c>
      <c r="C266" s="911" t="s">
        <v>3556</v>
      </c>
      <c r="D266" s="1280">
        <v>46012.494317129633</v>
      </c>
      <c r="E266" s="809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4" t="e">
        <f>LEFT(base[[#This Row],[Evento / Mercado]],FIND("/",base[[#This Row],[Evento / Mercado]])-2)</f>
        <v>#VALUE!</v>
      </c>
      <c r="T266" s="1420">
        <f>base[[#This Row],[Data de liquidação]]</f>
        <v>46012.494317129633</v>
      </c>
    </row>
    <row r="267" spans="2:22" ht="15" customHeight="1">
      <c r="B267" s="13" t="s">
        <v>362</v>
      </c>
      <c r="C267" s="911" t="s">
        <v>3556</v>
      </c>
      <c r="D267" s="1280">
        <v>46012.518182870372</v>
      </c>
      <c r="E267" s="809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627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1205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4" t="e">
        <f>LEFT(base[[#This Row],[Evento / Mercado]],FIND("/",base[[#This Row],[Evento / Mercado]])-2)</f>
        <v>#VALUE!</v>
      </c>
      <c r="T267" s="1420">
        <f>base[[#This Row],[Data de liquidação]]</f>
        <v>46012.518182870372</v>
      </c>
    </row>
    <row r="268" spans="2:22" ht="15" customHeight="1">
      <c r="B268" s="13" t="s">
        <v>361</v>
      </c>
      <c r="C268" s="911" t="s">
        <v>3556</v>
      </c>
      <c r="D268" s="1280">
        <v>46012.589895833335</v>
      </c>
      <c r="E268" s="809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694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1202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4" t="e">
        <f>LEFT(base[[#This Row],[Evento / Mercado]],FIND("/",base[[#This Row],[Evento / Mercado]])-2)</f>
        <v>#VALUE!</v>
      </c>
      <c r="T268" s="1420">
        <f>base[[#This Row],[Data de liquidação]]</f>
        <v>46012.589895833335</v>
      </c>
    </row>
    <row r="269" spans="2:22" ht="15" customHeight="1">
      <c r="B269" s="13" t="s">
        <v>360</v>
      </c>
      <c r="C269" s="911" t="s">
        <v>3556</v>
      </c>
      <c r="D269" s="1280">
        <v>46012.59003472222</v>
      </c>
      <c r="E269" s="809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4" t="e">
        <f>LEFT(base[[#This Row],[Evento / Mercado]],FIND("/",base[[#This Row],[Evento / Mercado]])-2)</f>
        <v>#VALUE!</v>
      </c>
      <c r="T269" s="1420">
        <f>base[[#This Row],[Data de liquidação]]</f>
        <v>46012.59003472222</v>
      </c>
    </row>
    <row r="270" spans="2:22" ht="15" customHeight="1">
      <c r="B270" s="13" t="s">
        <v>359</v>
      </c>
      <c r="C270" s="911" t="s">
        <v>3556</v>
      </c>
      <c r="D270" s="1280">
        <v>46012.609571759262</v>
      </c>
      <c r="E270" s="809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4" t="e">
        <f>LEFT(base[[#This Row],[Evento / Mercado]],FIND("/",base[[#This Row],[Evento / Mercado]])-2)</f>
        <v>#VALUE!</v>
      </c>
      <c r="T270" s="1420">
        <f>base[[#This Row],[Data de liquidação]]</f>
        <v>46012.609571759262</v>
      </c>
    </row>
    <row r="271" spans="2:22" ht="15" customHeight="1">
      <c r="B271" s="13" t="s">
        <v>358</v>
      </c>
      <c r="C271" s="911" t="s">
        <v>3556</v>
      </c>
      <c r="D271" s="1280">
        <v>46012.623877314814</v>
      </c>
      <c r="E271" s="809">
        <v>-150</v>
      </c>
      <c r="F271" s="12">
        <v>4.4999999999999998E-2</v>
      </c>
      <c r="G271" s="11">
        <f t="shared" si="4"/>
        <v>-150</v>
      </c>
      <c r="H271" s="11" t="s">
        <v>352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4" t="e">
        <f>LEFT(base[[#This Row],[Evento / Mercado]],FIND("/",base[[#This Row],[Evento / Mercado]])-2)</f>
        <v>#VALUE!</v>
      </c>
      <c r="T271" s="1420">
        <f>base[[#This Row],[Data de liquidação]]</f>
        <v>46012.623877314814</v>
      </c>
    </row>
    <row r="272" spans="2:22" ht="15" customHeight="1">
      <c r="B272" s="13" t="s">
        <v>357</v>
      </c>
      <c r="C272" s="911" t="s">
        <v>3556</v>
      </c>
      <c r="D272" s="1280">
        <v>46012.640925925924</v>
      </c>
      <c r="E272" s="809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693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1200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4" t="e">
        <f>LEFT(base[[#This Row],[Evento / Mercado]],FIND("/",base[[#This Row],[Evento / Mercado]])-2)</f>
        <v>#VALUE!</v>
      </c>
      <c r="T272" s="1420">
        <f>base[[#This Row],[Data de liquidação]]</f>
        <v>46012.640925925924</v>
      </c>
    </row>
    <row r="273" spans="2:20" ht="15" customHeight="1">
      <c r="B273" s="13" t="s">
        <v>356</v>
      </c>
      <c r="C273" s="911" t="s">
        <v>3556</v>
      </c>
      <c r="D273" s="1280">
        <v>46012.643773148149</v>
      </c>
      <c r="E273" s="809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627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1201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4" t="e">
        <f>LEFT(base[[#This Row],[Evento / Mercado]],FIND("/",base[[#This Row],[Evento / Mercado]])-2)</f>
        <v>#VALUE!</v>
      </c>
      <c r="T273" s="1420">
        <f>base[[#This Row],[Data de liquidação]]</f>
        <v>46012.643773148149</v>
      </c>
    </row>
    <row r="274" spans="2:20" ht="15" customHeight="1">
      <c r="B274" s="13" t="s">
        <v>355</v>
      </c>
      <c r="C274" s="911" t="s">
        <v>3556</v>
      </c>
      <c r="D274" s="1280">
        <v>46012.686909722222</v>
      </c>
      <c r="E274" s="809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4" t="e">
        <f>LEFT(base[[#This Row],[Evento / Mercado]],FIND("/",base[[#This Row],[Evento / Mercado]])-2)</f>
        <v>#VALUE!</v>
      </c>
      <c r="T274" s="1420">
        <f>base[[#This Row],[Data de liquidação]]</f>
        <v>46012.686909722222</v>
      </c>
    </row>
    <row r="275" spans="2:20" ht="15" customHeight="1">
      <c r="B275" s="13" t="s">
        <v>354</v>
      </c>
      <c r="C275" s="911" t="s">
        <v>3556</v>
      </c>
      <c r="D275" s="1280">
        <v>46012.786631944444</v>
      </c>
      <c r="E275" s="809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4" t="e">
        <f>LEFT(base[[#This Row],[Evento / Mercado]],FIND("/",base[[#This Row],[Evento / Mercado]])-2)</f>
        <v>#VALUE!</v>
      </c>
      <c r="T275" s="1420">
        <f>base[[#This Row],[Data de liquidação]]</f>
        <v>46012.786631944444</v>
      </c>
    </row>
    <row r="276" spans="2:20" ht="15" customHeight="1">
      <c r="B276" s="13" t="s">
        <v>353</v>
      </c>
      <c r="C276" s="911" t="s">
        <v>3556</v>
      </c>
      <c r="D276" s="1280">
        <v>46012.791770833333</v>
      </c>
      <c r="E276" s="809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4" t="e">
        <f>LEFT(base[[#This Row],[Evento / Mercado]],FIND("/",base[[#This Row],[Evento / Mercado]])-2)</f>
        <v>#VALUE!</v>
      </c>
      <c r="T276" s="1420">
        <f>base[[#This Row],[Data de liquidação]]</f>
        <v>46012.791770833333</v>
      </c>
    </row>
    <row r="277" spans="2:20" ht="15" customHeight="1">
      <c r="B277" s="13" t="s">
        <v>368</v>
      </c>
      <c r="C277" s="911" t="s">
        <v>3556</v>
      </c>
      <c r="D277" s="1280">
        <v>46017.532280092593</v>
      </c>
      <c r="E277" s="809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4" t="e">
        <f>LEFT(base[[#This Row],[Evento / Mercado]],FIND("/",base[[#This Row],[Evento / Mercado]])-2)</f>
        <v>#VALUE!</v>
      </c>
      <c r="T277" s="1420">
        <f>base[[#This Row],[Data de liquidação]]</f>
        <v>46017.532280092593</v>
      </c>
    </row>
    <row r="278" spans="2:20" ht="15" customHeight="1">
      <c r="B278" s="13" t="s">
        <v>367</v>
      </c>
      <c r="C278" s="911" t="s">
        <v>3556</v>
      </c>
      <c r="D278" s="1280">
        <v>46017.577094907407</v>
      </c>
      <c r="E278" s="809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4" t="e">
        <f>LEFT(base[[#This Row],[Evento / Mercado]],FIND("/",base[[#This Row],[Evento / Mercado]])-2)</f>
        <v>#VALUE!</v>
      </c>
      <c r="T278" s="1420">
        <f>base[[#This Row],[Data de liquidação]]</f>
        <v>46017.577094907407</v>
      </c>
    </row>
    <row r="279" spans="2:20" ht="15" customHeight="1">
      <c r="B279" s="13" t="s">
        <v>372</v>
      </c>
      <c r="C279" s="911" t="s">
        <v>3556</v>
      </c>
      <c r="D279" s="1280">
        <v>46018.466770833336</v>
      </c>
      <c r="E279" s="809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4" t="e">
        <f>LEFT(base[[#This Row],[Evento / Mercado]],FIND("/",base[[#This Row],[Evento / Mercado]])-2)</f>
        <v>#VALUE!</v>
      </c>
      <c r="T279" s="1420">
        <f>base[[#This Row],[Data de liquidação]]</f>
        <v>46018.466770833336</v>
      </c>
    </row>
    <row r="280" spans="2:20" ht="15" customHeight="1">
      <c r="B280" s="13" t="s">
        <v>372</v>
      </c>
      <c r="C280" s="911" t="s">
        <v>3556</v>
      </c>
      <c r="D280" s="1280">
        <v>46018.474247685182</v>
      </c>
      <c r="E280" s="809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693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1201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4" t="e">
        <f>LEFT(base[[#This Row],[Evento / Mercado]],FIND("/",base[[#This Row],[Evento / Mercado]])-2)</f>
        <v>#VALUE!</v>
      </c>
      <c r="T280" s="1420">
        <f>base[[#This Row],[Data de liquidação]]</f>
        <v>46018.474247685182</v>
      </c>
    </row>
    <row r="281" spans="2:20" ht="15" customHeight="1">
      <c r="B281" s="13" t="s">
        <v>371</v>
      </c>
      <c r="C281" s="911" t="s">
        <v>3556</v>
      </c>
      <c r="D281" s="1280">
        <v>46018.538472222222</v>
      </c>
      <c r="E281" s="809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4" t="e">
        <f>LEFT(base[[#This Row],[Evento / Mercado]],FIND("/",base[[#This Row],[Evento / Mercado]])-2)</f>
        <v>#VALUE!</v>
      </c>
      <c r="T281" s="1420">
        <f>base[[#This Row],[Data de liquidação]]</f>
        <v>46018.538472222222</v>
      </c>
    </row>
    <row r="282" spans="2:20" ht="15" customHeight="1">
      <c r="B282" s="13" t="s">
        <v>370</v>
      </c>
      <c r="C282" s="911" t="s">
        <v>3556</v>
      </c>
      <c r="D282" s="1280">
        <v>46018.549259259256</v>
      </c>
      <c r="E282" s="809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4" t="e">
        <f>LEFT(base[[#This Row],[Evento / Mercado]],FIND("/",base[[#This Row],[Evento / Mercado]])-2)</f>
        <v>#VALUE!</v>
      </c>
      <c r="T282" s="1420">
        <f>base[[#This Row],[Data de liquidação]]</f>
        <v>46018.549259259256</v>
      </c>
    </row>
    <row r="283" spans="2:20" ht="15" customHeight="1">
      <c r="B283" s="13" t="s">
        <v>369</v>
      </c>
      <c r="C283" s="911" t="s">
        <v>3556</v>
      </c>
      <c r="D283" s="1280">
        <v>46018.66070601852</v>
      </c>
      <c r="E283" s="809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4" t="e">
        <f>LEFT(base[[#This Row],[Evento / Mercado]],FIND("/",base[[#This Row],[Evento / Mercado]])-2)</f>
        <v>#VALUE!</v>
      </c>
      <c r="T283" s="1420">
        <f>base[[#This Row],[Data de liquidação]]</f>
        <v>46018.66070601852</v>
      </c>
    </row>
    <row r="284" spans="2:20" ht="15" customHeight="1">
      <c r="B284" s="13" t="s">
        <v>369</v>
      </c>
      <c r="C284" s="911" t="s">
        <v>3556</v>
      </c>
      <c r="D284" s="1280">
        <v>46018.683171296296</v>
      </c>
      <c r="E284" s="809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628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1201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4" t="e">
        <f>LEFT(base[[#This Row],[Evento / Mercado]],FIND("/",base[[#This Row],[Evento / Mercado]])-2)</f>
        <v>#VALUE!</v>
      </c>
      <c r="T284" s="1420">
        <f>base[[#This Row],[Data de liquidação]]</f>
        <v>46018.683171296296</v>
      </c>
    </row>
    <row r="285" spans="2:20" ht="15" customHeight="1">
      <c r="B285" s="13" t="s">
        <v>378</v>
      </c>
      <c r="C285" s="911" t="s">
        <v>3556</v>
      </c>
      <c r="D285" s="1280">
        <v>46019.538819444446</v>
      </c>
      <c r="E285" s="809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693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1201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4" t="e">
        <f>LEFT(base[[#This Row],[Evento / Mercado]],FIND("/",base[[#This Row],[Evento / Mercado]])-2)</f>
        <v>#VALUE!</v>
      </c>
      <c r="T285" s="1420">
        <f>base[[#This Row],[Data de liquidação]]</f>
        <v>46019.538819444446</v>
      </c>
    </row>
    <row r="286" spans="2:20" ht="15" customHeight="1">
      <c r="B286" s="13" t="s">
        <v>377</v>
      </c>
      <c r="C286" s="911" t="s">
        <v>3556</v>
      </c>
      <c r="D286" s="1280">
        <v>46019.642083333332</v>
      </c>
      <c r="E286" s="809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4" t="e">
        <f>LEFT(base[[#This Row],[Evento / Mercado]],FIND("/",base[[#This Row],[Evento / Mercado]])-2)</f>
        <v>#VALUE!</v>
      </c>
      <c r="T286" s="1420">
        <f>base[[#This Row],[Data de liquidação]]</f>
        <v>46019.642083333332</v>
      </c>
    </row>
    <row r="287" spans="2:20" ht="15" customHeight="1">
      <c r="B287" s="13" t="s">
        <v>376</v>
      </c>
      <c r="C287" s="911" t="s">
        <v>3556</v>
      </c>
      <c r="D287" s="1280">
        <v>46019.64439814815</v>
      </c>
      <c r="E287" s="809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4" t="e">
        <f>LEFT(base[[#This Row],[Evento / Mercado]],FIND("/",base[[#This Row],[Evento / Mercado]])-2)</f>
        <v>#VALUE!</v>
      </c>
      <c r="T287" s="1420">
        <f>base[[#This Row],[Data de liquidação]]</f>
        <v>46019.64439814815</v>
      </c>
    </row>
    <row r="288" spans="2:20" ht="15" customHeight="1">
      <c r="B288" s="13" t="s">
        <v>375</v>
      </c>
      <c r="C288" s="911" t="s">
        <v>3556</v>
      </c>
      <c r="D288" s="1280">
        <v>46019.646967592591</v>
      </c>
      <c r="E288" s="809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4" t="e">
        <f>LEFT(base[[#This Row],[Evento / Mercado]],FIND("/",base[[#This Row],[Evento / Mercado]])-2)</f>
        <v>#VALUE!</v>
      </c>
      <c r="T288" s="1420">
        <f>base[[#This Row],[Data de liquidação]]</f>
        <v>46019.646967592591</v>
      </c>
    </row>
    <row r="289" spans="2:22" ht="15" customHeight="1">
      <c r="B289" s="13" t="s">
        <v>374</v>
      </c>
      <c r="C289" s="911" t="s">
        <v>3556</v>
      </c>
      <c r="D289" s="1280">
        <v>46019.80840277778</v>
      </c>
      <c r="E289" s="809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628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1203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4" t="e">
        <f>LEFT(base[[#This Row],[Evento / Mercado]],FIND("/",base[[#This Row],[Evento / Mercado]])-2)</f>
        <v>#VALUE!</v>
      </c>
      <c r="T289" s="1420">
        <f>base[[#This Row],[Data de liquidação]]</f>
        <v>46019.80840277778</v>
      </c>
    </row>
    <row r="290" spans="2:22" ht="15" customHeight="1">
      <c r="B290" s="13" t="s">
        <v>373</v>
      </c>
      <c r="C290" s="911" t="s">
        <v>3556</v>
      </c>
      <c r="D290" s="1280">
        <v>46019.876689814817</v>
      </c>
      <c r="E290" s="809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4" t="e">
        <f>LEFT(base[[#This Row],[Evento / Mercado]],FIND("/",base[[#This Row],[Evento / Mercado]])-2)</f>
        <v>#VALUE!</v>
      </c>
      <c r="T290" s="1420">
        <f>base[[#This Row],[Data de liquidação]]</f>
        <v>46019.876689814817</v>
      </c>
    </row>
    <row r="291" spans="2:22" ht="15" customHeight="1">
      <c r="B291" s="13" t="s">
        <v>379</v>
      </c>
      <c r="C291" s="911" t="s">
        <v>3556</v>
      </c>
      <c r="D291" s="1280">
        <v>46021.494571759256</v>
      </c>
      <c r="E291" s="809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4" t="e">
        <f>LEFT(base[[#This Row],[Evento / Mercado]],FIND("/",base[[#This Row],[Evento / Mercado]])-2)</f>
        <v>#VALUE!</v>
      </c>
      <c r="T291" s="1420">
        <f>base[[#This Row],[Data de liquidação]]</f>
        <v>46021.494571759256</v>
      </c>
    </row>
    <row r="292" spans="2:22" ht="15" customHeight="1">
      <c r="B292" s="13" t="s">
        <v>261</v>
      </c>
      <c r="C292" s="911" t="s">
        <v>3556</v>
      </c>
      <c r="D292" s="1280">
        <v>46021.800370370373</v>
      </c>
      <c r="E292" s="809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9" t="s">
        <v>75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1201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4" t="e">
        <f>LEFT(base[[#This Row],[Evento / Mercado]],FIND("/",base[[#This Row],[Evento / Mercado]])-2)</f>
        <v>#VALUE!</v>
      </c>
      <c r="T292" s="1420">
        <f>base[[#This Row],[Data de liquidação]]</f>
        <v>46021.800370370373</v>
      </c>
    </row>
    <row r="293" spans="2:22" ht="15" customHeight="1">
      <c r="B293" s="718" t="s">
        <v>387</v>
      </c>
      <c r="C293" s="911" t="s">
        <v>3556</v>
      </c>
      <c r="D293" s="1280">
        <v>46021.800370370373</v>
      </c>
      <c r="E293" s="811">
        <v>262.35000000000002</v>
      </c>
      <c r="F293" s="45">
        <v>0</v>
      </c>
      <c r="G293" s="44">
        <f t="shared" si="4"/>
        <v>262.35000000000002</v>
      </c>
      <c r="H293" s="11" t="s">
        <v>352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4" t="e">
        <f>LEFT(base[[#This Row],[Evento / Mercado]],FIND("/",base[[#This Row],[Evento / Mercado]])-2)</f>
        <v>#VALUE!</v>
      </c>
      <c r="T293" s="1420">
        <f>base[[#This Row],[Data de liquidação]]</f>
        <v>46021.800370370373</v>
      </c>
    </row>
    <row r="294" spans="2:22" ht="15" customHeight="1">
      <c r="B294" s="718" t="s">
        <v>387</v>
      </c>
      <c r="C294" s="911" t="s">
        <v>3556</v>
      </c>
      <c r="D294" s="1280">
        <v>46021.800370370373</v>
      </c>
      <c r="E294" s="811">
        <v>7.64</v>
      </c>
      <c r="F294" s="45">
        <v>0</v>
      </c>
      <c r="G294" s="44">
        <f t="shared" si="4"/>
        <v>7.64</v>
      </c>
      <c r="H294" s="11" t="s">
        <v>352</v>
      </c>
      <c r="I294" s="43" t="s">
        <v>388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4" t="e">
        <f>LEFT(base[[#This Row],[Evento / Mercado]],FIND("/",base[[#This Row],[Evento / Mercado]])-2)</f>
        <v>#VALUE!</v>
      </c>
      <c r="T294" s="1420">
        <f>base[[#This Row],[Data de liquidação]]</f>
        <v>46021.800370370373</v>
      </c>
    </row>
    <row r="295" spans="2:22" ht="15" customHeight="1">
      <c r="B295" s="718" t="s">
        <v>387</v>
      </c>
      <c r="C295" s="911" t="s">
        <v>3556</v>
      </c>
      <c r="D295" s="1280">
        <v>46021.800370370373</v>
      </c>
      <c r="E295" s="811">
        <v>-20</v>
      </c>
      <c r="F295" s="45">
        <v>0</v>
      </c>
      <c r="G295" s="44">
        <f t="shared" si="4"/>
        <v>-20</v>
      </c>
      <c r="H295" s="11" t="s">
        <v>352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4" t="e">
        <f>LEFT(base[[#This Row],[Evento / Mercado]],FIND("/",base[[#This Row],[Evento / Mercado]])-2)</f>
        <v>#VALUE!</v>
      </c>
      <c r="T295" s="1420">
        <f>base[[#This Row],[Data de liquidação]]</f>
        <v>46021.800370370373</v>
      </c>
    </row>
    <row r="296" spans="2:22" ht="15" customHeight="1">
      <c r="B296" s="718" t="s">
        <v>387</v>
      </c>
      <c r="C296" s="911" t="s">
        <v>3556</v>
      </c>
      <c r="D296" s="1280">
        <v>46021.800370370373</v>
      </c>
      <c r="E296" s="811">
        <v>4.01</v>
      </c>
      <c r="F296" s="45">
        <v>0</v>
      </c>
      <c r="G296" s="44">
        <f t="shared" si="4"/>
        <v>4.01</v>
      </c>
      <c r="H296" s="11" t="s">
        <v>352</v>
      </c>
      <c r="I296" s="43" t="s">
        <v>389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4" t="e">
        <f>LEFT(base[[#This Row],[Evento / Mercado]],FIND("/",base[[#This Row],[Evento / Mercado]])-2)</f>
        <v>#VALUE!</v>
      </c>
      <c r="T296" s="1420">
        <f>base[[#This Row],[Data de liquidação]]</f>
        <v>46021.800370370373</v>
      </c>
    </row>
    <row r="297" spans="2:22" ht="15" customHeight="1">
      <c r="B297" s="719" t="s">
        <v>431</v>
      </c>
      <c r="C297" s="911" t="s">
        <v>3556</v>
      </c>
      <c r="D297" s="1282">
        <v>46023.577719907407</v>
      </c>
      <c r="E297" s="812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4" t="e">
        <f>LEFT(base[[#This Row],[Evento / Mercado]],FIND("/",base[[#This Row],[Evento / Mercado]])-2)</f>
        <v>#VALUE!</v>
      </c>
      <c r="T297" s="142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719" t="s">
        <v>431</v>
      </c>
      <c r="C298" s="911" t="s">
        <v>3556</v>
      </c>
      <c r="D298" s="1282">
        <v>46023.577719907407</v>
      </c>
      <c r="E298" s="812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4" t="e">
        <f>LEFT(base[[#This Row],[Evento / Mercado]],FIND("/",base[[#This Row],[Evento / Mercado]])-2)</f>
        <v>#VALUE!</v>
      </c>
      <c r="T298" s="142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719" t="s">
        <v>430</v>
      </c>
      <c r="C299" s="911" t="s">
        <v>3556</v>
      </c>
      <c r="D299" s="1282">
        <v>46023.577951388892</v>
      </c>
      <c r="E299" s="812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4" t="e">
        <f>LEFT(base[[#This Row],[Evento / Mercado]],FIND("/",base[[#This Row],[Evento / Mercado]])-2)</f>
        <v>#VALUE!</v>
      </c>
      <c r="T299" s="1420">
        <f>base[[#This Row],[Data de liquidação]]</f>
        <v>46023.577951388892</v>
      </c>
    </row>
    <row r="300" spans="2:22" ht="15" customHeight="1">
      <c r="B300" s="719" t="s">
        <v>429</v>
      </c>
      <c r="C300" s="911" t="s">
        <v>3556</v>
      </c>
      <c r="D300" s="1282">
        <v>46023.58017361111</v>
      </c>
      <c r="E300" s="812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4" t="e">
        <f>LEFT(base[[#This Row],[Evento / Mercado]],FIND("/",base[[#This Row],[Evento / Mercado]])-2)</f>
        <v>#VALUE!</v>
      </c>
      <c r="T300" s="1420">
        <f>base[[#This Row],[Data de liquidação]]</f>
        <v>46023.58017361111</v>
      </c>
    </row>
    <row r="301" spans="2:22" ht="15" customHeight="1">
      <c r="B301" s="719" t="s">
        <v>428</v>
      </c>
      <c r="C301" s="911" t="s">
        <v>3556</v>
      </c>
      <c r="D301" s="1282">
        <v>46023.580358796295</v>
      </c>
      <c r="E301" s="812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9" t="s">
        <v>75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1206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4" t="e">
        <f>LEFT(base[[#This Row],[Evento / Mercado]],FIND("/",base[[#This Row],[Evento / Mercado]])-2)</f>
        <v>#VALUE!</v>
      </c>
      <c r="T301" s="1420">
        <f>base[[#This Row],[Data de liquidação]]</f>
        <v>46023.580358796295</v>
      </c>
    </row>
    <row r="302" spans="2:22" ht="15" customHeight="1">
      <c r="B302" s="719" t="s">
        <v>427</v>
      </c>
      <c r="C302" s="911" t="s">
        <v>3556</v>
      </c>
      <c r="D302" s="1282">
        <v>46023.684016203704</v>
      </c>
      <c r="E302" s="812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4" t="e">
        <f>LEFT(base[[#This Row],[Evento / Mercado]],FIND("/",base[[#This Row],[Evento / Mercado]])-2)</f>
        <v>#VALUE!</v>
      </c>
      <c r="T302" s="1420">
        <f>base[[#This Row],[Data de liquidação]]</f>
        <v>46023.684016203704</v>
      </c>
    </row>
    <row r="303" spans="2:22" ht="15" customHeight="1">
      <c r="B303" s="719" t="s">
        <v>427</v>
      </c>
      <c r="C303" s="911" t="s">
        <v>3556</v>
      </c>
      <c r="D303" s="1282">
        <v>46023.684016203704</v>
      </c>
      <c r="E303" s="812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9" t="s">
        <v>75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1201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4" t="e">
        <f>LEFT(base[[#This Row],[Evento / Mercado]],FIND("/",base[[#This Row],[Evento / Mercado]])-2)</f>
        <v>#VALUE!</v>
      </c>
      <c r="T303" s="1420">
        <f>base[[#This Row],[Data de liquidação]]</f>
        <v>46023.684016203704</v>
      </c>
    </row>
    <row r="304" spans="2:22" ht="15" customHeight="1">
      <c r="B304" s="719" t="s">
        <v>426</v>
      </c>
      <c r="C304" s="911" t="s">
        <v>3556</v>
      </c>
      <c r="D304" s="1282">
        <v>46023.786423611113</v>
      </c>
      <c r="E304" s="812">
        <v>-100</v>
      </c>
      <c r="F304" s="12">
        <v>4.4999999999999998E-2</v>
      </c>
      <c r="G304" s="62">
        <f t="shared" si="4"/>
        <v>-100</v>
      </c>
      <c r="H304" s="11" t="s">
        <v>74</v>
      </c>
      <c r="I304" s="9" t="s">
        <v>75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1201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4" t="e">
        <f>LEFT(base[[#This Row],[Evento / Mercado]],FIND("/",base[[#This Row],[Evento / Mercado]])-2)</f>
        <v>#VALUE!</v>
      </c>
      <c r="T304" s="1420">
        <f>base[[#This Row],[Data de liquidação]]</f>
        <v>46023.786423611113</v>
      </c>
    </row>
    <row r="305" spans="2:22" ht="15" customHeight="1">
      <c r="B305" s="719" t="s">
        <v>425</v>
      </c>
      <c r="C305" s="911" t="s">
        <v>3556</v>
      </c>
      <c r="D305" s="1282">
        <v>46023.788773148146</v>
      </c>
      <c r="E305" s="812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4" t="e">
        <f>LEFT(base[[#This Row],[Evento / Mercado]],FIND("/",base[[#This Row],[Evento / Mercado]])-2)</f>
        <v>#VALUE!</v>
      </c>
      <c r="T305" s="1420">
        <f>base[[#This Row],[Data de liquidação]]</f>
        <v>46023.788773148146</v>
      </c>
    </row>
    <row r="306" spans="2:22" ht="15" customHeight="1">
      <c r="B306" s="719" t="s">
        <v>425</v>
      </c>
      <c r="C306" s="911" t="s">
        <v>3556</v>
      </c>
      <c r="D306" s="1282">
        <v>46023.788773148146</v>
      </c>
      <c r="E306" s="812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9" t="s">
        <v>75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1201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4" t="e">
        <f>LEFT(base[[#This Row],[Evento / Mercado]],FIND("/",base[[#This Row],[Evento / Mercado]])-2)</f>
        <v>#VALUE!</v>
      </c>
      <c r="T306" s="1420">
        <f>base[[#This Row],[Data de liquidação]]</f>
        <v>46023.788773148146</v>
      </c>
    </row>
    <row r="307" spans="2:22" ht="15" customHeight="1">
      <c r="B307" s="719" t="s">
        <v>424</v>
      </c>
      <c r="C307" s="911" t="s">
        <v>3556</v>
      </c>
      <c r="D307" s="1282">
        <v>46024.739131944443</v>
      </c>
      <c r="E307" s="812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9" t="s">
        <v>75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1203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4" t="e">
        <f>LEFT(base[[#This Row],[Evento / Mercado]],FIND("/",base[[#This Row],[Evento / Mercado]])-2)</f>
        <v>#VALUE!</v>
      </c>
      <c r="T307" s="1420">
        <f>base[[#This Row],[Data de liquidação]]</f>
        <v>46024.739131944443</v>
      </c>
    </row>
    <row r="308" spans="2:22" ht="15" customHeight="1">
      <c r="B308" s="719" t="s">
        <v>423</v>
      </c>
      <c r="C308" s="911" t="s">
        <v>3556</v>
      </c>
      <c r="D308" s="1282">
        <v>46024.777650462966</v>
      </c>
      <c r="E308" s="812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9" t="s">
        <v>75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1207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4" t="e">
        <f>LEFT(base[[#This Row],[Evento / Mercado]],FIND("/",base[[#This Row],[Evento / Mercado]])-2)</f>
        <v>#VALUE!</v>
      </c>
      <c r="T308" s="1420">
        <f>base[[#This Row],[Data de liquidação]]</f>
        <v>46024.777650462966</v>
      </c>
    </row>
    <row r="309" spans="2:22" ht="15" customHeight="1">
      <c r="B309" s="719" t="s">
        <v>422</v>
      </c>
      <c r="C309" s="911" t="s">
        <v>3556</v>
      </c>
      <c r="D309" s="1282">
        <v>46025.445925925924</v>
      </c>
      <c r="E309" s="812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4" t="e">
        <f>LEFT(base[[#This Row],[Evento / Mercado]],FIND("/",base[[#This Row],[Evento / Mercado]])-2)</f>
        <v>#VALUE!</v>
      </c>
      <c r="T309" s="1420">
        <f>base[[#This Row],[Data de liquidação]]</f>
        <v>46025.445925925924</v>
      </c>
    </row>
    <row r="310" spans="2:22" ht="15" customHeight="1">
      <c r="B310" s="719" t="s">
        <v>421</v>
      </c>
      <c r="C310" s="911" t="s">
        <v>3556</v>
      </c>
      <c r="D310" s="1282">
        <v>46025.451261574075</v>
      </c>
      <c r="E310" s="812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4" t="e">
        <f>LEFT(base[[#This Row],[Evento / Mercado]],FIND("/",base[[#This Row],[Evento / Mercado]])-2)</f>
        <v>#VALUE!</v>
      </c>
      <c r="T310" s="1420">
        <f>base[[#This Row],[Data de liquidação]]</f>
        <v>46025.451261574075</v>
      </c>
    </row>
    <row r="311" spans="2:22" ht="15" customHeight="1">
      <c r="B311" s="719" t="s">
        <v>421</v>
      </c>
      <c r="C311" s="911" t="s">
        <v>3556</v>
      </c>
      <c r="D311" s="1282">
        <v>46025.475960648146</v>
      </c>
      <c r="E311" s="812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9" t="s">
        <v>75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1201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4" t="e">
        <f>LEFT(base[[#This Row],[Evento / Mercado]],FIND("/",base[[#This Row],[Evento / Mercado]])-2)</f>
        <v>#VALUE!</v>
      </c>
      <c r="T311" s="142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719" t="s">
        <v>421</v>
      </c>
      <c r="C312" s="911" t="s">
        <v>3556</v>
      </c>
      <c r="D312" s="1282">
        <v>46025.475960648146</v>
      </c>
      <c r="E312" s="812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627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1201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4" t="e">
        <f>LEFT(base[[#This Row],[Evento / Mercado]],FIND("/",base[[#This Row],[Evento / Mercado]])-2)</f>
        <v>#VALUE!</v>
      </c>
      <c r="T312" s="142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719" t="s">
        <v>420</v>
      </c>
      <c r="C313" s="911" t="s">
        <v>3556</v>
      </c>
      <c r="D313" s="1282">
        <v>46025.663912037038</v>
      </c>
      <c r="E313" s="812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4" t="e">
        <f>LEFT(base[[#This Row],[Evento / Mercado]],FIND("/",base[[#This Row],[Evento / Mercado]])-2)</f>
        <v>#VALUE!</v>
      </c>
      <c r="T313" s="1420">
        <f>base[[#This Row],[Data de liquidação]]</f>
        <v>46025.663912037038</v>
      </c>
    </row>
    <row r="314" spans="2:22" ht="15" customHeight="1">
      <c r="B314" s="719" t="s">
        <v>419</v>
      </c>
      <c r="C314" s="911" t="s">
        <v>3556</v>
      </c>
      <c r="D314" s="1282">
        <v>46025.676030092596</v>
      </c>
      <c r="E314" s="812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4" t="e">
        <f>LEFT(base[[#This Row],[Evento / Mercado]],FIND("/",base[[#This Row],[Evento / Mercado]])-2)</f>
        <v>#VALUE!</v>
      </c>
      <c r="T314" s="1420">
        <f>base[[#This Row],[Data de liquidação]]</f>
        <v>46025.676030092596</v>
      </c>
    </row>
    <row r="315" spans="2:22" ht="15" customHeight="1">
      <c r="B315" s="719" t="s">
        <v>418</v>
      </c>
      <c r="C315" s="911" t="s">
        <v>3556</v>
      </c>
      <c r="D315" s="1282">
        <v>46025.677743055552</v>
      </c>
      <c r="E315" s="812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4" t="e">
        <f>LEFT(base[[#This Row],[Evento / Mercado]],FIND("/",base[[#This Row],[Evento / Mercado]])-2)</f>
        <v>#VALUE!</v>
      </c>
      <c r="T315" s="1420">
        <f>base[[#This Row],[Data de liquidação]]</f>
        <v>46025.677743055552</v>
      </c>
    </row>
    <row r="316" spans="2:22" ht="15" customHeight="1">
      <c r="B316" s="719" t="s">
        <v>417</v>
      </c>
      <c r="C316" s="911" t="s">
        <v>3556</v>
      </c>
      <c r="D316" s="1282">
        <v>46025.789305555554</v>
      </c>
      <c r="E316" s="812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4" t="e">
        <f>LEFT(base[[#This Row],[Evento / Mercado]],FIND("/",base[[#This Row],[Evento / Mercado]])-2)</f>
        <v>#VALUE!</v>
      </c>
      <c r="T316" s="1420">
        <f>base[[#This Row],[Data de liquidação]]</f>
        <v>46025.789305555554</v>
      </c>
    </row>
    <row r="317" spans="2:22" ht="15" customHeight="1">
      <c r="B317" s="719" t="s">
        <v>416</v>
      </c>
      <c r="C317" s="911" t="s">
        <v>3556</v>
      </c>
      <c r="D317" s="1282">
        <v>46025.792094907411</v>
      </c>
      <c r="E317" s="812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628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1208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4" t="e">
        <f>LEFT(base[[#This Row],[Evento / Mercado]],FIND("/",base[[#This Row],[Evento / Mercado]])-2)</f>
        <v>#VALUE!</v>
      </c>
      <c r="T317" s="142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719" t="s">
        <v>416</v>
      </c>
      <c r="C318" s="911" t="s">
        <v>3556</v>
      </c>
      <c r="D318" s="1282">
        <v>46025.792094907411</v>
      </c>
      <c r="E318" s="812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4" t="e">
        <f>LEFT(base[[#This Row],[Evento / Mercado]],FIND("/",base[[#This Row],[Evento / Mercado]])-2)</f>
        <v>#VALUE!</v>
      </c>
      <c r="T318" s="142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719" t="s">
        <v>416</v>
      </c>
      <c r="C319" s="911" t="s">
        <v>3556</v>
      </c>
      <c r="D319" s="1282">
        <v>46025.792094907411</v>
      </c>
      <c r="E319" s="812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627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1208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4" t="e">
        <f>LEFT(base[[#This Row],[Evento / Mercado]],FIND("/",base[[#This Row],[Evento / Mercado]])-2)</f>
        <v>#VALUE!</v>
      </c>
      <c r="T319" s="142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719" t="s">
        <v>416</v>
      </c>
      <c r="C320" s="911" t="s">
        <v>3556</v>
      </c>
      <c r="D320" s="1282">
        <v>46025.792199074072</v>
      </c>
      <c r="E320" s="812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4" t="e">
        <f>LEFT(base[[#This Row],[Evento / Mercado]],FIND("/",base[[#This Row],[Evento / Mercado]])-2)</f>
        <v>#VALUE!</v>
      </c>
      <c r="T320" s="1420">
        <f>base[[#This Row],[Data de liquidação]]</f>
        <v>46025.792199074072</v>
      </c>
    </row>
    <row r="321" spans="2:22" ht="15" customHeight="1">
      <c r="B321" s="720" t="s">
        <v>445</v>
      </c>
      <c r="C321" s="911" t="s">
        <v>3556</v>
      </c>
      <c r="D321" s="1283">
        <v>46026.473611111112</v>
      </c>
      <c r="E321" s="813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4" t="e">
        <f>LEFT(base[[#This Row],[Evento / Mercado]],FIND("/",base[[#This Row],[Evento / Mercado]])-2)</f>
        <v>#VALUE!</v>
      </c>
      <c r="T321" s="1420">
        <f>base[[#This Row],[Data de liquidação]]</f>
        <v>46026.473611111112</v>
      </c>
    </row>
    <row r="322" spans="2:22" ht="15" customHeight="1">
      <c r="B322" s="720" t="s">
        <v>444</v>
      </c>
      <c r="C322" s="911" t="s">
        <v>3556</v>
      </c>
      <c r="D322" s="1283">
        <v>46026.541759259257</v>
      </c>
      <c r="E322" s="813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4" t="e">
        <f>LEFT(base[[#This Row],[Evento / Mercado]],FIND("/",base[[#This Row],[Evento / Mercado]])-2)</f>
        <v>#VALUE!</v>
      </c>
      <c r="T322" s="1420">
        <f>base[[#This Row],[Data de liquidação]]</f>
        <v>46026.541759259257</v>
      </c>
    </row>
    <row r="323" spans="2:22" ht="15" customHeight="1">
      <c r="B323" s="720" t="s">
        <v>443</v>
      </c>
      <c r="C323" s="911" t="s">
        <v>3556</v>
      </c>
      <c r="D323" s="1283">
        <v>46026.54310185185</v>
      </c>
      <c r="E323" s="813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4" t="e">
        <f>LEFT(base[[#This Row],[Evento / Mercado]],FIND("/",base[[#This Row],[Evento / Mercado]])-2)</f>
        <v>#VALUE!</v>
      </c>
      <c r="T323" s="142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720" t="s">
        <v>443</v>
      </c>
      <c r="C324" s="911" t="s">
        <v>3556</v>
      </c>
      <c r="D324" s="1283">
        <v>46026.54310185185</v>
      </c>
      <c r="E324" s="813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4" t="e">
        <f>LEFT(base[[#This Row],[Evento / Mercado]],FIND("/",base[[#This Row],[Evento / Mercado]])-2)</f>
        <v>#VALUE!</v>
      </c>
      <c r="T324" s="142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720" t="s">
        <v>442</v>
      </c>
      <c r="C325" s="911" t="s">
        <v>3556</v>
      </c>
      <c r="D325" s="1283">
        <v>46026.579351851855</v>
      </c>
      <c r="E325" s="813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4" t="e">
        <f>LEFT(base[[#This Row],[Evento / Mercado]],FIND("/",base[[#This Row],[Evento / Mercado]])-2)</f>
        <v>#VALUE!</v>
      </c>
      <c r="T325" s="1420">
        <f>base[[#This Row],[Data de liquidação]]</f>
        <v>46026.579351851855</v>
      </c>
    </row>
    <row r="326" spans="2:22" ht="15" customHeight="1">
      <c r="B326" s="720" t="s">
        <v>441</v>
      </c>
      <c r="C326" s="911" t="s">
        <v>3556</v>
      </c>
      <c r="D326" s="1283">
        <v>46026.580659722225</v>
      </c>
      <c r="E326" s="813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4" t="e">
        <f>LEFT(base[[#This Row],[Evento / Mercado]],FIND("/",base[[#This Row],[Evento / Mercado]])-2)</f>
        <v>#VALUE!</v>
      </c>
      <c r="T326" s="1420">
        <f>base[[#This Row],[Data de liquidação]]</f>
        <v>46026.580659722225</v>
      </c>
    </row>
    <row r="327" spans="2:22" ht="15" customHeight="1">
      <c r="B327" s="720" t="s">
        <v>440</v>
      </c>
      <c r="C327" s="911" t="s">
        <v>3556</v>
      </c>
      <c r="D327" s="1283">
        <v>46026.581157407411</v>
      </c>
      <c r="E327" s="813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4" t="e">
        <f>LEFT(base[[#This Row],[Evento / Mercado]],FIND("/",base[[#This Row],[Evento / Mercado]])-2)</f>
        <v>#VALUE!</v>
      </c>
      <c r="T327" s="142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720" t="s">
        <v>440</v>
      </c>
      <c r="C328" s="911" t="s">
        <v>3556</v>
      </c>
      <c r="D328" s="1283">
        <v>46026.581157407411</v>
      </c>
      <c r="E328" s="813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4" t="e">
        <f>LEFT(base[[#This Row],[Evento / Mercado]],FIND("/",base[[#This Row],[Evento / Mercado]])-2)</f>
        <v>#VALUE!</v>
      </c>
      <c r="T328" s="142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720" t="s">
        <v>440</v>
      </c>
      <c r="C329" s="911" t="s">
        <v>3556</v>
      </c>
      <c r="D329" s="1283">
        <v>46026.581319444442</v>
      </c>
      <c r="E329" s="813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4" t="e">
        <f>LEFT(base[[#This Row],[Evento / Mercado]],FIND("/",base[[#This Row],[Evento / Mercado]])-2)</f>
        <v>#VALUE!</v>
      </c>
      <c r="T329" s="1420">
        <f>base[[#This Row],[Data de liquidação]]</f>
        <v>46026.581319444442</v>
      </c>
    </row>
    <row r="330" spans="2:22" ht="15" customHeight="1">
      <c r="B330" s="720" t="s">
        <v>439</v>
      </c>
      <c r="C330" s="911" t="s">
        <v>3556</v>
      </c>
      <c r="D330" s="1283">
        <v>46026.591053240743</v>
      </c>
      <c r="E330" s="813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4" t="e">
        <f>LEFT(base[[#This Row],[Evento / Mercado]],FIND("/",base[[#This Row],[Evento / Mercado]])-2)</f>
        <v>#VALUE!</v>
      </c>
      <c r="T330" s="1420">
        <f>base[[#This Row],[Data de liquidação]]</f>
        <v>46026.591053240743</v>
      </c>
    </row>
    <row r="331" spans="2:22" ht="15" customHeight="1">
      <c r="B331" s="720" t="s">
        <v>438</v>
      </c>
      <c r="C331" s="911" t="s">
        <v>3556</v>
      </c>
      <c r="D331" s="1283">
        <v>46026.592870370368</v>
      </c>
      <c r="E331" s="813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694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1201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4" t="e">
        <f>LEFT(base[[#This Row],[Evento / Mercado]],FIND("/",base[[#This Row],[Evento / Mercado]])-2)</f>
        <v>#VALUE!</v>
      </c>
      <c r="T331" s="142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720" t="s">
        <v>438</v>
      </c>
      <c r="C332" s="911" t="s">
        <v>3556</v>
      </c>
      <c r="D332" s="1283">
        <v>46026.592870370368</v>
      </c>
      <c r="E332" s="813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64" t="s">
        <v>75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1201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4" t="e">
        <f>LEFT(base[[#This Row],[Evento / Mercado]],FIND("/",base[[#This Row],[Evento / Mercado]])-2)</f>
        <v>#VALUE!</v>
      </c>
      <c r="T332" s="142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720" t="s">
        <v>437</v>
      </c>
      <c r="C333" s="911" t="s">
        <v>3556</v>
      </c>
      <c r="D333" s="1283">
        <v>46026.631145833337</v>
      </c>
      <c r="E333" s="813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4" t="e">
        <f>LEFT(base[[#This Row],[Evento / Mercado]],FIND("/",base[[#This Row],[Evento / Mercado]])-2)</f>
        <v>#VALUE!</v>
      </c>
      <c r="T333" s="1420">
        <f>base[[#This Row],[Data de liquidação]]</f>
        <v>46026.631145833337</v>
      </c>
    </row>
    <row r="334" spans="2:22" ht="15" customHeight="1">
      <c r="B334" s="720" t="s">
        <v>436</v>
      </c>
      <c r="C334" s="911" t="s">
        <v>3556</v>
      </c>
      <c r="D334" s="1283">
        <v>46026.631226851852</v>
      </c>
      <c r="E334" s="813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4" t="e">
        <f>LEFT(base[[#This Row],[Evento / Mercado]],FIND("/",base[[#This Row],[Evento / Mercado]])-2)</f>
        <v>#VALUE!</v>
      </c>
      <c r="T334" s="1420">
        <f>base[[#This Row],[Data de liquidação]]</f>
        <v>46026.631226851852</v>
      </c>
    </row>
    <row r="335" spans="2:22" ht="15" customHeight="1">
      <c r="B335" s="720" t="s">
        <v>435</v>
      </c>
      <c r="C335" s="911" t="s">
        <v>3556</v>
      </c>
      <c r="D335" s="1283">
        <v>46026.687418981484</v>
      </c>
      <c r="E335" s="813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628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1201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4" t="e">
        <f>LEFT(base[[#This Row],[Evento / Mercado]],FIND("/",base[[#This Row],[Evento / Mercado]])-2)</f>
        <v>#VALUE!</v>
      </c>
      <c r="T335" s="142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720" t="s">
        <v>435</v>
      </c>
      <c r="C336" s="911" t="s">
        <v>3556</v>
      </c>
      <c r="D336" s="1283">
        <v>46026.687418981484</v>
      </c>
      <c r="E336" s="813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4" t="e">
        <f>LEFT(base[[#This Row],[Evento / Mercado]],FIND("/",base[[#This Row],[Evento / Mercado]])-2)</f>
        <v>#VALUE!</v>
      </c>
      <c r="T336" s="142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720" t="s">
        <v>432</v>
      </c>
      <c r="C337" s="911" t="s">
        <v>3556</v>
      </c>
      <c r="D337" s="1283">
        <v>46026.762719907405</v>
      </c>
      <c r="E337" s="813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4" t="e">
        <f>LEFT(base[[#This Row],[Evento / Mercado]],FIND("/",base[[#This Row],[Evento / Mercado]])-2)</f>
        <v>#VALUE!</v>
      </c>
      <c r="T337" s="1420">
        <f>base[[#This Row],[Data de liquidação]]</f>
        <v>46026.762719907405</v>
      </c>
    </row>
    <row r="338" spans="2:22" ht="15" customHeight="1">
      <c r="B338" s="720" t="s">
        <v>434</v>
      </c>
      <c r="C338" s="911" t="s">
        <v>3556</v>
      </c>
      <c r="D338" s="1283">
        <v>46026.780011574076</v>
      </c>
      <c r="E338" s="813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628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1208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4" t="e">
        <f>LEFT(base[[#This Row],[Evento / Mercado]],FIND("/",base[[#This Row],[Evento / Mercado]])-2)</f>
        <v>#VALUE!</v>
      </c>
      <c r="T338" s="1420">
        <f>base[[#This Row],[Data de liquidação]]</f>
        <v>46026.780011574076</v>
      </c>
    </row>
    <row r="339" spans="2:22" ht="15" customHeight="1">
      <c r="B339" s="720" t="s">
        <v>433</v>
      </c>
      <c r="C339" s="911" t="s">
        <v>3556</v>
      </c>
      <c r="D339" s="1283">
        <v>46026.780138888891</v>
      </c>
      <c r="E339" s="813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627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1207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4" t="e">
        <f>LEFT(base[[#This Row],[Evento / Mercado]],FIND("/",base[[#This Row],[Evento / Mercado]])-2)</f>
        <v>#VALUE!</v>
      </c>
      <c r="T339" s="1420">
        <f>base[[#This Row],[Data de liquidação]]</f>
        <v>46026.780138888891</v>
      </c>
    </row>
    <row r="340" spans="2:22" ht="15" customHeight="1">
      <c r="B340" s="720" t="s">
        <v>432</v>
      </c>
      <c r="C340" s="911" t="s">
        <v>3556</v>
      </c>
      <c r="D340" s="1283">
        <v>46026.789004629631</v>
      </c>
      <c r="E340" s="813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64" t="s">
        <v>75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1202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4" t="e">
        <f>LEFT(base[[#This Row],[Evento / Mercado]],FIND("/",base[[#This Row],[Evento / Mercado]])-2)</f>
        <v>#VALUE!</v>
      </c>
      <c r="T340" s="142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720" t="s">
        <v>432</v>
      </c>
      <c r="C341" s="911" t="s">
        <v>3556</v>
      </c>
      <c r="D341" s="1283">
        <v>46026.789004629631</v>
      </c>
      <c r="E341" s="813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694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1202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4" t="e">
        <f>LEFT(base[[#This Row],[Evento / Mercado]],FIND("/",base[[#This Row],[Evento / Mercado]])-2)</f>
        <v>#VALUE!</v>
      </c>
      <c r="T341" s="142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721" t="s">
        <v>451</v>
      </c>
      <c r="C342" s="911" t="s">
        <v>3556</v>
      </c>
      <c r="D342" s="1284">
        <v>46027.623715277776</v>
      </c>
      <c r="E342" s="814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4" t="e">
        <f>LEFT(base[[#This Row],[Evento / Mercado]],FIND("/",base[[#This Row],[Evento / Mercado]])-2)</f>
        <v>#VALUE!</v>
      </c>
      <c r="T342" s="1420">
        <f>base[[#This Row],[Data de liquidação]]</f>
        <v>46027.623715277776</v>
      </c>
    </row>
    <row r="343" spans="2:22" ht="15" customHeight="1">
      <c r="B343" s="721" t="s">
        <v>450</v>
      </c>
      <c r="C343" s="911" t="s">
        <v>3556</v>
      </c>
      <c r="D343" s="1284">
        <v>46027.661053240743</v>
      </c>
      <c r="E343" s="814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4" t="e">
        <f>LEFT(base[[#This Row],[Evento / Mercado]],FIND("/",base[[#This Row],[Evento / Mercado]])-2)</f>
        <v>#VALUE!</v>
      </c>
      <c r="T343" s="1420">
        <f>base[[#This Row],[Data de liquidação]]</f>
        <v>46027.661053240743</v>
      </c>
    </row>
    <row r="344" spans="2:22" ht="15" customHeight="1">
      <c r="B344" s="721" t="s">
        <v>449</v>
      </c>
      <c r="C344" s="911" t="s">
        <v>3556</v>
      </c>
      <c r="D344" s="1284">
        <v>46027.686423611114</v>
      </c>
      <c r="E344" s="814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4" t="e">
        <f>LEFT(base[[#This Row],[Evento / Mercado]],FIND("/",base[[#This Row],[Evento / Mercado]])-2)</f>
        <v>#VALUE!</v>
      </c>
      <c r="T344" s="1420">
        <f>base[[#This Row],[Data de liquidação]]</f>
        <v>46027.686423611114</v>
      </c>
    </row>
    <row r="345" spans="2:22" ht="15" customHeight="1">
      <c r="B345" s="721" t="s">
        <v>448</v>
      </c>
      <c r="C345" s="911" t="s">
        <v>3556</v>
      </c>
      <c r="D345" s="1284">
        <v>46027.748518518521</v>
      </c>
      <c r="E345" s="814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4" t="e">
        <f>LEFT(base[[#This Row],[Evento / Mercado]],FIND("/",base[[#This Row],[Evento / Mercado]])-2)</f>
        <v>#VALUE!</v>
      </c>
      <c r="T345" s="1420">
        <f>base[[#This Row],[Data de liquidação]]</f>
        <v>46027.748518518521</v>
      </c>
    </row>
    <row r="346" spans="2:22" ht="15" customHeight="1">
      <c r="B346" s="721" t="s">
        <v>447</v>
      </c>
      <c r="C346" s="911" t="s">
        <v>3556</v>
      </c>
      <c r="D346" s="1284">
        <v>46027.775011574071</v>
      </c>
      <c r="E346" s="814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4" t="e">
        <f>LEFT(base[[#This Row],[Evento / Mercado]],FIND("/",base[[#This Row],[Evento / Mercado]])-2)</f>
        <v>#VALUE!</v>
      </c>
      <c r="T346" s="1420">
        <f>base[[#This Row],[Data de liquidação]]</f>
        <v>46027.775011574071</v>
      </c>
    </row>
    <row r="347" spans="2:22" ht="15" customHeight="1">
      <c r="B347" s="721" t="s">
        <v>446</v>
      </c>
      <c r="C347" s="911" t="s">
        <v>3556</v>
      </c>
      <c r="D347" s="1284">
        <v>46027.775208333333</v>
      </c>
      <c r="E347" s="814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4" t="e">
        <f>LEFT(base[[#This Row],[Evento / Mercado]],FIND("/",base[[#This Row],[Evento / Mercado]])-2)</f>
        <v>#VALUE!</v>
      </c>
      <c r="T347" s="142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721" t="s">
        <v>446</v>
      </c>
      <c r="C348" s="911" t="s">
        <v>3556</v>
      </c>
      <c r="D348" s="1284">
        <v>46027.775208333333</v>
      </c>
      <c r="E348" s="814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4" t="e">
        <f>LEFT(base[[#This Row],[Evento / Mercado]],FIND("/",base[[#This Row],[Evento / Mercado]])-2)</f>
        <v>#VALUE!</v>
      </c>
      <c r="T348" s="142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722" t="s">
        <v>458</v>
      </c>
      <c r="C349" s="911" t="s">
        <v>3556</v>
      </c>
      <c r="D349" s="1285">
        <v>46028.747129629628</v>
      </c>
      <c r="E349" s="815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4" t="e">
        <f>LEFT(base[[#This Row],[Evento / Mercado]],FIND("/",base[[#This Row],[Evento / Mercado]])-2)</f>
        <v>#VALUE!</v>
      </c>
      <c r="T349" s="1420">
        <f>base[[#This Row],[Data de liquidação]]</f>
        <v>46028.747129629628</v>
      </c>
    </row>
    <row r="350" spans="2:22" ht="15" customHeight="1">
      <c r="B350" s="722" t="s">
        <v>457</v>
      </c>
      <c r="C350" s="911" t="s">
        <v>3556</v>
      </c>
      <c r="D350" s="1285">
        <v>46028.776909722219</v>
      </c>
      <c r="E350" s="815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4" t="e">
        <f>LEFT(base[[#This Row],[Evento / Mercado]],FIND("/",base[[#This Row],[Evento / Mercado]])-2)</f>
        <v>#VALUE!</v>
      </c>
      <c r="T350" s="1420">
        <f>base[[#This Row],[Data de liquidação]]</f>
        <v>46028.776909722219</v>
      </c>
    </row>
    <row r="351" spans="2:22" ht="15" customHeight="1">
      <c r="B351" s="722" t="s">
        <v>456</v>
      </c>
      <c r="C351" s="911" t="s">
        <v>3556</v>
      </c>
      <c r="D351" s="1285">
        <v>46028.788437499999</v>
      </c>
      <c r="E351" s="815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4" t="e">
        <f>LEFT(base[[#This Row],[Evento / Mercado]],FIND("/",base[[#This Row],[Evento / Mercado]])-2)</f>
        <v>#VALUE!</v>
      </c>
      <c r="T351" s="1420">
        <f>base[[#This Row],[Data de liquidação]]</f>
        <v>46028.788437499999</v>
      </c>
    </row>
    <row r="352" spans="2:22" ht="15" customHeight="1">
      <c r="B352" s="722" t="s">
        <v>455</v>
      </c>
      <c r="C352" s="911" t="s">
        <v>3556</v>
      </c>
      <c r="D352" s="1285">
        <v>46028.798657407409</v>
      </c>
      <c r="E352" s="815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4" t="e">
        <f>LEFT(base[[#This Row],[Evento / Mercado]],FIND("/",base[[#This Row],[Evento / Mercado]])-2)</f>
        <v>#VALUE!</v>
      </c>
      <c r="T352" s="1420">
        <f>base[[#This Row],[Data de liquidação]]</f>
        <v>46028.798657407409</v>
      </c>
    </row>
    <row r="353" spans="2:22" ht="15" customHeight="1">
      <c r="B353" s="723" t="s">
        <v>463</v>
      </c>
      <c r="C353" s="911" t="s">
        <v>3556</v>
      </c>
      <c r="D353" s="1286">
        <v>46029.682916666665</v>
      </c>
      <c r="E353" s="816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4" t="e">
        <f>LEFT(base[[#This Row],[Evento / Mercado]],FIND("/",base[[#This Row],[Evento / Mercado]])-2)</f>
        <v>#VALUE!</v>
      </c>
      <c r="T353" s="1420">
        <f>base[[#This Row],[Data de liquidação]]</f>
        <v>46029.682916666665</v>
      </c>
    </row>
    <row r="354" spans="2:22" ht="15" customHeight="1">
      <c r="B354" s="723" t="s">
        <v>463</v>
      </c>
      <c r="C354" s="911" t="s">
        <v>3556</v>
      </c>
      <c r="D354" s="1286">
        <v>46029.682974537034</v>
      </c>
      <c r="E354" s="816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4" t="e">
        <f>LEFT(base[[#This Row],[Evento / Mercado]],FIND("/",base[[#This Row],[Evento / Mercado]])-2)</f>
        <v>#VALUE!</v>
      </c>
      <c r="T354" s="1420">
        <f>base[[#This Row],[Data de liquidação]]</f>
        <v>46029.682974537034</v>
      </c>
    </row>
    <row r="355" spans="2:22" ht="15" customHeight="1">
      <c r="B355" s="723" t="s">
        <v>462</v>
      </c>
      <c r="C355" s="911" t="s">
        <v>3556</v>
      </c>
      <c r="D355" s="1286">
        <v>46029.687291666669</v>
      </c>
      <c r="E355" s="816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64" t="s">
        <v>75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1207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4" t="e">
        <f>LEFT(base[[#This Row],[Evento / Mercado]],FIND("/",base[[#This Row],[Evento / Mercado]])-2)</f>
        <v>#VALUE!</v>
      </c>
      <c r="T355" s="142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723" t="s">
        <v>462</v>
      </c>
      <c r="C356" s="911" t="s">
        <v>3556</v>
      </c>
      <c r="D356" s="1286">
        <v>46029.687291666669</v>
      </c>
      <c r="E356" s="816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627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1207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4" t="e">
        <f>LEFT(base[[#This Row],[Evento / Mercado]],FIND("/",base[[#This Row],[Evento / Mercado]])-2)</f>
        <v>#VALUE!</v>
      </c>
      <c r="T356" s="142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723" t="s">
        <v>462</v>
      </c>
      <c r="C357" s="911" t="s">
        <v>3556</v>
      </c>
      <c r="D357" s="1286">
        <v>46029.687361111108</v>
      </c>
      <c r="E357" s="816">
        <v>11.46</v>
      </c>
      <c r="F357" s="80">
        <v>4.4999999999999998E-2</v>
      </c>
      <c r="G357" s="101">
        <f t="shared" si="5"/>
        <v>12.000000000000002</v>
      </c>
      <c r="H357" s="101" t="s">
        <v>179</v>
      </c>
      <c r="I357" s="99" t="s">
        <v>391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1207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4" t="e">
        <f>LEFT(base[[#This Row],[Evento / Mercado]],FIND("/",base[[#This Row],[Evento / Mercado]])-2)</f>
        <v>#VALUE!</v>
      </c>
      <c r="T357" s="1420">
        <f>base[[#This Row],[Data de liquidação]]</f>
        <v>46029.687361111108</v>
      </c>
    </row>
    <row r="358" spans="2:22" ht="15" customHeight="1">
      <c r="B358" s="723" t="s">
        <v>459</v>
      </c>
      <c r="C358" s="911" t="s">
        <v>3556</v>
      </c>
      <c r="D358" s="1286">
        <v>46029.753668981481</v>
      </c>
      <c r="E358" s="816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4" t="e">
        <f>LEFT(base[[#This Row],[Evento / Mercado]],FIND("/",base[[#This Row],[Evento / Mercado]])-2)</f>
        <v>#VALUE!</v>
      </c>
      <c r="T358" s="1420">
        <f>base[[#This Row],[Data de liquidação]]</f>
        <v>46029.753668981481</v>
      </c>
    </row>
    <row r="359" spans="2:22" ht="15" customHeight="1">
      <c r="B359" s="723" t="s">
        <v>454</v>
      </c>
      <c r="C359" s="911" t="s">
        <v>3556</v>
      </c>
      <c r="D359" s="1286">
        <v>46029.754317129627</v>
      </c>
      <c r="E359" s="816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4" t="e">
        <f>LEFT(base[[#This Row],[Evento / Mercado]],FIND("/",base[[#This Row],[Evento / Mercado]])-2)</f>
        <v>#VALUE!</v>
      </c>
      <c r="T359" s="1420">
        <f>base[[#This Row],[Data de liquidação]]</f>
        <v>46029.754317129627</v>
      </c>
    </row>
    <row r="360" spans="2:22" ht="15" customHeight="1">
      <c r="B360" s="723" t="s">
        <v>461</v>
      </c>
      <c r="C360" s="911" t="s">
        <v>3556</v>
      </c>
      <c r="D360" s="1286">
        <v>46029.767789351848</v>
      </c>
      <c r="E360" s="816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628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1201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4" t="e">
        <f>LEFT(base[[#This Row],[Evento / Mercado]],FIND("/",base[[#This Row],[Evento / Mercado]])-2)</f>
        <v>#VALUE!</v>
      </c>
      <c r="T360" s="1420">
        <f>base[[#This Row],[Data de liquidação]]</f>
        <v>46029.767789351848</v>
      </c>
    </row>
    <row r="361" spans="2:22" ht="15" customHeight="1">
      <c r="B361" s="723" t="s">
        <v>461</v>
      </c>
      <c r="C361" s="911" t="s">
        <v>3556</v>
      </c>
      <c r="D361" s="1286">
        <v>46029.767939814818</v>
      </c>
      <c r="E361" s="816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392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1201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4" t="e">
        <f>LEFT(base[[#This Row],[Evento / Mercado]],FIND("/",base[[#This Row],[Evento / Mercado]])-2)</f>
        <v>#VALUE!</v>
      </c>
      <c r="T361" s="1420">
        <f>base[[#This Row],[Data de liquidação]]</f>
        <v>46029.767939814818</v>
      </c>
    </row>
    <row r="362" spans="2:22" ht="15" customHeight="1">
      <c r="B362" s="723" t="s">
        <v>454</v>
      </c>
      <c r="C362" s="911" t="s">
        <v>3556</v>
      </c>
      <c r="D362" s="1286">
        <v>46029.769884259258</v>
      </c>
      <c r="E362" s="816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64" t="s">
        <v>75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1201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4" t="e">
        <f>LEFT(base[[#This Row],[Evento / Mercado]],FIND("/",base[[#This Row],[Evento / Mercado]])-2)</f>
        <v>#VALUE!</v>
      </c>
      <c r="T362" s="142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723" t="s">
        <v>454</v>
      </c>
      <c r="C363" s="911" t="s">
        <v>3556</v>
      </c>
      <c r="D363" s="1286">
        <v>46029.769884259258</v>
      </c>
      <c r="E363" s="816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693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1201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4" t="e">
        <f>LEFT(base[[#This Row],[Evento / Mercado]],FIND("/",base[[#This Row],[Evento / Mercado]])-2)</f>
        <v>#VALUE!</v>
      </c>
      <c r="T363" s="142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723" t="s">
        <v>460</v>
      </c>
      <c r="C364" s="911" t="s">
        <v>3556</v>
      </c>
      <c r="D364" s="1286">
        <v>46029.780347222222</v>
      </c>
      <c r="E364" s="816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4" t="e">
        <f>LEFT(base[[#This Row],[Evento / Mercado]],FIND("/",base[[#This Row],[Evento / Mercado]])-2)</f>
        <v>#VALUE!</v>
      </c>
      <c r="T364" s="1420">
        <f>base[[#This Row],[Data de liquidação]]</f>
        <v>46029.780347222222</v>
      </c>
    </row>
    <row r="365" spans="2:22" ht="15" customHeight="1">
      <c r="B365" s="724" t="s">
        <v>497</v>
      </c>
      <c r="C365" s="911" t="s">
        <v>3556</v>
      </c>
      <c r="D365" s="1287">
        <v>46030.644583333335</v>
      </c>
      <c r="E365" s="817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4" t="e">
        <f>LEFT(base[[#This Row],[Evento / Mercado]],FIND("/",base[[#This Row],[Evento / Mercado]])-2)</f>
        <v>#VALUE!</v>
      </c>
      <c r="T365" s="1420">
        <f>base[[#This Row],[Data de liquidação]]</f>
        <v>46030.644583333335</v>
      </c>
    </row>
    <row r="366" spans="2:22" ht="15" customHeight="1">
      <c r="B366" s="724" t="s">
        <v>496</v>
      </c>
      <c r="C366" s="911" t="s">
        <v>3556</v>
      </c>
      <c r="D366" s="1287">
        <v>46030.688888888886</v>
      </c>
      <c r="E366" s="817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4" t="e">
        <f>LEFT(base[[#This Row],[Evento / Mercado]],FIND("/",base[[#This Row],[Evento / Mercado]])-2)</f>
        <v>#VALUE!</v>
      </c>
      <c r="T366" s="1420">
        <f>base[[#This Row],[Data de liquidação]]</f>
        <v>46030.688888888886</v>
      </c>
    </row>
    <row r="367" spans="2:22" ht="15" customHeight="1">
      <c r="B367" s="724" t="s">
        <v>496</v>
      </c>
      <c r="C367" s="911" t="s">
        <v>3556</v>
      </c>
      <c r="D367" s="1287">
        <v>46030.688993055555</v>
      </c>
      <c r="E367" s="817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4" t="e">
        <f>LEFT(base[[#This Row],[Evento / Mercado]],FIND("/",base[[#This Row],[Evento / Mercado]])-2)</f>
        <v>#VALUE!</v>
      </c>
      <c r="T367" s="1420">
        <f>base[[#This Row],[Data de liquidação]]</f>
        <v>46030.688993055555</v>
      </c>
    </row>
    <row r="368" spans="2:22" ht="15" customHeight="1">
      <c r="B368" s="724" t="s">
        <v>495</v>
      </c>
      <c r="C368" s="911" t="s">
        <v>3556</v>
      </c>
      <c r="D368" s="1287">
        <v>46030.704143518517</v>
      </c>
      <c r="E368" s="817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4" t="e">
        <f>LEFT(base[[#This Row],[Evento / Mercado]],FIND("/",base[[#This Row],[Evento / Mercado]])-2)</f>
        <v>#VALUE!</v>
      </c>
      <c r="T368" s="1420">
        <f>base[[#This Row],[Data de liquidação]]</f>
        <v>46030.704143518517</v>
      </c>
    </row>
    <row r="369" spans="2:22" ht="15" customHeight="1">
      <c r="B369" s="724" t="s">
        <v>493</v>
      </c>
      <c r="C369" s="911" t="s">
        <v>3556</v>
      </c>
      <c r="D369" s="1287">
        <v>46030.720520833333</v>
      </c>
      <c r="E369" s="817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498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4" t="e">
        <f>LEFT(base[[#This Row],[Evento / Mercado]],FIND("/",base[[#This Row],[Evento / Mercado]])-2)</f>
        <v>#VALUE!</v>
      </c>
      <c r="T369" s="1420">
        <f>base[[#This Row],[Data de liquidação]]</f>
        <v>46030.720520833333</v>
      </c>
    </row>
    <row r="370" spans="2:22" ht="15" customHeight="1">
      <c r="B370" s="724" t="s">
        <v>494</v>
      </c>
      <c r="C370" s="911" t="s">
        <v>3556</v>
      </c>
      <c r="D370" s="1287">
        <v>46030.722233796296</v>
      </c>
      <c r="E370" s="817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4" t="e">
        <f>LEFT(base[[#This Row],[Evento / Mercado]],FIND("/",base[[#This Row],[Evento / Mercado]])-2)</f>
        <v>#VALUE!</v>
      </c>
      <c r="T370" s="1420">
        <f>base[[#This Row],[Data de liquidação]]</f>
        <v>46030.722233796296</v>
      </c>
    </row>
    <row r="371" spans="2:22" ht="15" customHeight="1">
      <c r="B371" s="724" t="s">
        <v>493</v>
      </c>
      <c r="C371" s="911" t="s">
        <v>3556</v>
      </c>
      <c r="D371" s="1287">
        <v>46030.782812500001</v>
      </c>
      <c r="E371" s="817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4" t="e">
        <f>LEFT(base[[#This Row],[Evento / Mercado]],FIND("/",base[[#This Row],[Evento / Mercado]])-2)</f>
        <v>#VALUE!</v>
      </c>
      <c r="T371" s="142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724" t="s">
        <v>493</v>
      </c>
      <c r="C372" s="911" t="s">
        <v>3556</v>
      </c>
      <c r="D372" s="1287">
        <v>46030.782812500001</v>
      </c>
      <c r="E372" s="817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64" t="s">
        <v>75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1207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4" t="e">
        <f>LEFT(base[[#This Row],[Evento / Mercado]],FIND("/",base[[#This Row],[Evento / Mercado]])-2)</f>
        <v>#VALUE!</v>
      </c>
      <c r="T372" s="142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724" t="s">
        <v>493</v>
      </c>
      <c r="C373" s="911" t="s">
        <v>3556</v>
      </c>
      <c r="D373" s="1287">
        <v>46030.782812500001</v>
      </c>
      <c r="E373" s="817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627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1207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4" t="e">
        <f>LEFT(base[[#This Row],[Evento / Mercado]],FIND("/",base[[#This Row],[Evento / Mercado]])-2)</f>
        <v>#VALUE!</v>
      </c>
      <c r="T373" s="142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724" t="s">
        <v>493</v>
      </c>
      <c r="C374" s="911" t="s">
        <v>3556</v>
      </c>
      <c r="D374" s="1287">
        <v>46030.783020833333</v>
      </c>
      <c r="E374" s="817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4" t="e">
        <f>LEFT(base[[#This Row],[Evento / Mercado]],FIND("/",base[[#This Row],[Evento / Mercado]])-2)</f>
        <v>#VALUE!</v>
      </c>
      <c r="T374" s="1420">
        <f>base[[#This Row],[Data de liquidação]]</f>
        <v>46030.783020833333</v>
      </c>
    </row>
    <row r="375" spans="2:22" ht="15" customHeight="1">
      <c r="B375" s="724" t="s">
        <v>492</v>
      </c>
      <c r="C375" s="911" t="s">
        <v>3556</v>
      </c>
      <c r="D375" s="1287">
        <v>46030.788194444445</v>
      </c>
      <c r="E375" s="817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4" t="e">
        <f>LEFT(base[[#This Row],[Evento / Mercado]],FIND("/",base[[#This Row],[Evento / Mercado]])-2)</f>
        <v>#VALUE!</v>
      </c>
      <c r="T375" s="142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724" t="s">
        <v>492</v>
      </c>
      <c r="C376" s="911" t="s">
        <v>3556</v>
      </c>
      <c r="D376" s="1287">
        <v>46030.788194444445</v>
      </c>
      <c r="E376" s="817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627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1201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4" t="e">
        <f>LEFT(base[[#This Row],[Evento / Mercado]],FIND("/",base[[#This Row],[Evento / Mercado]])-2)</f>
        <v>#VALUE!</v>
      </c>
      <c r="T376" s="142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724" t="s">
        <v>492</v>
      </c>
      <c r="C377" s="911" t="s">
        <v>3556</v>
      </c>
      <c r="D377" s="1287">
        <v>46030.788194444445</v>
      </c>
      <c r="E377" s="817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04" t="s">
        <v>75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1201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4" t="e">
        <f>LEFT(base[[#This Row],[Evento / Mercado]],FIND("/",base[[#This Row],[Evento / Mercado]])-2)</f>
        <v>#VALUE!</v>
      </c>
      <c r="T377" s="142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724" t="s">
        <v>492</v>
      </c>
      <c r="C378" s="911" t="s">
        <v>3556</v>
      </c>
      <c r="D378" s="1287">
        <v>46030.788194444445</v>
      </c>
      <c r="E378" s="817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4" t="e">
        <f>LEFT(base[[#This Row],[Evento / Mercado]],FIND("/",base[[#This Row],[Evento / Mercado]])-2)</f>
        <v>#VALUE!</v>
      </c>
      <c r="T378" s="142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724" t="s">
        <v>492</v>
      </c>
      <c r="C379" s="911" t="s">
        <v>3556</v>
      </c>
      <c r="D379" s="1287">
        <v>46030.788414351853</v>
      </c>
      <c r="E379" s="817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4" t="e">
        <f>LEFT(base[[#This Row],[Evento / Mercado]],FIND("/",base[[#This Row],[Evento / Mercado]])-2)</f>
        <v>#VALUE!</v>
      </c>
      <c r="T379" s="1420">
        <f>base[[#This Row],[Data de liquidação]]</f>
        <v>46030.788414351853</v>
      </c>
    </row>
    <row r="380" spans="2:22" ht="15" customHeight="1">
      <c r="B380" s="724" t="s">
        <v>491</v>
      </c>
      <c r="C380" s="911" t="s">
        <v>3556</v>
      </c>
      <c r="D380" s="1287">
        <v>46031.768333333333</v>
      </c>
      <c r="E380" s="817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4" t="e">
        <f>LEFT(base[[#This Row],[Evento / Mercado]],FIND("/",base[[#This Row],[Evento / Mercado]])-2)</f>
        <v>#VALUE!</v>
      </c>
      <c r="T380" s="1420">
        <f>base[[#This Row],[Data de liquidação]]</f>
        <v>46031.768333333333</v>
      </c>
    </row>
    <row r="381" spans="2:22" ht="15" customHeight="1">
      <c r="B381" s="724" t="s">
        <v>490</v>
      </c>
      <c r="C381" s="911" t="s">
        <v>3556</v>
      </c>
      <c r="D381" s="1287">
        <v>46032.443206018521</v>
      </c>
      <c r="E381" s="817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4" t="e">
        <f>LEFT(base[[#This Row],[Evento / Mercado]],FIND("/",base[[#This Row],[Evento / Mercado]])-2)</f>
        <v>#VALUE!</v>
      </c>
      <c r="T381" s="1420">
        <f>base[[#This Row],[Data de liquidação]]</f>
        <v>46032.443206018521</v>
      </c>
    </row>
    <row r="382" spans="2:22" ht="15" customHeight="1">
      <c r="B382" s="724" t="s">
        <v>489</v>
      </c>
      <c r="C382" s="911" t="s">
        <v>3556</v>
      </c>
      <c r="D382" s="1287">
        <v>46032.492615740739</v>
      </c>
      <c r="E382" s="817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4" t="e">
        <f>LEFT(base[[#This Row],[Evento / Mercado]],FIND("/",base[[#This Row],[Evento / Mercado]])-2)</f>
        <v>#VALUE!</v>
      </c>
      <c r="T382" s="1420">
        <f>base[[#This Row],[Data de liquidação]]</f>
        <v>46032.492615740739</v>
      </c>
    </row>
    <row r="383" spans="2:22" ht="15" customHeight="1">
      <c r="B383" s="724" t="s">
        <v>488</v>
      </c>
      <c r="C383" s="911" t="s">
        <v>3556</v>
      </c>
      <c r="D383" s="1287">
        <v>46032.541875000003</v>
      </c>
      <c r="E383" s="817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4" t="e">
        <f>LEFT(base[[#This Row],[Evento / Mercado]],FIND("/",base[[#This Row],[Evento / Mercado]])-2)</f>
        <v>#VALUE!</v>
      </c>
      <c r="T383" s="1420">
        <f>base[[#This Row],[Data de liquidação]]</f>
        <v>46032.541875000003</v>
      </c>
    </row>
    <row r="384" spans="2:22" ht="15" customHeight="1">
      <c r="B384" s="724" t="s">
        <v>487</v>
      </c>
      <c r="C384" s="911" t="s">
        <v>3556</v>
      </c>
      <c r="D384" s="1287">
        <v>46032.552314814813</v>
      </c>
      <c r="E384" s="817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4" t="e">
        <f>LEFT(base[[#This Row],[Evento / Mercado]],FIND("/",base[[#This Row],[Evento / Mercado]])-2)</f>
        <v>#VALUE!</v>
      </c>
      <c r="T384" s="1420">
        <f>base[[#This Row],[Data de liquidação]]</f>
        <v>46032.552314814813</v>
      </c>
    </row>
    <row r="385" spans="2:22" ht="15" customHeight="1">
      <c r="B385" s="724" t="s">
        <v>486</v>
      </c>
      <c r="C385" s="911" t="s">
        <v>3556</v>
      </c>
      <c r="D385" s="1287">
        <v>46032.588437500002</v>
      </c>
      <c r="E385" s="817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4" t="e">
        <f>LEFT(base[[#This Row],[Evento / Mercado]],FIND("/",base[[#This Row],[Evento / Mercado]])-2)</f>
        <v>#VALUE!</v>
      </c>
      <c r="T385" s="1420">
        <f>base[[#This Row],[Data de liquidação]]</f>
        <v>46032.588437500002</v>
      </c>
    </row>
    <row r="386" spans="2:22" ht="15" customHeight="1">
      <c r="B386" s="724" t="s">
        <v>485</v>
      </c>
      <c r="C386" s="911" t="s">
        <v>3556</v>
      </c>
      <c r="D386" s="1287">
        <v>46032.639340277776</v>
      </c>
      <c r="E386" s="817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4" t="e">
        <f>LEFT(base[[#This Row],[Evento / Mercado]],FIND("/",base[[#This Row],[Evento / Mercado]])-2)</f>
        <v>#VALUE!</v>
      </c>
      <c r="T386" s="1420">
        <f>base[[#This Row],[Data de liquidação]]</f>
        <v>46032.639340277776</v>
      </c>
    </row>
    <row r="387" spans="2:22" ht="15" customHeight="1">
      <c r="B387" s="724" t="s">
        <v>484</v>
      </c>
      <c r="C387" s="911" t="s">
        <v>3556</v>
      </c>
      <c r="D387" s="1287">
        <v>46032.641076388885</v>
      </c>
      <c r="E387" s="817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4" t="e">
        <f>LEFT(base[[#This Row],[Evento / Mercado]],FIND("/",base[[#This Row],[Evento / Mercado]])-2)</f>
        <v>#VALUE!</v>
      </c>
      <c r="T387" s="1420">
        <f>base[[#This Row],[Data de liquidação]]</f>
        <v>46032.641076388885</v>
      </c>
    </row>
    <row r="388" spans="2:22" ht="15" customHeight="1">
      <c r="B388" s="724" t="s">
        <v>483</v>
      </c>
      <c r="C388" s="911" t="s">
        <v>3556</v>
      </c>
      <c r="D388" s="1287">
        <v>46032.663171296299</v>
      </c>
      <c r="E388" s="817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4" t="e">
        <f>LEFT(base[[#This Row],[Evento / Mercado]],FIND("/",base[[#This Row],[Evento / Mercado]])-2)</f>
        <v>#VALUE!</v>
      </c>
      <c r="T388" s="1420">
        <f>base[[#This Row],[Data de liquidação]]</f>
        <v>46032.663171296299</v>
      </c>
    </row>
    <row r="389" spans="2:22" ht="15" customHeight="1">
      <c r="B389" s="724" t="s">
        <v>482</v>
      </c>
      <c r="C389" s="911" t="s">
        <v>3556</v>
      </c>
      <c r="D389" s="1287">
        <v>46032.682349537034</v>
      </c>
      <c r="E389" s="817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628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1200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4" t="e">
        <f>LEFT(base[[#This Row],[Evento / Mercado]],FIND("/",base[[#This Row],[Evento / Mercado]])-2)</f>
        <v>#VALUE!</v>
      </c>
      <c r="T389" s="142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724" t="s">
        <v>482</v>
      </c>
      <c r="C390" s="911" t="s">
        <v>3556</v>
      </c>
      <c r="D390" s="1287">
        <v>46032.682349537034</v>
      </c>
      <c r="E390" s="817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627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1200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4" t="e">
        <f>LEFT(base[[#This Row],[Evento / Mercado]],FIND("/",base[[#This Row],[Evento / Mercado]])-2)</f>
        <v>#VALUE!</v>
      </c>
      <c r="T390" s="142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724" t="s">
        <v>481</v>
      </c>
      <c r="C391" s="911" t="s">
        <v>3556</v>
      </c>
      <c r="D391" s="1287">
        <v>46032.688969907409</v>
      </c>
      <c r="E391" s="817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4" t="e">
        <f>LEFT(base[[#This Row],[Evento / Mercado]],FIND("/",base[[#This Row],[Evento / Mercado]])-2)</f>
        <v>#VALUE!</v>
      </c>
      <c r="T391" s="1420">
        <f>base[[#This Row],[Data de liquidação]]</f>
        <v>46032.688969907409</v>
      </c>
    </row>
    <row r="392" spans="2:22" ht="15" customHeight="1">
      <c r="B392" s="724" t="s">
        <v>480</v>
      </c>
      <c r="C392" s="911" t="s">
        <v>3556</v>
      </c>
      <c r="D392" s="1287">
        <v>46032.746319444443</v>
      </c>
      <c r="E392" s="817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628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1205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4" t="e">
        <f>LEFT(base[[#This Row],[Evento / Mercado]],FIND("/",base[[#This Row],[Evento / Mercado]])-2)</f>
        <v>#VALUE!</v>
      </c>
      <c r="T392" s="1420">
        <f>base[[#This Row],[Data de liquidação]]</f>
        <v>46032.746319444443</v>
      </c>
    </row>
    <row r="393" spans="2:22" ht="15" customHeight="1">
      <c r="B393" s="724" t="s">
        <v>480</v>
      </c>
      <c r="C393" s="911" t="s">
        <v>3556</v>
      </c>
      <c r="D393" s="1287">
        <v>46032.746342592596</v>
      </c>
      <c r="E393" s="817">
        <v>9.01</v>
      </c>
      <c r="F393" s="80">
        <v>4.4999999999999998E-2</v>
      </c>
      <c r="G393" s="106">
        <f t="shared" si="6"/>
        <v>9.4345549738219905</v>
      </c>
      <c r="H393" s="106" t="s">
        <v>179</v>
      </c>
      <c r="I393" s="104" t="s">
        <v>392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1205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4" t="e">
        <f>LEFT(base[[#This Row],[Evento / Mercado]],FIND("/",base[[#This Row],[Evento / Mercado]])-2)</f>
        <v>#VALUE!</v>
      </c>
      <c r="T393" s="1420">
        <f>base[[#This Row],[Data de liquidação]]</f>
        <v>46032.746342592596</v>
      </c>
    </row>
    <row r="394" spans="2:22" ht="15" customHeight="1">
      <c r="B394" s="724" t="s">
        <v>479</v>
      </c>
      <c r="C394" s="911" t="s">
        <v>3556</v>
      </c>
      <c r="D394" s="1287">
        <v>46032.778715277775</v>
      </c>
      <c r="E394" s="817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4" t="e">
        <f>LEFT(base[[#This Row],[Evento / Mercado]],FIND("/",base[[#This Row],[Evento / Mercado]])-2)</f>
        <v>#VALUE!</v>
      </c>
      <c r="T394" s="1420">
        <f>base[[#This Row],[Data de liquidação]]</f>
        <v>46032.778715277775</v>
      </c>
    </row>
    <row r="395" spans="2:22" ht="15" customHeight="1">
      <c r="B395" s="724" t="s">
        <v>478</v>
      </c>
      <c r="C395" s="911" t="s">
        <v>3556</v>
      </c>
      <c r="D395" s="1287">
        <v>46032.792534722219</v>
      </c>
      <c r="E395" s="817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4" t="e">
        <f>LEFT(base[[#This Row],[Evento / Mercado]],FIND("/",base[[#This Row],[Evento / Mercado]])-2)</f>
        <v>#VALUE!</v>
      </c>
      <c r="T395" s="1420">
        <f>base[[#This Row],[Data de liquidação]]</f>
        <v>46032.792534722219</v>
      </c>
    </row>
    <row r="396" spans="2:22" ht="15" customHeight="1">
      <c r="B396" s="724" t="s">
        <v>477</v>
      </c>
      <c r="C396" s="911" t="s">
        <v>3556</v>
      </c>
      <c r="D396" s="1287">
        <v>46033.377465277779</v>
      </c>
      <c r="E396" s="817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4" t="e">
        <f>LEFT(base[[#This Row],[Evento / Mercado]],FIND("/",base[[#This Row],[Evento / Mercado]])-2)</f>
        <v>#VALUE!</v>
      </c>
      <c r="T396" s="1420">
        <f>base[[#This Row],[Data de liquidação]]</f>
        <v>46033.377465277779</v>
      </c>
    </row>
    <row r="397" spans="2:22" ht="15" customHeight="1">
      <c r="B397" s="724" t="s">
        <v>477</v>
      </c>
      <c r="C397" s="911" t="s">
        <v>3556</v>
      </c>
      <c r="D397" s="1287">
        <v>46033.424745370372</v>
      </c>
      <c r="E397" s="817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694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1205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4" t="e">
        <f>LEFT(base[[#This Row],[Evento / Mercado]],FIND("/",base[[#This Row],[Evento / Mercado]])-2)</f>
        <v>#VALUE!</v>
      </c>
      <c r="T397" s="1420">
        <f>base[[#This Row],[Data de liquidação]]</f>
        <v>46033.424745370372</v>
      </c>
    </row>
    <row r="398" spans="2:22" ht="15" customHeight="1">
      <c r="B398" s="724" t="s">
        <v>476</v>
      </c>
      <c r="C398" s="911" t="s">
        <v>3556</v>
      </c>
      <c r="D398" s="1287">
        <v>46033.559745370374</v>
      </c>
      <c r="E398" s="817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4" t="e">
        <f>LEFT(base[[#This Row],[Evento / Mercado]],FIND("/",base[[#This Row],[Evento / Mercado]])-2)</f>
        <v>#VALUE!</v>
      </c>
      <c r="T398" s="1420">
        <f>base[[#This Row],[Data de liquidação]]</f>
        <v>46033.559745370374</v>
      </c>
    </row>
    <row r="399" spans="2:22" ht="15" customHeight="1">
      <c r="B399" s="724" t="s">
        <v>475</v>
      </c>
      <c r="C399" s="911" t="s">
        <v>3556</v>
      </c>
      <c r="D399" s="1287">
        <v>46033.563842592594</v>
      </c>
      <c r="E399" s="817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4" t="e">
        <f>LEFT(base[[#This Row],[Evento / Mercado]],FIND("/",base[[#This Row],[Evento / Mercado]])-2)</f>
        <v>#VALUE!</v>
      </c>
      <c r="T399" s="1420">
        <f>base[[#This Row],[Data de liquidação]]</f>
        <v>46033.563842592594</v>
      </c>
    </row>
    <row r="400" spans="2:22" ht="15" customHeight="1">
      <c r="B400" s="724" t="s">
        <v>474</v>
      </c>
      <c r="C400" s="911" t="s">
        <v>3556</v>
      </c>
      <c r="D400" s="1287">
        <v>46033.564780092594</v>
      </c>
      <c r="E400" s="817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4" t="e">
        <f>LEFT(base[[#This Row],[Evento / Mercado]],FIND("/",base[[#This Row],[Evento / Mercado]])-2)</f>
        <v>#VALUE!</v>
      </c>
      <c r="T400" s="1420">
        <f>base[[#This Row],[Data de liquidação]]</f>
        <v>46033.564780092594</v>
      </c>
    </row>
    <row r="401" spans="2:20" ht="15" customHeight="1">
      <c r="B401" s="724" t="s">
        <v>473</v>
      </c>
      <c r="C401" s="911" t="s">
        <v>3556</v>
      </c>
      <c r="D401" s="1287">
        <v>46033.571886574071</v>
      </c>
      <c r="E401" s="817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4" t="e">
        <f>LEFT(base[[#This Row],[Evento / Mercado]],FIND("/",base[[#This Row],[Evento / Mercado]])-2)</f>
        <v>#VALUE!</v>
      </c>
      <c r="T401" s="1420">
        <f>base[[#This Row],[Data de liquidação]]</f>
        <v>46033.571886574071</v>
      </c>
    </row>
    <row r="402" spans="2:20" ht="15" customHeight="1">
      <c r="B402" s="724" t="s">
        <v>472</v>
      </c>
      <c r="C402" s="911" t="s">
        <v>3556</v>
      </c>
      <c r="D402" s="1287">
        <v>46033.635162037041</v>
      </c>
      <c r="E402" s="817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4" t="e">
        <f>LEFT(base[[#This Row],[Evento / Mercado]],FIND("/",base[[#This Row],[Evento / Mercado]])-2)</f>
        <v>#VALUE!</v>
      </c>
      <c r="T402" s="1420">
        <f>base[[#This Row],[Data de liquidação]]</f>
        <v>46033.635162037041</v>
      </c>
    </row>
    <row r="403" spans="2:20" ht="15" customHeight="1">
      <c r="B403" s="724" t="s">
        <v>471</v>
      </c>
      <c r="C403" s="911" t="s">
        <v>3556</v>
      </c>
      <c r="D403" s="1287">
        <v>46033.641122685185</v>
      </c>
      <c r="E403" s="817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4" t="e">
        <f>LEFT(base[[#This Row],[Evento / Mercado]],FIND("/",base[[#This Row],[Evento / Mercado]])-2)</f>
        <v>#VALUE!</v>
      </c>
      <c r="T403" s="1420">
        <f>base[[#This Row],[Data de liquidação]]</f>
        <v>46033.641122685185</v>
      </c>
    </row>
    <row r="404" spans="2:20" ht="15" customHeight="1">
      <c r="B404" s="724" t="s">
        <v>470</v>
      </c>
      <c r="C404" s="911" t="s">
        <v>3556</v>
      </c>
      <c r="D404" s="1287">
        <v>46033.663680555554</v>
      </c>
      <c r="E404" s="817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4" t="e">
        <f>LEFT(base[[#This Row],[Evento / Mercado]],FIND("/",base[[#This Row],[Evento / Mercado]])-2)</f>
        <v>#VALUE!</v>
      </c>
      <c r="T404" s="1420">
        <f>base[[#This Row],[Data de liquidação]]</f>
        <v>46033.663680555554</v>
      </c>
    </row>
    <row r="405" spans="2:20" ht="15" customHeight="1">
      <c r="B405" s="724" t="s">
        <v>469</v>
      </c>
      <c r="C405" s="911" t="s">
        <v>3556</v>
      </c>
      <c r="D405" s="1287">
        <v>46033.779340277775</v>
      </c>
      <c r="E405" s="817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4" t="e">
        <f>LEFT(base[[#This Row],[Evento / Mercado]],FIND("/",base[[#This Row],[Evento / Mercado]])-2)</f>
        <v>#VALUE!</v>
      </c>
      <c r="T405" s="1420">
        <f>base[[#This Row],[Data de liquidação]]</f>
        <v>46033.779340277775</v>
      </c>
    </row>
    <row r="406" spans="2:20" ht="15" customHeight="1">
      <c r="B406" s="725" t="s">
        <v>508</v>
      </c>
      <c r="C406" s="911" t="s">
        <v>3556</v>
      </c>
      <c r="D406" s="1288">
        <v>46034.679675925923</v>
      </c>
      <c r="E406" s="818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4" t="e">
        <f>LEFT(base[[#This Row],[Evento / Mercado]],FIND("/",base[[#This Row],[Evento / Mercado]])-2)</f>
        <v>#VALUE!</v>
      </c>
      <c r="T406" s="1420">
        <f>base[[#This Row],[Data de liquidação]]</f>
        <v>46034.679675925923</v>
      </c>
    </row>
    <row r="407" spans="2:20" ht="15" customHeight="1">
      <c r="B407" s="725" t="s">
        <v>507</v>
      </c>
      <c r="C407" s="911" t="s">
        <v>3556</v>
      </c>
      <c r="D407" s="1288">
        <v>46034.748402777775</v>
      </c>
      <c r="E407" s="818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4" t="e">
        <f>LEFT(base[[#This Row],[Evento / Mercado]],FIND("/",base[[#This Row],[Evento / Mercado]])-2)</f>
        <v>#VALUE!</v>
      </c>
      <c r="T407" s="1420">
        <f>base[[#This Row],[Data de liquidação]]</f>
        <v>46034.748402777775</v>
      </c>
    </row>
    <row r="408" spans="2:20" ht="15" customHeight="1">
      <c r="B408" s="726" t="s">
        <v>505</v>
      </c>
      <c r="C408" s="911" t="s">
        <v>3556</v>
      </c>
      <c r="D408" s="1289">
        <v>46035.673958333333</v>
      </c>
      <c r="E408" s="819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4" t="e">
        <f>LEFT(base[[#This Row],[Evento / Mercado]],FIND("/",base[[#This Row],[Evento / Mercado]])-2)</f>
        <v>#VALUE!</v>
      </c>
      <c r="T408" s="1420">
        <f>base[[#This Row],[Data de liquidação]]</f>
        <v>46035.673958333333</v>
      </c>
    </row>
    <row r="409" spans="2:20" ht="15" customHeight="1">
      <c r="B409" s="726" t="s">
        <v>516</v>
      </c>
      <c r="C409" s="911" t="s">
        <v>3556</v>
      </c>
      <c r="D409" s="1289">
        <v>46035.686284722222</v>
      </c>
      <c r="E409" s="819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4" t="e">
        <f>LEFT(base[[#This Row],[Evento / Mercado]],FIND("/",base[[#This Row],[Evento / Mercado]])-2)</f>
        <v>#VALUE!</v>
      </c>
      <c r="T409" s="1420">
        <f>base[[#This Row],[Data de liquidação]]</f>
        <v>46035.686284722222</v>
      </c>
    </row>
    <row r="410" spans="2:20" ht="15" customHeight="1">
      <c r="B410" s="726" t="s">
        <v>515</v>
      </c>
      <c r="C410" s="911" t="s">
        <v>3556</v>
      </c>
      <c r="D410" s="1289">
        <v>46035.744814814818</v>
      </c>
      <c r="E410" s="819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4" t="e">
        <f>LEFT(base[[#This Row],[Evento / Mercado]],FIND("/",base[[#This Row],[Evento / Mercado]])-2)</f>
        <v>#VALUE!</v>
      </c>
      <c r="T410" s="1420">
        <f>base[[#This Row],[Data de liquidação]]</f>
        <v>46035.744814814818</v>
      </c>
    </row>
    <row r="411" spans="2:20" ht="15" customHeight="1">
      <c r="B411" s="726" t="s">
        <v>514</v>
      </c>
      <c r="C411" s="911" t="s">
        <v>3556</v>
      </c>
      <c r="D411" s="1289">
        <v>46035.765567129631</v>
      </c>
      <c r="E411" s="819">
        <v>23.4</v>
      </c>
      <c r="F411" s="80">
        <v>4.4999999999999998E-2</v>
      </c>
      <c r="G411" s="116">
        <f t="shared" si="6"/>
        <v>24.502617801047119</v>
      </c>
      <c r="H411" s="106" t="s">
        <v>179</v>
      </c>
      <c r="I411" s="104" t="s">
        <v>392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1200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4" t="e">
        <f>LEFT(base[[#This Row],[Evento / Mercado]],FIND("/",base[[#This Row],[Evento / Mercado]])-2)</f>
        <v>#VALUE!</v>
      </c>
      <c r="T411" s="1420">
        <f>base[[#This Row],[Data de liquidação]]</f>
        <v>46035.765567129631</v>
      </c>
    </row>
    <row r="412" spans="2:20" ht="15" customHeight="1">
      <c r="B412" s="726" t="s">
        <v>513</v>
      </c>
      <c r="C412" s="911" t="s">
        <v>3556</v>
      </c>
      <c r="D412" s="1289">
        <v>46035.768530092595</v>
      </c>
      <c r="E412" s="819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4" t="e">
        <f>LEFT(base[[#This Row],[Evento / Mercado]],FIND("/",base[[#This Row],[Evento / Mercado]])-2)</f>
        <v>#VALUE!</v>
      </c>
      <c r="T412" s="1420">
        <f>base[[#This Row],[Data de liquidação]]</f>
        <v>46035.768530092595</v>
      </c>
    </row>
    <row r="413" spans="2:20" ht="15" customHeight="1">
      <c r="B413" s="726" t="s">
        <v>512</v>
      </c>
      <c r="C413" s="911" t="s">
        <v>3556</v>
      </c>
      <c r="D413" s="1289">
        <v>46035.769768518519</v>
      </c>
      <c r="E413" s="819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4" t="e">
        <f>LEFT(base[[#This Row],[Evento / Mercado]],FIND("/",base[[#This Row],[Evento / Mercado]])-2)</f>
        <v>#VALUE!</v>
      </c>
      <c r="T413" s="1420">
        <f>base[[#This Row],[Data de liquidação]]</f>
        <v>46035.769768518519</v>
      </c>
    </row>
    <row r="414" spans="2:20" ht="15" customHeight="1">
      <c r="B414" s="726" t="s">
        <v>511</v>
      </c>
      <c r="C414" s="911" t="s">
        <v>3556</v>
      </c>
      <c r="D414" s="1289">
        <v>46035.786909722221</v>
      </c>
      <c r="E414" s="819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4" t="e">
        <f>LEFT(base[[#This Row],[Evento / Mercado]],FIND("/",base[[#This Row],[Evento / Mercado]])-2)</f>
        <v>#VALUE!</v>
      </c>
      <c r="T414" s="1420">
        <f>base[[#This Row],[Data de liquidação]]</f>
        <v>46035.786909722221</v>
      </c>
    </row>
    <row r="415" spans="2:20" ht="15" customHeight="1">
      <c r="B415" s="727" t="s">
        <v>518</v>
      </c>
      <c r="C415" s="911" t="s">
        <v>3556</v>
      </c>
      <c r="D415" s="1290">
        <v>46036.663287037038</v>
      </c>
      <c r="E415" s="820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4" t="e">
        <f>LEFT(base[[#This Row],[Evento / Mercado]],FIND("/",base[[#This Row],[Evento / Mercado]])-2)</f>
        <v>#VALUE!</v>
      </c>
      <c r="T415" s="1420">
        <f>base[[#This Row],[Data de liquidação]]</f>
        <v>46036.663287037038</v>
      </c>
    </row>
    <row r="416" spans="2:20" ht="15" customHeight="1">
      <c r="B416" s="727" t="s">
        <v>522</v>
      </c>
      <c r="C416" s="911" t="s">
        <v>3556</v>
      </c>
      <c r="D416" s="1290">
        <v>46036.685127314813</v>
      </c>
      <c r="E416" s="820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04" t="s">
        <v>75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1207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4" t="e">
        <f>LEFT(base[[#This Row],[Evento / Mercado]],FIND("/",base[[#This Row],[Evento / Mercado]])-2)</f>
        <v>#VALUE!</v>
      </c>
      <c r="T416" s="1420">
        <f>base[[#This Row],[Data de liquidação]]</f>
        <v>46036.685127314813</v>
      </c>
    </row>
    <row r="417" spans="2:22" ht="15" customHeight="1">
      <c r="B417" s="727" t="s">
        <v>522</v>
      </c>
      <c r="C417" s="911" t="s">
        <v>3556</v>
      </c>
      <c r="D417" s="1290">
        <v>46036.685173611113</v>
      </c>
      <c r="E417" s="820">
        <v>7.64</v>
      </c>
      <c r="F417" s="80">
        <v>4.4999999999999998E-2</v>
      </c>
      <c r="G417" s="128">
        <f t="shared" si="6"/>
        <v>8</v>
      </c>
      <c r="H417" s="106" t="s">
        <v>179</v>
      </c>
      <c r="I417" s="104" t="s">
        <v>392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1207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4" t="e">
        <f>LEFT(base[[#This Row],[Evento / Mercado]],FIND("/",base[[#This Row],[Evento / Mercado]])-2)</f>
        <v>#VALUE!</v>
      </c>
      <c r="T417" s="1420">
        <f>base[[#This Row],[Data de liquidação]]</f>
        <v>46036.685173611113</v>
      </c>
    </row>
    <row r="418" spans="2:22" ht="15" customHeight="1">
      <c r="B418" s="727" t="s">
        <v>521</v>
      </c>
      <c r="C418" s="911" t="s">
        <v>3556</v>
      </c>
      <c r="D418" s="1290">
        <v>46036.750636574077</v>
      </c>
      <c r="E418" s="820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4" t="e">
        <f>LEFT(base[[#This Row],[Evento / Mercado]],FIND("/",base[[#This Row],[Evento / Mercado]])-2)</f>
        <v>#VALUE!</v>
      </c>
      <c r="T418" s="1420">
        <f>base[[#This Row],[Data de liquidação]]</f>
        <v>46036.750636574077</v>
      </c>
    </row>
    <row r="419" spans="2:22" ht="15" customHeight="1">
      <c r="B419" s="727" t="s">
        <v>520</v>
      </c>
      <c r="C419" s="911" t="s">
        <v>3556</v>
      </c>
      <c r="D419" s="1290">
        <v>46036.768379629626</v>
      </c>
      <c r="E419" s="820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627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1200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4" t="e">
        <f>LEFT(base[[#This Row],[Evento / Mercado]],FIND("/",base[[#This Row],[Evento / Mercado]])-2)</f>
        <v>#VALUE!</v>
      </c>
      <c r="T419" s="142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727" t="s">
        <v>520</v>
      </c>
      <c r="C420" s="911" t="s">
        <v>3556</v>
      </c>
      <c r="D420" s="1290">
        <v>46036.768379629626</v>
      </c>
      <c r="E420" s="820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628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1200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4" t="e">
        <f>LEFT(base[[#This Row],[Evento / Mercado]],FIND("/",base[[#This Row],[Evento / Mercado]])-2)</f>
        <v>#VALUE!</v>
      </c>
      <c r="T420" s="142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727" t="s">
        <v>520</v>
      </c>
      <c r="C421" s="911" t="s">
        <v>3556</v>
      </c>
      <c r="D421" s="1290">
        <v>46036.768472222226</v>
      </c>
      <c r="E421" s="820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4" t="e">
        <f>LEFT(base[[#This Row],[Evento / Mercado]],FIND("/",base[[#This Row],[Evento / Mercado]])-2)</f>
        <v>#VALUE!</v>
      </c>
      <c r="T421" s="1420">
        <f>base[[#This Row],[Data de liquidação]]</f>
        <v>46036.768472222226</v>
      </c>
    </row>
    <row r="422" spans="2:22" ht="15" customHeight="1">
      <c r="B422" s="727" t="s">
        <v>519</v>
      </c>
      <c r="C422" s="911" t="s">
        <v>3556</v>
      </c>
      <c r="D422" s="1290">
        <v>46036.774525462963</v>
      </c>
      <c r="E422" s="820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693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1200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4" t="e">
        <f>LEFT(base[[#This Row],[Evento / Mercado]],FIND("/",base[[#This Row],[Evento / Mercado]])-2)</f>
        <v>#VALUE!</v>
      </c>
      <c r="T422" s="1420">
        <f>base[[#This Row],[Data de liquidação]]</f>
        <v>46036.774525462963</v>
      </c>
    </row>
    <row r="423" spans="2:22" ht="15" customHeight="1">
      <c r="B423" s="727" t="s">
        <v>519</v>
      </c>
      <c r="C423" s="911" t="s">
        <v>3556</v>
      </c>
      <c r="D423" s="1290">
        <v>46036.774571759262</v>
      </c>
      <c r="E423" s="820">
        <v>16.809999999999999</v>
      </c>
      <c r="F423" s="80">
        <v>4.4999999999999998E-2</v>
      </c>
      <c r="G423" s="128">
        <f t="shared" si="6"/>
        <v>17.602094240837697</v>
      </c>
      <c r="H423" s="106" t="s">
        <v>179</v>
      </c>
      <c r="I423" s="126" t="s">
        <v>391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1200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4" t="e">
        <f>LEFT(base[[#This Row],[Evento / Mercado]],FIND("/",base[[#This Row],[Evento / Mercado]])-2)</f>
        <v>#VALUE!</v>
      </c>
      <c r="T423" s="1420">
        <f>base[[#This Row],[Data de liquidação]]</f>
        <v>46036.774571759262</v>
      </c>
    </row>
    <row r="424" spans="2:22" ht="15" customHeight="1">
      <c r="B424" s="728" t="s">
        <v>575</v>
      </c>
      <c r="C424" s="911" t="s">
        <v>3556</v>
      </c>
      <c r="D424" s="1291">
        <v>46037.731423611112</v>
      </c>
      <c r="E424" s="821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4" t="e">
        <f>LEFT(base[[#This Row],[Evento / Mercado]],FIND("/",base[[#This Row],[Evento / Mercado]])-2)</f>
        <v>#VALUE!</v>
      </c>
      <c r="T424" s="1420">
        <f>base[[#This Row],[Data de liquidação]]</f>
        <v>46037.731423611112</v>
      </c>
    </row>
    <row r="425" spans="2:22" ht="15" customHeight="1">
      <c r="B425" s="728" t="s">
        <v>574</v>
      </c>
      <c r="C425" s="911" t="s">
        <v>3556</v>
      </c>
      <c r="D425" s="1291">
        <v>46038.684606481482</v>
      </c>
      <c r="E425" s="821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4" t="e">
        <f>LEFT(base[[#This Row],[Evento / Mercado]],FIND("/",base[[#This Row],[Evento / Mercado]])-2)</f>
        <v>#VALUE!</v>
      </c>
      <c r="T425" s="1420">
        <f>base[[#This Row],[Data de liquidação]]</f>
        <v>46038.684606481482</v>
      </c>
    </row>
    <row r="426" spans="2:22" ht="15" customHeight="1">
      <c r="B426" s="728" t="s">
        <v>573</v>
      </c>
      <c r="C426" s="911" t="s">
        <v>3556</v>
      </c>
      <c r="D426" s="1291">
        <v>46038.697442129633</v>
      </c>
      <c r="E426" s="821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4" t="e">
        <f>LEFT(base[[#This Row],[Evento / Mercado]],FIND("/",base[[#This Row],[Evento / Mercado]])-2)</f>
        <v>#VALUE!</v>
      </c>
      <c r="T426" s="1420">
        <f>base[[#This Row],[Data de liquidação]]</f>
        <v>46038.697442129633</v>
      </c>
    </row>
    <row r="427" spans="2:22" ht="15" customHeight="1">
      <c r="B427" s="728" t="s">
        <v>573</v>
      </c>
      <c r="C427" s="911" t="s">
        <v>3556</v>
      </c>
      <c r="D427" s="1291">
        <v>46038.704618055555</v>
      </c>
      <c r="E427" s="821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4" t="e">
        <f>LEFT(base[[#This Row],[Evento / Mercado]],FIND("/",base[[#This Row],[Evento / Mercado]])-2)</f>
        <v>#VALUE!</v>
      </c>
      <c r="T427" s="1420">
        <f>base[[#This Row],[Data de liquidação]]</f>
        <v>46038.704618055555</v>
      </c>
    </row>
    <row r="428" spans="2:22" ht="15" customHeight="1">
      <c r="B428" s="728" t="s">
        <v>572</v>
      </c>
      <c r="C428" s="911" t="s">
        <v>3556</v>
      </c>
      <c r="D428" s="1291">
        <v>46038.745833333334</v>
      </c>
      <c r="E428" s="821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33" t="s">
        <v>75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1199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4" t="e">
        <f>LEFT(base[[#This Row],[Evento / Mercado]],FIND("/",base[[#This Row],[Evento / Mercado]])-2)</f>
        <v>#VALUE!</v>
      </c>
      <c r="T428" s="1420">
        <f>base[[#This Row],[Data de liquidação]]</f>
        <v>46038.745833333334</v>
      </c>
    </row>
    <row r="429" spans="2:22" ht="15" customHeight="1">
      <c r="B429" s="728" t="s">
        <v>571</v>
      </c>
      <c r="C429" s="911" t="s">
        <v>3556</v>
      </c>
      <c r="D429" s="1291">
        <v>46038.748356481483</v>
      </c>
      <c r="E429" s="821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4" t="e">
        <f>LEFT(base[[#This Row],[Evento / Mercado]],FIND("/",base[[#This Row],[Evento / Mercado]])-2)</f>
        <v>#VALUE!</v>
      </c>
      <c r="T429" s="1420">
        <f>base[[#This Row],[Data de liquidação]]</f>
        <v>46038.748356481483</v>
      </c>
    </row>
    <row r="430" spans="2:22" ht="15" customHeight="1">
      <c r="B430" s="728" t="s">
        <v>570</v>
      </c>
      <c r="C430" s="911" t="s">
        <v>3556</v>
      </c>
      <c r="D430" s="1291">
        <v>46038.748715277776</v>
      </c>
      <c r="E430" s="821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4" t="e">
        <f>LEFT(base[[#This Row],[Evento / Mercado]],FIND("/",base[[#This Row],[Evento / Mercado]])-2)</f>
        <v>#VALUE!</v>
      </c>
      <c r="T430" s="1420">
        <f>base[[#This Row],[Data de liquidação]]</f>
        <v>46038.748715277776</v>
      </c>
    </row>
    <row r="431" spans="2:22" ht="15" customHeight="1">
      <c r="B431" s="728" t="s">
        <v>569</v>
      </c>
      <c r="C431" s="911" t="s">
        <v>3556</v>
      </c>
      <c r="D431" s="1291">
        <v>46038.769189814811</v>
      </c>
      <c r="E431" s="821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4" t="e">
        <f>LEFT(base[[#This Row],[Evento / Mercado]],FIND("/",base[[#This Row],[Evento / Mercado]])-2)</f>
        <v>#VALUE!</v>
      </c>
      <c r="T431" s="1420">
        <f>base[[#This Row],[Data de liquidação]]</f>
        <v>46038.769189814811</v>
      </c>
    </row>
    <row r="432" spans="2:22" ht="15" customHeight="1">
      <c r="B432" s="728" t="s">
        <v>568</v>
      </c>
      <c r="C432" s="911" t="s">
        <v>3556</v>
      </c>
      <c r="D432" s="1291">
        <v>46038.780393518522</v>
      </c>
      <c r="E432" s="821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4" t="e">
        <f>LEFT(base[[#This Row],[Evento / Mercado]],FIND("/",base[[#This Row],[Evento / Mercado]])-2)</f>
        <v>#VALUE!</v>
      </c>
      <c r="T432" s="1420">
        <f>base[[#This Row],[Data de liquidação]]</f>
        <v>46038.780393518522</v>
      </c>
    </row>
    <row r="433" spans="2:20" ht="15" customHeight="1">
      <c r="B433" s="728" t="s">
        <v>567</v>
      </c>
      <c r="C433" s="911" t="s">
        <v>3556</v>
      </c>
      <c r="D433" s="1291">
        <v>46038.786527777775</v>
      </c>
      <c r="E433" s="821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33" t="s">
        <v>75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1206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4" t="e">
        <f>LEFT(base[[#This Row],[Evento / Mercado]],FIND("/",base[[#This Row],[Evento / Mercado]])-2)</f>
        <v>#VALUE!</v>
      </c>
      <c r="T433" s="1420">
        <f>base[[#This Row],[Data de liquidação]]</f>
        <v>46038.786527777775</v>
      </c>
    </row>
    <row r="434" spans="2:20" ht="15" customHeight="1">
      <c r="B434" s="728" t="s">
        <v>566</v>
      </c>
      <c r="C434" s="911" t="s">
        <v>3556</v>
      </c>
      <c r="D434" s="1291">
        <v>46038.786909722221</v>
      </c>
      <c r="E434" s="821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4" t="e">
        <f>LEFT(base[[#This Row],[Evento / Mercado]],FIND("/",base[[#This Row],[Evento / Mercado]])-2)</f>
        <v>#VALUE!</v>
      </c>
      <c r="T434" s="1420">
        <f>base[[#This Row],[Data de liquidação]]</f>
        <v>46038.786909722221</v>
      </c>
    </row>
    <row r="435" spans="2:20" ht="15" customHeight="1">
      <c r="B435" s="728" t="s">
        <v>565</v>
      </c>
      <c r="C435" s="911" t="s">
        <v>3556</v>
      </c>
      <c r="D435" s="1291">
        <v>46038.792905092596</v>
      </c>
      <c r="E435" s="821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4" t="e">
        <f>LEFT(base[[#This Row],[Evento / Mercado]],FIND("/",base[[#This Row],[Evento / Mercado]])-2)</f>
        <v>#VALUE!</v>
      </c>
      <c r="T435" s="1420">
        <f>base[[#This Row],[Data de liquidação]]</f>
        <v>46038.792905092596</v>
      </c>
    </row>
    <row r="436" spans="2:20" ht="15" customHeight="1">
      <c r="B436" s="728" t="s">
        <v>564</v>
      </c>
      <c r="C436" s="911" t="s">
        <v>3556</v>
      </c>
      <c r="D436" s="1291">
        <v>46039.414699074077</v>
      </c>
      <c r="E436" s="821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4" t="e">
        <f>LEFT(base[[#This Row],[Evento / Mercado]],FIND("/",base[[#This Row],[Evento / Mercado]])-2)</f>
        <v>#VALUE!</v>
      </c>
      <c r="T436" s="1420">
        <f>base[[#This Row],[Data de liquidação]]</f>
        <v>46039.414699074077</v>
      </c>
    </row>
    <row r="437" spans="2:20" ht="15" customHeight="1">
      <c r="B437" s="728" t="s">
        <v>560</v>
      </c>
      <c r="C437" s="911" t="s">
        <v>3556</v>
      </c>
      <c r="D437" s="1291">
        <v>46039.452939814815</v>
      </c>
      <c r="E437" s="821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4" t="e">
        <f>LEFT(base[[#This Row],[Evento / Mercado]],FIND("/",base[[#This Row],[Evento / Mercado]])-2)</f>
        <v>#VALUE!</v>
      </c>
      <c r="T437" s="1420">
        <f>base[[#This Row],[Data de liquidação]]</f>
        <v>46039.452939814815</v>
      </c>
    </row>
    <row r="438" spans="2:20" ht="15" customHeight="1">
      <c r="B438" s="728" t="s">
        <v>563</v>
      </c>
      <c r="C438" s="911" t="s">
        <v>3556</v>
      </c>
      <c r="D438" s="1291">
        <v>46039.457372685189</v>
      </c>
      <c r="E438" s="821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4" t="e">
        <f>LEFT(base[[#This Row],[Evento / Mercado]],FIND("/",base[[#This Row],[Evento / Mercado]])-2)</f>
        <v>#VALUE!</v>
      </c>
      <c r="T438" s="1420">
        <f>base[[#This Row],[Data de liquidação]]</f>
        <v>46039.457372685189</v>
      </c>
    </row>
    <row r="439" spans="2:20" ht="15" customHeight="1">
      <c r="B439" s="728" t="s">
        <v>562</v>
      </c>
      <c r="C439" s="911" t="s">
        <v>3556</v>
      </c>
      <c r="D439" s="1291">
        <v>46039.476770833331</v>
      </c>
      <c r="E439" s="821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4" t="e">
        <f>LEFT(base[[#This Row],[Evento / Mercado]],FIND("/",base[[#This Row],[Evento / Mercado]])-2)</f>
        <v>#VALUE!</v>
      </c>
      <c r="T439" s="1420">
        <f>base[[#This Row],[Data de liquidação]]</f>
        <v>46039.476770833331</v>
      </c>
    </row>
    <row r="440" spans="2:20" ht="15" customHeight="1">
      <c r="B440" s="728" t="s">
        <v>561</v>
      </c>
      <c r="C440" s="911" t="s">
        <v>3556</v>
      </c>
      <c r="D440" s="1291">
        <v>46039.497407407405</v>
      </c>
      <c r="E440" s="821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4" t="e">
        <f>LEFT(base[[#This Row],[Evento / Mercado]],FIND("/",base[[#This Row],[Evento / Mercado]])-2)</f>
        <v>#VALUE!</v>
      </c>
      <c r="T440" s="1420">
        <f>base[[#This Row],[Data de liquidação]]</f>
        <v>46039.497407407405</v>
      </c>
    </row>
    <row r="441" spans="2:20" ht="15" customHeight="1">
      <c r="B441" s="728" t="s">
        <v>560</v>
      </c>
      <c r="C441" s="911" t="s">
        <v>3556</v>
      </c>
      <c r="D441" s="1291">
        <v>46039.500462962962</v>
      </c>
      <c r="E441" s="821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4" t="e">
        <f>LEFT(base[[#This Row],[Evento / Mercado]],FIND("/",base[[#This Row],[Evento / Mercado]])-2)</f>
        <v>#VALUE!</v>
      </c>
      <c r="T441" s="1420">
        <f>base[[#This Row],[Data de liquidação]]</f>
        <v>46039.500462962962</v>
      </c>
    </row>
    <row r="442" spans="2:20" ht="15" customHeight="1">
      <c r="B442" s="728" t="s">
        <v>559</v>
      </c>
      <c r="C442" s="911" t="s">
        <v>3556</v>
      </c>
      <c r="D442" s="1291">
        <v>46039.516736111109</v>
      </c>
      <c r="E442" s="821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4" t="e">
        <f>LEFT(base[[#This Row],[Evento / Mercado]],FIND("/",base[[#This Row],[Evento / Mercado]])-2)</f>
        <v>#VALUE!</v>
      </c>
      <c r="T442" s="1420">
        <f>base[[#This Row],[Data de liquidação]]</f>
        <v>46039.516736111109</v>
      </c>
    </row>
    <row r="443" spans="2:20" ht="15" customHeight="1">
      <c r="B443" s="728" t="s">
        <v>558</v>
      </c>
      <c r="C443" s="911" t="s">
        <v>3556</v>
      </c>
      <c r="D443" s="1291">
        <v>46039.521203703705</v>
      </c>
      <c r="E443" s="821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4" t="e">
        <f>LEFT(base[[#This Row],[Evento / Mercado]],FIND("/",base[[#This Row],[Evento / Mercado]])-2)</f>
        <v>#VALUE!</v>
      </c>
      <c r="T443" s="1420">
        <f>base[[#This Row],[Data de liquidação]]</f>
        <v>46039.521203703705</v>
      </c>
    </row>
    <row r="444" spans="2:20" ht="15" customHeight="1">
      <c r="B444" s="728" t="s">
        <v>557</v>
      </c>
      <c r="C444" s="911" t="s">
        <v>3556</v>
      </c>
      <c r="D444" s="1291">
        <v>46039.535277777781</v>
      </c>
      <c r="E444" s="821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4" t="e">
        <f>LEFT(base[[#This Row],[Evento / Mercado]],FIND("/",base[[#This Row],[Evento / Mercado]])-2)</f>
        <v>#VALUE!</v>
      </c>
      <c r="T444" s="1420">
        <f>base[[#This Row],[Data de liquidação]]</f>
        <v>46039.535277777781</v>
      </c>
    </row>
    <row r="445" spans="2:20" ht="15" customHeight="1">
      <c r="B445" s="728" t="s">
        <v>556</v>
      </c>
      <c r="C445" s="911" t="s">
        <v>3556</v>
      </c>
      <c r="D445" s="1291">
        <v>46039.55878472222</v>
      </c>
      <c r="E445" s="821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4" t="e">
        <f>LEFT(base[[#This Row],[Evento / Mercado]],FIND("/",base[[#This Row],[Evento / Mercado]])-2)</f>
        <v>#VALUE!</v>
      </c>
      <c r="T445" s="1420">
        <f>base[[#This Row],[Data de liquidação]]</f>
        <v>46039.55878472222</v>
      </c>
    </row>
    <row r="446" spans="2:20" ht="15" customHeight="1">
      <c r="B446" s="728" t="s">
        <v>555</v>
      </c>
      <c r="C446" s="911" t="s">
        <v>3556</v>
      </c>
      <c r="D446" s="1291">
        <v>46039.561678240738</v>
      </c>
      <c r="E446" s="821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4" t="e">
        <f>LEFT(base[[#This Row],[Evento / Mercado]],FIND("/",base[[#This Row],[Evento / Mercado]])-2)</f>
        <v>#VALUE!</v>
      </c>
      <c r="T446" s="1420">
        <f>base[[#This Row],[Data de liquidação]]</f>
        <v>46039.561678240738</v>
      </c>
    </row>
    <row r="447" spans="2:20" ht="15" customHeight="1">
      <c r="B447" s="728" t="s">
        <v>554</v>
      </c>
      <c r="C447" s="911" t="s">
        <v>3556</v>
      </c>
      <c r="D447" s="1291">
        <v>46039.562615740739</v>
      </c>
      <c r="E447" s="821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4" t="e">
        <f>LEFT(base[[#This Row],[Evento / Mercado]],FIND("/",base[[#This Row],[Evento / Mercado]])-2)</f>
        <v>#VALUE!</v>
      </c>
      <c r="T447" s="1420">
        <f>base[[#This Row],[Data de liquidação]]</f>
        <v>46039.562615740739</v>
      </c>
    </row>
    <row r="448" spans="2:20" ht="15" customHeight="1">
      <c r="B448" s="728" t="s">
        <v>553</v>
      </c>
      <c r="C448" s="911" t="s">
        <v>3556</v>
      </c>
      <c r="D448" s="1291">
        <v>46039.5627662037</v>
      </c>
      <c r="E448" s="821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4" t="e">
        <f>LEFT(base[[#This Row],[Evento / Mercado]],FIND("/",base[[#This Row],[Evento / Mercado]])-2)</f>
        <v>#VALUE!</v>
      </c>
      <c r="T448" s="1420">
        <f>base[[#This Row],[Data de liquidação]]</f>
        <v>46039.5627662037</v>
      </c>
    </row>
    <row r="449" spans="2:22" ht="15" customHeight="1">
      <c r="B449" s="728" t="s">
        <v>553</v>
      </c>
      <c r="C449" s="911" t="s">
        <v>3556</v>
      </c>
      <c r="D449" s="1291">
        <v>46039.579317129632</v>
      </c>
      <c r="E449" s="821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4" t="e">
        <f>LEFT(base[[#This Row],[Evento / Mercado]],FIND("/",base[[#This Row],[Evento / Mercado]])-2)</f>
        <v>#VALUE!</v>
      </c>
      <c r="T449" s="1420">
        <f>base[[#This Row],[Data de liquidação]]</f>
        <v>46039.579317129632</v>
      </c>
    </row>
    <row r="450" spans="2:22" ht="15" customHeight="1">
      <c r="B450" s="728" t="s">
        <v>552</v>
      </c>
      <c r="C450" s="911" t="s">
        <v>3556</v>
      </c>
      <c r="D450" s="1291">
        <v>46039.58121527778</v>
      </c>
      <c r="E450" s="821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628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1201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4" t="e">
        <f>LEFT(base[[#This Row],[Evento / Mercado]],FIND("/",base[[#This Row],[Evento / Mercado]])-2)</f>
        <v>#VALUE!</v>
      </c>
      <c r="T450" s="1420">
        <f>base[[#This Row],[Data de liquidação]]</f>
        <v>46039.58121527778</v>
      </c>
    </row>
    <row r="451" spans="2:22" ht="15" customHeight="1">
      <c r="B451" s="728" t="s">
        <v>552</v>
      </c>
      <c r="C451" s="911" t="s">
        <v>3556</v>
      </c>
      <c r="D451" s="1291">
        <v>46039.581261574072</v>
      </c>
      <c r="E451" s="821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4" t="e">
        <f>LEFT(base[[#This Row],[Evento / Mercado]],FIND("/",base[[#This Row],[Evento / Mercado]])-2)</f>
        <v>#VALUE!</v>
      </c>
      <c r="T451" s="1420">
        <f>base[[#This Row],[Data de liquidação]]</f>
        <v>46039.581261574072</v>
      </c>
    </row>
    <row r="452" spans="2:22" ht="15" customHeight="1">
      <c r="B452" s="728" t="s">
        <v>551</v>
      </c>
      <c r="C452" s="911" t="s">
        <v>3556</v>
      </c>
      <c r="D452" s="1291">
        <v>46039.585104166668</v>
      </c>
      <c r="E452" s="821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4" t="e">
        <f>LEFT(base[[#This Row],[Evento / Mercado]],FIND("/",base[[#This Row],[Evento / Mercado]])-2)</f>
        <v>#VALUE!</v>
      </c>
      <c r="T452" s="1420">
        <f>base[[#This Row],[Data de liquidação]]</f>
        <v>46039.585104166668</v>
      </c>
    </row>
    <row r="453" spans="2:22" ht="15" customHeight="1">
      <c r="B453" s="728" t="s">
        <v>550</v>
      </c>
      <c r="C453" s="911" t="s">
        <v>3556</v>
      </c>
      <c r="D453" s="1291">
        <v>46039.61990740741</v>
      </c>
      <c r="E453" s="821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627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1208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4" t="e">
        <f>LEFT(base[[#This Row],[Evento / Mercado]],FIND("/",base[[#This Row],[Evento / Mercado]])-2)</f>
        <v>#VALUE!</v>
      </c>
      <c r="T453" s="142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728" t="s">
        <v>550</v>
      </c>
      <c r="C454" s="911" t="s">
        <v>3556</v>
      </c>
      <c r="D454" s="1291">
        <v>46039.61990740741</v>
      </c>
      <c r="E454" s="821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4" t="e">
        <f>LEFT(base[[#This Row],[Evento / Mercado]],FIND("/",base[[#This Row],[Evento / Mercado]])-2)</f>
        <v>#VALUE!</v>
      </c>
      <c r="T454" s="142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728" t="s">
        <v>550</v>
      </c>
      <c r="C455" s="911" t="s">
        <v>3556</v>
      </c>
      <c r="D455" s="1291">
        <v>46039.619942129626</v>
      </c>
      <c r="E455" s="821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392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1208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4" t="e">
        <f>LEFT(base[[#This Row],[Evento / Mercado]],FIND("/",base[[#This Row],[Evento / Mercado]])-2)</f>
        <v>#VALUE!</v>
      </c>
      <c r="T455" s="1420">
        <f>base[[#This Row],[Data de liquidação]]</f>
        <v>46039.619942129626</v>
      </c>
    </row>
    <row r="456" spans="2:22" ht="15" customHeight="1">
      <c r="B456" s="728" t="s">
        <v>549</v>
      </c>
      <c r="C456" s="911" t="s">
        <v>3556</v>
      </c>
      <c r="D456" s="1291">
        <v>46039.664375</v>
      </c>
      <c r="E456" s="821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627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1207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4" t="e">
        <f>LEFT(base[[#This Row],[Evento / Mercado]],FIND("/",base[[#This Row],[Evento / Mercado]])-2)</f>
        <v>#VALUE!</v>
      </c>
      <c r="T456" s="1420">
        <f>base[[#This Row],[Data de liquidação]]</f>
        <v>46039.664375</v>
      </c>
    </row>
    <row r="457" spans="2:22" ht="15" customHeight="1">
      <c r="B457" s="728" t="s">
        <v>549</v>
      </c>
      <c r="C457" s="911" t="s">
        <v>3556</v>
      </c>
      <c r="D457" s="1291">
        <v>46039.664456018516</v>
      </c>
      <c r="E457" s="821">
        <v>11.65</v>
      </c>
      <c r="F457" s="80">
        <v>4.4999999999999998E-2</v>
      </c>
      <c r="G457" s="135">
        <f t="shared" si="7"/>
        <v>12.198952879581153</v>
      </c>
      <c r="H457" s="135" t="s">
        <v>179</v>
      </c>
      <c r="I457" s="133" t="s">
        <v>392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1207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4" t="e">
        <f>LEFT(base[[#This Row],[Evento / Mercado]],FIND("/",base[[#This Row],[Evento / Mercado]])-2)</f>
        <v>#VALUE!</v>
      </c>
      <c r="T457" s="1420">
        <f>base[[#This Row],[Data de liquidação]]</f>
        <v>46039.664456018516</v>
      </c>
    </row>
    <row r="458" spans="2:22" ht="15" customHeight="1">
      <c r="B458" s="728" t="s">
        <v>548</v>
      </c>
      <c r="C458" s="911" t="s">
        <v>3556</v>
      </c>
      <c r="D458" s="1291">
        <v>46039.68005787037</v>
      </c>
      <c r="E458" s="821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4" t="e">
        <f>LEFT(base[[#This Row],[Evento / Mercado]],FIND("/",base[[#This Row],[Evento / Mercado]])-2)</f>
        <v>#VALUE!</v>
      </c>
      <c r="T458" s="1420">
        <f>base[[#This Row],[Data de liquidação]]</f>
        <v>46039.68005787037</v>
      </c>
    </row>
    <row r="459" spans="2:22" ht="15" customHeight="1">
      <c r="B459" s="728" t="s">
        <v>547</v>
      </c>
      <c r="C459" s="911" t="s">
        <v>3556</v>
      </c>
      <c r="D459" s="1291">
        <v>46039.682430555556</v>
      </c>
      <c r="E459" s="821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4" t="e">
        <f>LEFT(base[[#This Row],[Evento / Mercado]],FIND("/",base[[#This Row],[Evento / Mercado]])-2)</f>
        <v>#VALUE!</v>
      </c>
      <c r="T459" s="1420">
        <f>base[[#This Row],[Data de liquidação]]</f>
        <v>46039.682430555556</v>
      </c>
    </row>
    <row r="460" spans="2:22" ht="15" customHeight="1">
      <c r="B460" s="728" t="s">
        <v>546</v>
      </c>
      <c r="C460" s="911" t="s">
        <v>3556</v>
      </c>
      <c r="D460" s="1291">
        <v>46039.684398148151</v>
      </c>
      <c r="E460" s="821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694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1201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4" t="e">
        <f>LEFT(base[[#This Row],[Evento / Mercado]],FIND("/",base[[#This Row],[Evento / Mercado]])-2)</f>
        <v>#VALUE!</v>
      </c>
      <c r="T460" s="1420">
        <f>base[[#This Row],[Data de liquidação]]</f>
        <v>46039.684398148151</v>
      </c>
    </row>
    <row r="461" spans="2:22" ht="15" customHeight="1">
      <c r="B461" s="728" t="s">
        <v>546</v>
      </c>
      <c r="C461" s="911" t="s">
        <v>3556</v>
      </c>
      <c r="D461" s="1291">
        <v>46039.684571759259</v>
      </c>
      <c r="E461" s="821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4" t="e">
        <f>LEFT(base[[#This Row],[Evento / Mercado]],FIND("/",base[[#This Row],[Evento / Mercado]])-2)</f>
        <v>#VALUE!</v>
      </c>
      <c r="T461" s="1420">
        <f>base[[#This Row],[Data de liquidação]]</f>
        <v>46039.684571759259</v>
      </c>
    </row>
    <row r="462" spans="2:22" ht="15" customHeight="1">
      <c r="B462" s="728" t="s">
        <v>545</v>
      </c>
      <c r="C462" s="911" t="s">
        <v>3556</v>
      </c>
      <c r="D462" s="1291">
        <v>46039.684895833336</v>
      </c>
      <c r="E462" s="821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4" t="e">
        <f>LEFT(base[[#This Row],[Evento / Mercado]],FIND("/",base[[#This Row],[Evento / Mercado]])-2)</f>
        <v>#VALUE!</v>
      </c>
      <c r="T462" s="1420">
        <f>base[[#This Row],[Data de liquidação]]</f>
        <v>46039.684895833336</v>
      </c>
    </row>
    <row r="463" spans="2:22" ht="15" customHeight="1">
      <c r="B463" s="728" t="s">
        <v>544</v>
      </c>
      <c r="C463" s="911" t="s">
        <v>3556</v>
      </c>
      <c r="D463" s="1291">
        <v>46039.686111111114</v>
      </c>
      <c r="E463" s="821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4" t="e">
        <f>LEFT(base[[#This Row],[Evento / Mercado]],FIND("/",base[[#This Row],[Evento / Mercado]])-2)</f>
        <v>#VALUE!</v>
      </c>
      <c r="T463" s="142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728" t="s">
        <v>544</v>
      </c>
      <c r="C464" s="911" t="s">
        <v>3556</v>
      </c>
      <c r="D464" s="1291">
        <v>46039.686111111114</v>
      </c>
      <c r="E464" s="821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693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1200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4" t="e">
        <f>LEFT(base[[#This Row],[Evento / Mercado]],FIND("/",base[[#This Row],[Evento / Mercado]])-2)</f>
        <v>#VALUE!</v>
      </c>
      <c r="T464" s="142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728" t="s">
        <v>543</v>
      </c>
      <c r="C465" s="911" t="s">
        <v>3556</v>
      </c>
      <c r="D465" s="1291">
        <v>46039.688356481478</v>
      </c>
      <c r="E465" s="821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4" t="e">
        <f>LEFT(base[[#This Row],[Evento / Mercado]],FIND("/",base[[#This Row],[Evento / Mercado]])-2)</f>
        <v>#VALUE!</v>
      </c>
      <c r="T465" s="1420">
        <f>base[[#This Row],[Data de liquidação]]</f>
        <v>46039.688356481478</v>
      </c>
    </row>
    <row r="466" spans="2:20" ht="15" customHeight="1">
      <c r="B466" s="728" t="s">
        <v>542</v>
      </c>
      <c r="C466" s="911" t="s">
        <v>3556</v>
      </c>
      <c r="D466" s="1291">
        <v>46039.703796296293</v>
      </c>
      <c r="E466" s="821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4" t="e">
        <f>LEFT(base[[#This Row],[Evento / Mercado]],FIND("/",base[[#This Row],[Evento / Mercado]])-2)</f>
        <v>#VALUE!</v>
      </c>
      <c r="T466" s="1420">
        <f>base[[#This Row],[Data de liquidação]]</f>
        <v>46039.703796296293</v>
      </c>
    </row>
    <row r="467" spans="2:20" ht="15" customHeight="1">
      <c r="B467" s="728" t="s">
        <v>541</v>
      </c>
      <c r="C467" s="911" t="s">
        <v>3556</v>
      </c>
      <c r="D467" s="1291">
        <v>46039.746932870374</v>
      </c>
      <c r="E467" s="821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693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1205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4" t="e">
        <f>LEFT(base[[#This Row],[Evento / Mercado]],FIND("/",base[[#This Row],[Evento / Mercado]])-2)</f>
        <v>#VALUE!</v>
      </c>
      <c r="T467" s="1420">
        <f>base[[#This Row],[Data de liquidação]]</f>
        <v>46039.746932870374</v>
      </c>
    </row>
    <row r="468" spans="2:20" ht="15" customHeight="1">
      <c r="B468" s="728" t="s">
        <v>540</v>
      </c>
      <c r="C468" s="911" t="s">
        <v>3556</v>
      </c>
      <c r="D468" s="1291">
        <v>46039.78020833333</v>
      </c>
      <c r="E468" s="821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4" t="e">
        <f>LEFT(base[[#This Row],[Evento / Mercado]],FIND("/",base[[#This Row],[Evento / Mercado]])-2)</f>
        <v>#VALUE!</v>
      </c>
      <c r="T468" s="1420">
        <f>base[[#This Row],[Data de liquidação]]</f>
        <v>46039.78020833333</v>
      </c>
    </row>
    <row r="469" spans="2:20" ht="15" customHeight="1">
      <c r="B469" s="728" t="s">
        <v>539</v>
      </c>
      <c r="C469" s="911" t="s">
        <v>3556</v>
      </c>
      <c r="D469" s="1291">
        <v>46039.783275462964</v>
      </c>
      <c r="E469" s="821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4" t="e">
        <f>LEFT(base[[#This Row],[Evento / Mercado]],FIND("/",base[[#This Row],[Evento / Mercado]])-2)</f>
        <v>#VALUE!</v>
      </c>
      <c r="T469" s="1420">
        <f>base[[#This Row],[Data de liquidação]]</f>
        <v>46039.783275462964</v>
      </c>
    </row>
    <row r="470" spans="2:20" ht="15" customHeight="1">
      <c r="B470" s="728" t="s">
        <v>538</v>
      </c>
      <c r="C470" s="911" t="s">
        <v>3556</v>
      </c>
      <c r="D470" s="1291">
        <v>46039.788993055554</v>
      </c>
      <c r="E470" s="821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4" t="e">
        <f>LEFT(base[[#This Row],[Evento / Mercado]],FIND("/",base[[#This Row],[Evento / Mercado]])-2)</f>
        <v>#VALUE!</v>
      </c>
      <c r="T470" s="1420">
        <f>base[[#This Row],[Data de liquidação]]</f>
        <v>46039.788993055554</v>
      </c>
    </row>
    <row r="471" spans="2:20" ht="15" customHeight="1">
      <c r="B471" s="728" t="s">
        <v>537</v>
      </c>
      <c r="C471" s="911" t="s">
        <v>3556</v>
      </c>
      <c r="D471" s="1291">
        <v>46039.793749999997</v>
      </c>
      <c r="E471" s="821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4" t="e">
        <f>LEFT(base[[#This Row],[Evento / Mercado]],FIND("/",base[[#This Row],[Evento / Mercado]])-2)</f>
        <v>#VALUE!</v>
      </c>
      <c r="T471" s="1420">
        <f>base[[#This Row],[Data de liquidação]]</f>
        <v>46039.793749999997</v>
      </c>
    </row>
    <row r="472" spans="2:20" ht="15" customHeight="1">
      <c r="B472" s="728" t="s">
        <v>536</v>
      </c>
      <c r="C472" s="911" t="s">
        <v>3556</v>
      </c>
      <c r="D472" s="1291">
        <v>46039.811585648145</v>
      </c>
      <c r="E472" s="821">
        <v>21.37</v>
      </c>
      <c r="F472" s="80">
        <v>4.4999999999999998E-2</v>
      </c>
      <c r="G472" s="135">
        <f t="shared" si="7"/>
        <v>22.376963350785342</v>
      </c>
      <c r="H472" s="135" t="s">
        <v>179</v>
      </c>
      <c r="I472" s="133" t="s">
        <v>391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1203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4" t="e">
        <f>LEFT(base[[#This Row],[Evento / Mercado]],FIND("/",base[[#This Row],[Evento / Mercado]])-2)</f>
        <v>#VALUE!</v>
      </c>
      <c r="T472" s="1420">
        <f>base[[#This Row],[Data de liquidação]]</f>
        <v>46039.811585648145</v>
      </c>
    </row>
    <row r="473" spans="2:20" ht="15" customHeight="1">
      <c r="B473" s="728" t="s">
        <v>535</v>
      </c>
      <c r="C473" s="911" t="s">
        <v>3556</v>
      </c>
      <c r="D473" s="1291">
        <v>46040.415231481478</v>
      </c>
      <c r="E473" s="821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4" t="e">
        <f>LEFT(base[[#This Row],[Evento / Mercado]],FIND("/",base[[#This Row],[Evento / Mercado]])-2)</f>
        <v>#VALUE!</v>
      </c>
      <c r="T473" s="1420">
        <f>base[[#This Row],[Data de liquidação]]</f>
        <v>46040.415231481478</v>
      </c>
    </row>
    <row r="474" spans="2:20" ht="15" customHeight="1">
      <c r="B474" s="728" t="s">
        <v>534</v>
      </c>
      <c r="C474" s="911" t="s">
        <v>3556</v>
      </c>
      <c r="D474" s="1291">
        <v>46040.482789351852</v>
      </c>
      <c r="E474" s="821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4" t="e">
        <f>LEFT(base[[#This Row],[Evento / Mercado]],FIND("/",base[[#This Row],[Evento / Mercado]])-2)</f>
        <v>#VALUE!</v>
      </c>
      <c r="T474" s="1420">
        <f>base[[#This Row],[Data de liquidação]]</f>
        <v>46040.482789351852</v>
      </c>
    </row>
    <row r="475" spans="2:20" ht="15" customHeight="1">
      <c r="B475" s="728" t="s">
        <v>533</v>
      </c>
      <c r="C475" s="911" t="s">
        <v>3556</v>
      </c>
      <c r="D475" s="1291">
        <v>46040.527372685188</v>
      </c>
      <c r="E475" s="821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4" t="e">
        <f>LEFT(base[[#This Row],[Evento / Mercado]],FIND("/",base[[#This Row],[Evento / Mercado]])-2)</f>
        <v>#VALUE!</v>
      </c>
      <c r="T475" s="1420">
        <f>base[[#This Row],[Data de liquidação]]</f>
        <v>46040.527372685188</v>
      </c>
    </row>
    <row r="476" spans="2:20" ht="15" customHeight="1">
      <c r="B476" s="728" t="s">
        <v>532</v>
      </c>
      <c r="C476" s="911" t="s">
        <v>3556</v>
      </c>
      <c r="D476" s="1291">
        <v>46040.537731481483</v>
      </c>
      <c r="E476" s="821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4" t="e">
        <f>LEFT(base[[#This Row],[Evento / Mercado]],FIND("/",base[[#This Row],[Evento / Mercado]])-2)</f>
        <v>#VALUE!</v>
      </c>
      <c r="T476" s="1420">
        <f>base[[#This Row],[Data de liquidação]]</f>
        <v>46040.537731481483</v>
      </c>
    </row>
    <row r="477" spans="2:20" ht="15" customHeight="1">
      <c r="B477" s="728" t="s">
        <v>531</v>
      </c>
      <c r="C477" s="911" t="s">
        <v>3556</v>
      </c>
      <c r="D477" s="1291">
        <v>46040.557835648149</v>
      </c>
      <c r="E477" s="821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4" t="e">
        <f>LEFT(base[[#This Row],[Evento / Mercado]],FIND("/",base[[#This Row],[Evento / Mercado]])-2)</f>
        <v>#VALUE!</v>
      </c>
      <c r="T477" s="1420">
        <f>base[[#This Row],[Data de liquidação]]</f>
        <v>46040.557835648149</v>
      </c>
    </row>
    <row r="478" spans="2:20" ht="15" customHeight="1">
      <c r="B478" s="728" t="s">
        <v>531</v>
      </c>
      <c r="C478" s="911" t="s">
        <v>3556</v>
      </c>
      <c r="D478" s="1291">
        <v>46040.557881944442</v>
      </c>
      <c r="E478" s="821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4" t="e">
        <f>LEFT(base[[#This Row],[Evento / Mercado]],FIND("/",base[[#This Row],[Evento / Mercado]])-2)</f>
        <v>#VALUE!</v>
      </c>
      <c r="T478" s="1420">
        <f>base[[#This Row],[Data de liquidação]]</f>
        <v>46040.557881944442</v>
      </c>
    </row>
    <row r="479" spans="2:20" ht="15" customHeight="1">
      <c r="B479" s="728" t="s">
        <v>530</v>
      </c>
      <c r="C479" s="911" t="s">
        <v>3556</v>
      </c>
      <c r="D479" s="1291">
        <v>46040.591481481482</v>
      </c>
      <c r="E479" s="821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4" t="e">
        <f>LEFT(base[[#This Row],[Evento / Mercado]],FIND("/",base[[#This Row],[Evento / Mercado]])-2)</f>
        <v>#VALUE!</v>
      </c>
      <c r="T479" s="1420">
        <f>base[[#This Row],[Data de liquidação]]</f>
        <v>46040.591481481482</v>
      </c>
    </row>
    <row r="480" spans="2:20" ht="15" customHeight="1">
      <c r="B480" s="728" t="s">
        <v>530</v>
      </c>
      <c r="C480" s="911" t="s">
        <v>3556</v>
      </c>
      <c r="D480" s="1291">
        <v>46040.591666666667</v>
      </c>
      <c r="E480" s="821">
        <v>14.33</v>
      </c>
      <c r="F480" s="80">
        <v>4.4999999999999998E-2</v>
      </c>
      <c r="G480" s="135">
        <f t="shared" si="7"/>
        <v>15.005235602094242</v>
      </c>
      <c r="H480" s="135" t="s">
        <v>179</v>
      </c>
      <c r="I480" s="133" t="s">
        <v>392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1202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4" t="e">
        <f>LEFT(base[[#This Row],[Evento / Mercado]],FIND("/",base[[#This Row],[Evento / Mercado]])-2)</f>
        <v>#VALUE!</v>
      </c>
      <c r="T480" s="1420">
        <f>base[[#This Row],[Data de liquidação]]</f>
        <v>46040.591666666667</v>
      </c>
    </row>
    <row r="481" spans="2:22" ht="15" customHeight="1">
      <c r="B481" s="728" t="s">
        <v>529</v>
      </c>
      <c r="C481" s="911" t="s">
        <v>3556</v>
      </c>
      <c r="D481" s="1291">
        <v>46040.63548611111</v>
      </c>
      <c r="E481" s="821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4" t="e">
        <f>LEFT(base[[#This Row],[Evento / Mercado]],FIND("/",base[[#This Row],[Evento / Mercado]])-2)</f>
        <v>#VALUE!</v>
      </c>
      <c r="T481" s="142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728" t="s">
        <v>529</v>
      </c>
      <c r="C482" s="911" t="s">
        <v>3556</v>
      </c>
      <c r="D482" s="1291">
        <v>46040.63548611111</v>
      </c>
      <c r="E482" s="821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4" t="e">
        <f>LEFT(base[[#This Row],[Evento / Mercado]],FIND("/",base[[#This Row],[Evento / Mercado]])-2)</f>
        <v>#VALUE!</v>
      </c>
      <c r="T482" s="142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728" t="s">
        <v>528</v>
      </c>
      <c r="C483" s="911" t="s">
        <v>3556</v>
      </c>
      <c r="D483" s="1291">
        <v>46040.636446759258</v>
      </c>
      <c r="E483" s="821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4" t="e">
        <f>LEFT(base[[#This Row],[Evento / Mercado]],FIND("/",base[[#This Row],[Evento / Mercado]])-2)</f>
        <v>#VALUE!</v>
      </c>
      <c r="T483" s="142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728" t="s">
        <v>528</v>
      </c>
      <c r="C484" s="911" t="s">
        <v>3556</v>
      </c>
      <c r="D484" s="1291">
        <v>46040.636446759258</v>
      </c>
      <c r="E484" s="821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627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1208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4" t="e">
        <f>LEFT(base[[#This Row],[Evento / Mercado]],FIND("/",base[[#This Row],[Evento / Mercado]])-2)</f>
        <v>#VALUE!</v>
      </c>
      <c r="T484" s="142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728" t="s">
        <v>528</v>
      </c>
      <c r="C485" s="911" t="s">
        <v>3556</v>
      </c>
      <c r="D485" s="1291">
        <v>46040.636446759258</v>
      </c>
      <c r="E485" s="821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4" t="e">
        <f>LEFT(base[[#This Row],[Evento / Mercado]],FIND("/",base[[#This Row],[Evento / Mercado]])-2)</f>
        <v>#VALUE!</v>
      </c>
      <c r="T485" s="142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728" t="s">
        <v>528</v>
      </c>
      <c r="C486" s="911" t="s">
        <v>3556</v>
      </c>
      <c r="D486" s="1291">
        <v>46040.636550925927</v>
      </c>
      <c r="E486" s="821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4" t="e">
        <f>LEFT(base[[#This Row],[Evento / Mercado]],FIND("/",base[[#This Row],[Evento / Mercado]])-2)</f>
        <v>#VALUE!</v>
      </c>
      <c r="T486" s="1420">
        <f>base[[#This Row],[Data de liquidação]]</f>
        <v>46040.636550925927</v>
      </c>
    </row>
    <row r="487" spans="2:22" ht="15" customHeight="1">
      <c r="B487" s="728" t="s">
        <v>527</v>
      </c>
      <c r="C487" s="911" t="s">
        <v>3556</v>
      </c>
      <c r="D487" s="1291">
        <v>46040.641898148147</v>
      </c>
      <c r="E487" s="821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4" t="e">
        <f>LEFT(base[[#This Row],[Evento / Mercado]],FIND("/",base[[#This Row],[Evento / Mercado]])-2)</f>
        <v>#VALUE!</v>
      </c>
      <c r="T487" s="1420">
        <f>base[[#This Row],[Data de liquidação]]</f>
        <v>46040.641898148147</v>
      </c>
    </row>
    <row r="488" spans="2:22" ht="15" customHeight="1">
      <c r="B488" s="728" t="s">
        <v>526</v>
      </c>
      <c r="C488" s="911" t="s">
        <v>3556</v>
      </c>
      <c r="D488" s="1291">
        <v>46040.778263888889</v>
      </c>
      <c r="E488" s="821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4" t="e">
        <f>LEFT(base[[#This Row],[Evento / Mercado]],FIND("/",base[[#This Row],[Evento / Mercado]])-2)</f>
        <v>#VALUE!</v>
      </c>
      <c r="T488" s="142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728" t="s">
        <v>526</v>
      </c>
      <c r="C489" s="911" t="s">
        <v>3556</v>
      </c>
      <c r="D489" s="1291">
        <v>46040.778263888889</v>
      </c>
      <c r="E489" s="821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4" t="e">
        <f>LEFT(base[[#This Row],[Evento / Mercado]],FIND("/",base[[#This Row],[Evento / Mercado]])-2)</f>
        <v>#VALUE!</v>
      </c>
      <c r="T489" s="142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728" t="s">
        <v>526</v>
      </c>
      <c r="C490" s="911" t="s">
        <v>3556</v>
      </c>
      <c r="D490" s="1291">
        <v>46040.778263888889</v>
      </c>
      <c r="E490" s="821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627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1208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4" t="e">
        <f>LEFT(base[[#This Row],[Evento / Mercado]],FIND("/",base[[#This Row],[Evento / Mercado]])-2)</f>
        <v>#VALUE!</v>
      </c>
      <c r="T490" s="142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728" t="s">
        <v>525</v>
      </c>
      <c r="C491" s="911" t="s">
        <v>3556</v>
      </c>
      <c r="D491" s="1291">
        <v>46040.779062499998</v>
      </c>
      <c r="E491" s="821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4" t="e">
        <f>LEFT(base[[#This Row],[Evento / Mercado]],FIND("/",base[[#This Row],[Evento / Mercado]])-2)</f>
        <v>#VALUE!</v>
      </c>
      <c r="T491" s="1420">
        <f>base[[#This Row],[Data de liquidação]]</f>
        <v>46040.779062499998</v>
      </c>
    </row>
    <row r="492" spans="2:22" ht="15" customHeight="1">
      <c r="B492" s="728" t="s">
        <v>524</v>
      </c>
      <c r="C492" s="911" t="s">
        <v>3556</v>
      </c>
      <c r="D492" s="1291">
        <v>46040.796296296299</v>
      </c>
      <c r="E492" s="821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693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1202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4" t="e">
        <f>LEFT(base[[#This Row],[Evento / Mercado]],FIND("/",base[[#This Row],[Evento / Mercado]])-2)</f>
        <v>#VALUE!</v>
      </c>
      <c r="T492" s="1420">
        <f>base[[#This Row],[Data de liquidação]]</f>
        <v>46040.796296296299</v>
      </c>
    </row>
    <row r="493" spans="2:22" ht="15" customHeight="1">
      <c r="B493" s="728" t="s">
        <v>523</v>
      </c>
      <c r="C493" s="911" t="s">
        <v>3556</v>
      </c>
      <c r="D493" s="1291">
        <v>46040.815532407411</v>
      </c>
      <c r="E493" s="821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694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1203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4" t="e">
        <f>LEFT(base[[#This Row],[Evento / Mercado]],FIND("/",base[[#This Row],[Evento / Mercado]])-2)</f>
        <v>#VALUE!</v>
      </c>
      <c r="T493" s="1420">
        <f>base[[#This Row],[Data de liquidação]]</f>
        <v>46040.815532407411</v>
      </c>
    </row>
    <row r="494" spans="2:22" ht="15" customHeight="1">
      <c r="B494" s="729" t="s">
        <v>605</v>
      </c>
      <c r="C494" s="911" t="s">
        <v>3556</v>
      </c>
      <c r="D494" s="1292">
        <v>46042.582650462966</v>
      </c>
      <c r="E494" s="822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4" t="e">
        <f>LEFT(base[[#This Row],[Evento / Mercado]],FIND("/",base[[#This Row],[Evento / Mercado]])-2)</f>
        <v>#VALUE!</v>
      </c>
      <c r="T494" s="142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729" t="s">
        <v>605</v>
      </c>
      <c r="C495" s="911" t="s">
        <v>3556</v>
      </c>
      <c r="D495" s="1292">
        <v>46042.582650462966</v>
      </c>
      <c r="E495" s="822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4" t="e">
        <f>LEFT(base[[#This Row],[Evento / Mercado]],FIND("/",base[[#This Row],[Evento / Mercado]])-2)</f>
        <v>#VALUE!</v>
      </c>
      <c r="T495" s="142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729" t="s">
        <v>604</v>
      </c>
      <c r="C496" s="911" t="s">
        <v>3556</v>
      </c>
      <c r="D496" s="1292">
        <v>46042.597858796296</v>
      </c>
      <c r="E496" s="822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4" t="e">
        <f>LEFT(base[[#This Row],[Evento / Mercado]],FIND("/",base[[#This Row],[Evento / Mercado]])-2)</f>
        <v>#VALUE!</v>
      </c>
      <c r="T496" s="1420">
        <f>base[[#This Row],[Data de liquidação]]</f>
        <v>46042.597858796296</v>
      </c>
    </row>
    <row r="497" spans="2:22" ht="15" customHeight="1">
      <c r="B497" s="729" t="s">
        <v>603</v>
      </c>
      <c r="C497" s="911" t="s">
        <v>3556</v>
      </c>
      <c r="D497" s="1292">
        <v>46042.660127314812</v>
      </c>
      <c r="E497" s="822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4" t="e">
        <f>LEFT(base[[#This Row],[Evento / Mercado]],FIND("/",base[[#This Row],[Evento / Mercado]])-2)</f>
        <v>#VALUE!</v>
      </c>
      <c r="T497" s="1420">
        <f>base[[#This Row],[Data de liquidação]]</f>
        <v>46042.660127314812</v>
      </c>
    </row>
    <row r="498" spans="2:22" ht="15" customHeight="1">
      <c r="B498" s="729" t="s">
        <v>603</v>
      </c>
      <c r="C498" s="911" t="s">
        <v>3556</v>
      </c>
      <c r="D498" s="1292">
        <v>46042.684270833335</v>
      </c>
      <c r="E498" s="822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4" t="e">
        <f>LEFT(base[[#This Row],[Evento / Mercado]],FIND("/",base[[#This Row],[Evento / Mercado]])-2)</f>
        <v>#VALUE!</v>
      </c>
      <c r="T498" s="1420">
        <f>base[[#This Row],[Data de liquidação]]</f>
        <v>46042.684270833335</v>
      </c>
    </row>
    <row r="499" spans="2:22" ht="15" customHeight="1">
      <c r="B499" s="729" t="s">
        <v>602</v>
      </c>
      <c r="C499" s="911" t="s">
        <v>3556</v>
      </c>
      <c r="D499" s="1292">
        <v>46042.691863425927</v>
      </c>
      <c r="E499" s="822">
        <v>-164.99</v>
      </c>
      <c r="F499" s="80">
        <v>4.4999999999999998E-2</v>
      </c>
      <c r="G499" s="159">
        <f t="shared" si="7"/>
        <v>-164.99</v>
      </c>
      <c r="H499" s="135" t="s">
        <v>179</v>
      </c>
      <c r="I499" s="157" t="s">
        <v>391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1210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4" t="str">
        <f>LEFT(base[[#This Row],[Evento / Mercado]],FIND("/",base[[#This Row],[Evento / Mercado]])-2)</f>
        <v>Bod</v>
      </c>
      <c r="T499" s="1420">
        <f>base[[#This Row],[Data de liquidação]]</f>
        <v>46042.691863425927</v>
      </c>
    </row>
    <row r="500" spans="2:22" ht="15" customHeight="1">
      <c r="B500" s="729" t="s">
        <v>601</v>
      </c>
      <c r="C500" s="911" t="s">
        <v>3556</v>
      </c>
      <c r="D500" s="1292">
        <v>46042.776006944441</v>
      </c>
      <c r="E500" s="822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4" t="e">
        <f>LEFT(base[[#This Row],[Evento / Mercado]],FIND("/",base[[#This Row],[Evento / Mercado]])-2)</f>
        <v>#VALUE!</v>
      </c>
      <c r="T500" s="1420">
        <f>base[[#This Row],[Data de liquidação]]</f>
        <v>46042.776006944441</v>
      </c>
    </row>
    <row r="501" spans="2:22" ht="15" customHeight="1">
      <c r="B501" s="729" t="s">
        <v>600</v>
      </c>
      <c r="C501" s="911" t="s">
        <v>3556</v>
      </c>
      <c r="D501" s="1292">
        <v>46042.777719907404</v>
      </c>
      <c r="E501" s="822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4" t="e">
        <f>LEFT(base[[#This Row],[Evento / Mercado]],FIND("/",base[[#This Row],[Evento / Mercado]])-2)</f>
        <v>#VALUE!</v>
      </c>
      <c r="T501" s="1420">
        <f>base[[#This Row],[Data de liquidação]]</f>
        <v>46042.777719907404</v>
      </c>
    </row>
    <row r="502" spans="2:22" ht="15" customHeight="1">
      <c r="B502" s="729" t="s">
        <v>599</v>
      </c>
      <c r="C502" s="911" t="s">
        <v>3556</v>
      </c>
      <c r="D502" s="1292">
        <v>46042.78052083333</v>
      </c>
      <c r="E502" s="822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4" t="e">
        <f>LEFT(base[[#This Row],[Evento / Mercado]],FIND("/",base[[#This Row],[Evento / Mercado]])-2)</f>
        <v>#VALUE!</v>
      </c>
      <c r="T502" s="1420">
        <f>base[[#This Row],[Data de liquidação]]</f>
        <v>46042.78052083333</v>
      </c>
    </row>
    <row r="503" spans="2:22" ht="15" customHeight="1">
      <c r="B503" s="729" t="s">
        <v>598</v>
      </c>
      <c r="C503" s="911" t="s">
        <v>3556</v>
      </c>
      <c r="D503" s="1292">
        <v>46042.787430555552</v>
      </c>
      <c r="E503" s="822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693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1210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4" t="e">
        <f>LEFT(base[[#This Row],[Evento / Mercado]],FIND("/",base[[#This Row],[Evento / Mercado]])-2)</f>
        <v>#VALUE!</v>
      </c>
      <c r="T503" s="1420">
        <f>base[[#This Row],[Data de liquidação]]</f>
        <v>46042.787430555552</v>
      </c>
    </row>
    <row r="504" spans="2:22" ht="15" customHeight="1">
      <c r="B504" s="729" t="s">
        <v>598</v>
      </c>
      <c r="C504" s="911" t="s">
        <v>3556</v>
      </c>
      <c r="D504" s="1292">
        <v>46042.787534722222</v>
      </c>
      <c r="E504" s="822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4" t="e">
        <f>LEFT(base[[#This Row],[Evento / Mercado]],FIND("/",base[[#This Row],[Evento / Mercado]])-2)</f>
        <v>#VALUE!</v>
      </c>
      <c r="T504" s="1420">
        <f>base[[#This Row],[Data de liquidação]]</f>
        <v>46042.787534722222</v>
      </c>
    </row>
    <row r="505" spans="2:22" ht="15" customHeight="1">
      <c r="B505" s="729" t="s">
        <v>597</v>
      </c>
      <c r="C505" s="911" t="s">
        <v>3556</v>
      </c>
      <c r="D505" s="1292">
        <v>46042.788194444445</v>
      </c>
      <c r="E505" s="822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4" t="e">
        <f>LEFT(base[[#This Row],[Evento / Mercado]],FIND("/",base[[#This Row],[Evento / Mercado]])-2)</f>
        <v>#VALUE!</v>
      </c>
      <c r="T505" s="142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729" t="s">
        <v>597</v>
      </c>
      <c r="C506" s="911" t="s">
        <v>3556</v>
      </c>
      <c r="D506" s="1292">
        <v>46042.788194444445</v>
      </c>
      <c r="E506" s="822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4" t="e">
        <f>LEFT(base[[#This Row],[Evento / Mercado]],FIND("/",base[[#This Row],[Evento / Mercado]])-2)</f>
        <v>#VALUE!</v>
      </c>
      <c r="T506" s="142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729" t="s">
        <v>596</v>
      </c>
      <c r="C507" s="911" t="s">
        <v>3556</v>
      </c>
      <c r="D507" s="1292">
        <v>46042.788807870369</v>
      </c>
      <c r="E507" s="822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4" t="e">
        <f>LEFT(base[[#This Row],[Evento / Mercado]],FIND("/",base[[#This Row],[Evento / Mercado]])-2)</f>
        <v>#VALUE!</v>
      </c>
      <c r="T507" s="1420">
        <f>base[[#This Row],[Data de liquidação]]</f>
        <v>46042.788807870369</v>
      </c>
    </row>
    <row r="508" spans="2:22" ht="15" customHeight="1">
      <c r="B508" s="729" t="s">
        <v>595</v>
      </c>
      <c r="C508" s="911" t="s">
        <v>3556</v>
      </c>
      <c r="D508" s="1292">
        <v>46042.789594907408</v>
      </c>
      <c r="E508" s="822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693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1210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4" t="e">
        <f>LEFT(base[[#This Row],[Evento / Mercado]],FIND("/",base[[#This Row],[Evento / Mercado]])-2)</f>
        <v>#VALUE!</v>
      </c>
      <c r="T508" s="1420">
        <f>base[[#This Row],[Data de liquidação]]</f>
        <v>46042.789594907408</v>
      </c>
    </row>
    <row r="509" spans="2:22" ht="15" customHeight="1">
      <c r="B509" s="730" t="s">
        <v>617</v>
      </c>
      <c r="C509" s="911" t="s">
        <v>3556</v>
      </c>
      <c r="D509" s="1293">
        <v>46043.682916666665</v>
      </c>
      <c r="E509" s="823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4" t="e">
        <f>LEFT(base[[#This Row],[Evento / Mercado]],FIND("/",base[[#This Row],[Evento / Mercado]])-2)</f>
        <v>#VALUE!</v>
      </c>
      <c r="T509" s="1420">
        <f>base[[#This Row],[Data de liquidação]]</f>
        <v>46043.682916666665</v>
      </c>
    </row>
    <row r="510" spans="2:22" ht="15" customHeight="1">
      <c r="B510" s="730" t="s">
        <v>616</v>
      </c>
      <c r="C510" s="911" t="s">
        <v>3556</v>
      </c>
      <c r="D510" s="1293">
        <v>46043.684166666666</v>
      </c>
      <c r="E510" s="823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4" t="e">
        <f>LEFT(base[[#This Row],[Evento / Mercado]],FIND("/",base[[#This Row],[Evento / Mercado]])-2)</f>
        <v>#VALUE!</v>
      </c>
      <c r="T510" s="1420">
        <f>base[[#This Row],[Data de liquidação]]</f>
        <v>46043.684166666666</v>
      </c>
    </row>
    <row r="511" spans="2:22" ht="15" customHeight="1">
      <c r="B511" s="730" t="s">
        <v>615</v>
      </c>
      <c r="C511" s="911" t="s">
        <v>3556</v>
      </c>
      <c r="D511" s="1293">
        <v>46043.693043981482</v>
      </c>
      <c r="E511" s="823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4" t="e">
        <f>LEFT(base[[#This Row],[Evento / Mercado]],FIND("/",base[[#This Row],[Evento / Mercado]])-2)</f>
        <v>#VALUE!</v>
      </c>
      <c r="T511" s="1420">
        <f>base[[#This Row],[Data de liquidação]]</f>
        <v>46043.693043981482</v>
      </c>
    </row>
    <row r="512" spans="2:22" ht="15" customHeight="1">
      <c r="B512" s="730" t="s">
        <v>614</v>
      </c>
      <c r="C512" s="911" t="s">
        <v>3556</v>
      </c>
      <c r="D512" s="1293">
        <v>46043.776620370372</v>
      </c>
      <c r="E512" s="823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4" t="e">
        <f>LEFT(base[[#This Row],[Evento / Mercado]],FIND("/",base[[#This Row],[Evento / Mercado]])-2)</f>
        <v>#VALUE!</v>
      </c>
      <c r="T512" s="1420">
        <f>base[[#This Row],[Data de liquidação]]</f>
        <v>46043.776620370372</v>
      </c>
    </row>
    <row r="513" spans="2:22" ht="15" customHeight="1">
      <c r="B513" s="730" t="s">
        <v>613</v>
      </c>
      <c r="C513" s="911" t="s">
        <v>3556</v>
      </c>
      <c r="D513" s="1293">
        <v>46043.780856481484</v>
      </c>
      <c r="E513" s="823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4" t="e">
        <f>LEFT(base[[#This Row],[Evento / Mercado]],FIND("/",base[[#This Row],[Evento / Mercado]])-2)</f>
        <v>#VALUE!</v>
      </c>
      <c r="T513" s="142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730" t="s">
        <v>613</v>
      </c>
      <c r="C514" s="911" t="s">
        <v>3556</v>
      </c>
      <c r="D514" s="1293">
        <v>46043.780856481484</v>
      </c>
      <c r="E514" s="823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4" t="e">
        <f>LEFT(base[[#This Row],[Evento / Mercado]],FIND("/",base[[#This Row],[Evento / Mercado]])-2)</f>
        <v>#VALUE!</v>
      </c>
      <c r="T514" s="142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730" t="s">
        <v>612</v>
      </c>
      <c r="C515" s="911" t="s">
        <v>3556</v>
      </c>
      <c r="D515" s="1293">
        <v>46043.786006944443</v>
      </c>
      <c r="E515" s="823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4" t="e">
        <f>LEFT(base[[#This Row],[Evento / Mercado]],FIND("/",base[[#This Row],[Evento / Mercado]])-2)</f>
        <v>#VALUE!</v>
      </c>
      <c r="T515" s="142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730" t="s">
        <v>612</v>
      </c>
      <c r="C516" s="911" t="s">
        <v>3556</v>
      </c>
      <c r="D516" s="1293">
        <v>46043.786006944443</v>
      </c>
      <c r="E516" s="823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4" t="e">
        <f>LEFT(base[[#This Row],[Evento / Mercado]],FIND("/",base[[#This Row],[Evento / Mercado]])-2)</f>
        <v>#VALUE!</v>
      </c>
      <c r="T516" s="142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730" t="s">
        <v>611</v>
      </c>
      <c r="C517" s="911" t="s">
        <v>3556</v>
      </c>
      <c r="D517" s="1293">
        <v>46043.786249999997</v>
      </c>
      <c r="E517" s="823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4" t="e">
        <f>LEFT(base[[#This Row],[Evento / Mercado]],FIND("/",base[[#This Row],[Evento / Mercado]])-2)</f>
        <v>#VALUE!</v>
      </c>
      <c r="T517" s="142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730" t="s">
        <v>611</v>
      </c>
      <c r="C518" s="911" t="s">
        <v>3556</v>
      </c>
      <c r="D518" s="1293">
        <v>46043.786249999997</v>
      </c>
      <c r="E518" s="823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4" t="e">
        <f>LEFT(base[[#This Row],[Evento / Mercado]],FIND("/",base[[#This Row],[Evento / Mercado]])-2)</f>
        <v>#VALUE!</v>
      </c>
      <c r="T518" s="142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730" t="s">
        <v>609</v>
      </c>
      <c r="C519" s="911" t="s">
        <v>3556</v>
      </c>
      <c r="D519" s="1293">
        <v>46043.787962962961</v>
      </c>
      <c r="E519" s="823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693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1210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4" t="e">
        <f>LEFT(base[[#This Row],[Evento / Mercado]],FIND("/",base[[#This Row],[Evento / Mercado]])-2)</f>
        <v>#VALUE!</v>
      </c>
      <c r="T519" s="1420">
        <f>base[[#This Row],[Data de liquidação]]</f>
        <v>46043.787962962961</v>
      </c>
    </row>
    <row r="520" spans="2:22" ht="15" customHeight="1">
      <c r="B520" s="730" t="s">
        <v>610</v>
      </c>
      <c r="C520" s="911" t="s">
        <v>3556</v>
      </c>
      <c r="D520" s="1293">
        <v>46043.78802083333</v>
      </c>
      <c r="E520" s="823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628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1210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4" t="e">
        <f>LEFT(base[[#This Row],[Evento / Mercado]],FIND("/",base[[#This Row],[Evento / Mercado]])-2)</f>
        <v>#VALUE!</v>
      </c>
      <c r="T520" s="1420">
        <f>base[[#This Row],[Data de liquidação]]</f>
        <v>46043.78802083333</v>
      </c>
    </row>
    <row r="521" spans="2:22" ht="15" customHeight="1">
      <c r="B521" s="730" t="s">
        <v>609</v>
      </c>
      <c r="C521" s="911" t="s">
        <v>3556</v>
      </c>
      <c r="D521" s="1293">
        <v>46043.788043981483</v>
      </c>
      <c r="E521" s="823">
        <v>11.11</v>
      </c>
      <c r="F521" s="80">
        <v>4.4999999999999998E-2</v>
      </c>
      <c r="G521" s="163">
        <f t="shared" si="9"/>
        <v>11.633507853403142</v>
      </c>
      <c r="H521" s="135" t="s">
        <v>179</v>
      </c>
      <c r="I521" s="161" t="s">
        <v>391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1210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4" t="e">
        <f>LEFT(base[[#This Row],[Evento / Mercado]],FIND("/",base[[#This Row],[Evento / Mercado]])-2)</f>
        <v>#VALUE!</v>
      </c>
      <c r="T521" s="1420">
        <f>base[[#This Row],[Data de liquidação]]</f>
        <v>46043.788043981483</v>
      </c>
    </row>
    <row r="522" spans="2:22" ht="15" customHeight="1">
      <c r="B522" s="730" t="s">
        <v>609</v>
      </c>
      <c r="C522" s="911" t="s">
        <v>3556</v>
      </c>
      <c r="D522" s="1293">
        <v>46043.788657407407</v>
      </c>
      <c r="E522" s="823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4" t="e">
        <f>LEFT(base[[#This Row],[Evento / Mercado]],FIND("/",base[[#This Row],[Evento / Mercado]])-2)</f>
        <v>#VALUE!</v>
      </c>
      <c r="T522" s="1420">
        <f>base[[#This Row],[Data de liquidação]]</f>
        <v>46043.788657407407</v>
      </c>
    </row>
    <row r="523" spans="2:22" ht="15" customHeight="1">
      <c r="B523" s="730" t="s">
        <v>608</v>
      </c>
      <c r="C523" s="911" t="s">
        <v>3556</v>
      </c>
      <c r="D523" s="1293">
        <v>46043.7893287037</v>
      </c>
      <c r="E523" s="823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4" t="e">
        <f>LEFT(base[[#This Row],[Evento / Mercado]],FIND("/",base[[#This Row],[Evento / Mercado]])-2)</f>
        <v>#VALUE!</v>
      </c>
      <c r="T523" s="1420">
        <f>base[[#This Row],[Data de liquidação]]</f>
        <v>46043.7893287037</v>
      </c>
    </row>
    <row r="524" spans="2:22" ht="15" customHeight="1">
      <c r="B524" s="730" t="s">
        <v>608</v>
      </c>
      <c r="C524" s="911" t="s">
        <v>3556</v>
      </c>
      <c r="D524" s="1293">
        <v>46043.789456018516</v>
      </c>
      <c r="E524" s="823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4" t="e">
        <f>LEFT(base[[#This Row],[Evento / Mercado]],FIND("/",base[[#This Row],[Evento / Mercado]])-2)</f>
        <v>#VALUE!</v>
      </c>
      <c r="T524" s="1420">
        <f>base[[#This Row],[Data de liquidação]]</f>
        <v>46043.789456018516</v>
      </c>
    </row>
    <row r="525" spans="2:22" ht="15" customHeight="1">
      <c r="B525" s="730" t="s">
        <v>607</v>
      </c>
      <c r="C525" s="911" t="s">
        <v>3556</v>
      </c>
      <c r="D525" s="1293">
        <v>46043.874618055554</v>
      </c>
      <c r="E525" s="823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4" t="e">
        <f>LEFT(base[[#This Row],[Evento / Mercado]],FIND("/",base[[#This Row],[Evento / Mercado]])-2)</f>
        <v>#VALUE!</v>
      </c>
      <c r="T525" s="1420">
        <f>base[[#This Row],[Data de liquidação]]</f>
        <v>46043.874618055554</v>
      </c>
    </row>
    <row r="526" spans="2:22" ht="15" customHeight="1">
      <c r="B526" s="730" t="s">
        <v>606</v>
      </c>
      <c r="C526" s="911" t="s">
        <v>3556</v>
      </c>
      <c r="D526" s="1293">
        <v>46043.897361111114</v>
      </c>
      <c r="E526" s="823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4" t="e">
        <f>LEFT(base[[#This Row],[Evento / Mercado]],FIND("/",base[[#This Row],[Evento / Mercado]])-2)</f>
        <v>#VALUE!</v>
      </c>
      <c r="T526" s="1420">
        <f>base[[#This Row],[Data de liquidação]]</f>
        <v>46043.897361111114</v>
      </c>
    </row>
    <row r="527" spans="2:22" ht="15" customHeight="1">
      <c r="B527" s="731" t="s">
        <v>626</v>
      </c>
      <c r="C527" s="911" t="s">
        <v>3556</v>
      </c>
      <c r="D527" s="1294">
        <v>46044.685787037037</v>
      </c>
      <c r="E527" s="824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628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1211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4" t="e">
        <f>LEFT(base[[#This Row],[Evento / Mercado]],FIND("/",base[[#This Row],[Evento / Mercado]])-2)</f>
        <v>#VALUE!</v>
      </c>
      <c r="T527" s="1420">
        <f>base[[#This Row],[Data de liquidação]]</f>
        <v>46044.685787037037</v>
      </c>
    </row>
    <row r="528" spans="2:22" ht="15" customHeight="1">
      <c r="B528" s="731" t="s">
        <v>625</v>
      </c>
      <c r="C528" s="911" t="s">
        <v>3556</v>
      </c>
      <c r="D528" s="1294">
        <v>46044.687847222223</v>
      </c>
      <c r="E528" s="824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627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1211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4" t="e">
        <f>LEFT(base[[#This Row],[Evento / Mercado]],FIND("/",base[[#This Row],[Evento / Mercado]])-2)</f>
        <v>#VALUE!</v>
      </c>
      <c r="T528" s="1420">
        <f>base[[#This Row],[Data de liquidação]]</f>
        <v>46044.687847222223</v>
      </c>
    </row>
    <row r="529" spans="2:22" ht="15" customHeight="1">
      <c r="B529" s="731" t="s">
        <v>624</v>
      </c>
      <c r="C529" s="911" t="s">
        <v>3556</v>
      </c>
      <c r="D529" s="1294">
        <v>46044.692164351851</v>
      </c>
      <c r="E529" s="824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4" t="e">
        <f>LEFT(base[[#This Row],[Evento / Mercado]],FIND("/",base[[#This Row],[Evento / Mercado]])-2)</f>
        <v>#VALUE!</v>
      </c>
      <c r="T529" s="1420">
        <f>base[[#This Row],[Data de liquidação]]</f>
        <v>46044.692164351851</v>
      </c>
    </row>
    <row r="530" spans="2:22" ht="15" customHeight="1">
      <c r="B530" s="731" t="s">
        <v>623</v>
      </c>
      <c r="C530" s="911" t="s">
        <v>3556</v>
      </c>
      <c r="D530" s="1294">
        <v>46044.693715277775</v>
      </c>
      <c r="E530" s="824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4" t="e">
        <f>LEFT(base[[#This Row],[Evento / Mercado]],FIND("/",base[[#This Row],[Evento / Mercado]])-2)</f>
        <v>#VALUE!</v>
      </c>
      <c r="T530" s="1420">
        <f>base[[#This Row],[Data de liquidação]]</f>
        <v>46044.693715277775</v>
      </c>
    </row>
    <row r="531" spans="2:22" ht="15" customHeight="1">
      <c r="B531" s="731" t="s">
        <v>622</v>
      </c>
      <c r="C531" s="911" t="s">
        <v>3556</v>
      </c>
      <c r="D531" s="1294">
        <v>46044.696134259262</v>
      </c>
      <c r="E531" s="824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4" t="e">
        <f>LEFT(base[[#This Row],[Evento / Mercado]],FIND("/",base[[#This Row],[Evento / Mercado]])-2)</f>
        <v>#VALUE!</v>
      </c>
      <c r="T531" s="1420">
        <f>base[[#This Row],[Data de liquidação]]</f>
        <v>46044.696134259262</v>
      </c>
    </row>
    <row r="532" spans="2:22" ht="15" customHeight="1">
      <c r="B532" s="731" t="s">
        <v>621</v>
      </c>
      <c r="C532" s="911" t="s">
        <v>3556</v>
      </c>
      <c r="D532" s="1294">
        <v>46044.786041666666</v>
      </c>
      <c r="E532" s="824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4" t="e">
        <f>LEFT(base[[#This Row],[Evento / Mercado]],FIND("/",base[[#This Row],[Evento / Mercado]])-2)</f>
        <v>#VALUE!</v>
      </c>
      <c r="T532" s="1420">
        <f>base[[#This Row],[Data de liquidação]]</f>
        <v>46044.786041666666</v>
      </c>
    </row>
    <row r="533" spans="2:22" ht="15" customHeight="1">
      <c r="B533" s="732" t="s">
        <v>689</v>
      </c>
      <c r="C533" s="911" t="s">
        <v>3556</v>
      </c>
      <c r="D533" s="1295">
        <v>46045.493344907409</v>
      </c>
      <c r="E533" s="825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4" t="e">
        <f>LEFT(base[[#This Row],[Evento / Mercado]],FIND("/",base[[#This Row],[Evento / Mercado]])-2)</f>
        <v>#VALUE!</v>
      </c>
      <c r="T533" s="1420">
        <f>base[[#This Row],[Data de liquidação]]</f>
        <v>46045.493344907409</v>
      </c>
    </row>
    <row r="534" spans="2:22" ht="15" customHeight="1">
      <c r="B534" s="732" t="s">
        <v>688</v>
      </c>
      <c r="C534" s="911" t="s">
        <v>3556</v>
      </c>
      <c r="D534" s="1295">
        <v>46045.666863425926</v>
      </c>
      <c r="E534" s="825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4" t="e">
        <f>LEFT(base[[#This Row],[Evento / Mercado]],FIND("/",base[[#This Row],[Evento / Mercado]])-2)</f>
        <v>#VALUE!</v>
      </c>
      <c r="T534" s="1420">
        <f>base[[#This Row],[Data de liquidação]]</f>
        <v>46045.666863425926</v>
      </c>
    </row>
    <row r="535" spans="2:22" ht="15" customHeight="1">
      <c r="B535" s="732" t="s">
        <v>687</v>
      </c>
      <c r="C535" s="911" t="s">
        <v>3556</v>
      </c>
      <c r="D535" s="1295">
        <v>46045.667314814818</v>
      </c>
      <c r="E535" s="825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4" t="e">
        <f>LEFT(base[[#This Row],[Evento / Mercado]],FIND("/",base[[#This Row],[Evento / Mercado]])-2)</f>
        <v>#VALUE!</v>
      </c>
      <c r="T535" s="142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732" t="s">
        <v>687</v>
      </c>
      <c r="C536" s="911" t="s">
        <v>3556</v>
      </c>
      <c r="D536" s="1295">
        <v>46045.667314814818</v>
      </c>
      <c r="E536" s="825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4" t="e">
        <f>LEFT(base[[#This Row],[Evento / Mercado]],FIND("/",base[[#This Row],[Evento / Mercado]])-2)</f>
        <v>#VALUE!</v>
      </c>
      <c r="T536" s="142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732" t="s">
        <v>686</v>
      </c>
      <c r="C537" s="911" t="s">
        <v>3556</v>
      </c>
      <c r="D537" s="1295">
        <v>46045.687002314815</v>
      </c>
      <c r="E537" s="825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627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1212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4" t="e">
        <f>LEFT(base[[#This Row],[Evento / Mercado]],FIND("/",base[[#This Row],[Evento / Mercado]])-2)</f>
        <v>#VALUE!</v>
      </c>
      <c r="T537" s="1420">
        <f>base[[#This Row],[Data de liquidação]]</f>
        <v>46045.687002314815</v>
      </c>
    </row>
    <row r="538" spans="2:22" ht="15" customHeight="1">
      <c r="B538" s="732" t="s">
        <v>685</v>
      </c>
      <c r="C538" s="911" t="s">
        <v>3556</v>
      </c>
      <c r="D538" s="1295">
        <v>46045.705289351848</v>
      </c>
      <c r="E538" s="825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4" t="e">
        <f>LEFT(base[[#This Row],[Evento / Mercado]],FIND("/",base[[#This Row],[Evento / Mercado]])-2)</f>
        <v>#VALUE!</v>
      </c>
      <c r="T538" s="1420">
        <f>base[[#This Row],[Data de liquidação]]</f>
        <v>46045.705289351848</v>
      </c>
    </row>
    <row r="539" spans="2:22" ht="15" customHeight="1">
      <c r="B539" s="732" t="s">
        <v>684</v>
      </c>
      <c r="C539" s="911" t="s">
        <v>3556</v>
      </c>
      <c r="D539" s="1295">
        <v>46045.745439814818</v>
      </c>
      <c r="E539" s="825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4" t="e">
        <f>LEFT(base[[#This Row],[Evento / Mercado]],FIND("/",base[[#This Row],[Evento / Mercado]])-2)</f>
        <v>#VALUE!</v>
      </c>
      <c r="T539" s="1420">
        <f>base[[#This Row],[Data de liquidação]]</f>
        <v>46045.745439814818</v>
      </c>
    </row>
    <row r="540" spans="2:22" ht="15" customHeight="1">
      <c r="B540" s="732" t="s">
        <v>683</v>
      </c>
      <c r="C540" s="911" t="s">
        <v>3556</v>
      </c>
      <c r="D540" s="1295">
        <v>46045.748680555553</v>
      </c>
      <c r="E540" s="825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693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1198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4" t="e">
        <f>LEFT(base[[#This Row],[Evento / Mercado]],FIND("/",base[[#This Row],[Evento / Mercado]])-2)</f>
        <v>#VALUE!</v>
      </c>
      <c r="T540" s="1420">
        <f>base[[#This Row],[Data de liquidação]]</f>
        <v>46045.748680555553</v>
      </c>
    </row>
    <row r="541" spans="2:22" ht="15" customHeight="1">
      <c r="B541" s="732" t="s">
        <v>682</v>
      </c>
      <c r="C541" s="911" t="s">
        <v>3556</v>
      </c>
      <c r="D541" s="1295">
        <v>46045.749467592592</v>
      </c>
      <c r="E541" s="825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4" t="e">
        <f>LEFT(base[[#This Row],[Evento / Mercado]],FIND("/",base[[#This Row],[Evento / Mercado]])-2)</f>
        <v>#VALUE!</v>
      </c>
      <c r="T541" s="142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732" t="s">
        <v>682</v>
      </c>
      <c r="C542" s="911" t="s">
        <v>3556</v>
      </c>
      <c r="D542" s="1295">
        <v>46045.749467592592</v>
      </c>
      <c r="E542" s="825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4" t="e">
        <f>LEFT(base[[#This Row],[Evento / Mercado]],FIND("/",base[[#This Row],[Evento / Mercado]])-2)</f>
        <v>#VALUE!</v>
      </c>
      <c r="T542" s="142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732" t="s">
        <v>681</v>
      </c>
      <c r="C543" s="911" t="s">
        <v>3556</v>
      </c>
      <c r="D543" s="1295">
        <v>46045.753923611112</v>
      </c>
      <c r="E543" s="825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4" t="e">
        <f>LEFT(base[[#This Row],[Evento / Mercado]],FIND("/",base[[#This Row],[Evento / Mercado]])-2)</f>
        <v>#VALUE!</v>
      </c>
      <c r="T543" s="1420">
        <f>base[[#This Row],[Data de liquidação]]</f>
        <v>46045.753923611112</v>
      </c>
    </row>
    <row r="544" spans="2:22" ht="15" customHeight="1">
      <c r="B544" s="732" t="s">
        <v>680</v>
      </c>
      <c r="C544" s="911" t="s">
        <v>3556</v>
      </c>
      <c r="D544" s="1295">
        <v>46045.778020833335</v>
      </c>
      <c r="E544" s="825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4" t="e">
        <f>LEFT(base[[#This Row],[Evento / Mercado]],FIND("/",base[[#This Row],[Evento / Mercado]])-2)</f>
        <v>#VALUE!</v>
      </c>
      <c r="T544" s="1420">
        <f>base[[#This Row],[Data de liquidação]]</f>
        <v>46045.778020833335</v>
      </c>
    </row>
    <row r="545" spans="2:22" ht="15" customHeight="1">
      <c r="B545" s="732" t="s">
        <v>679</v>
      </c>
      <c r="C545" s="911" t="s">
        <v>3556</v>
      </c>
      <c r="D545" s="1295">
        <v>46046.455312500002</v>
      </c>
      <c r="E545" s="825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4" t="e">
        <f>LEFT(base[[#This Row],[Evento / Mercado]],FIND("/",base[[#This Row],[Evento / Mercado]])-2)</f>
        <v>#VALUE!</v>
      </c>
      <c r="T545" s="1420">
        <f>base[[#This Row],[Data de liquidação]]</f>
        <v>46046.455312500002</v>
      </c>
    </row>
    <row r="546" spans="2:22" ht="15" customHeight="1">
      <c r="B546" s="732" t="s">
        <v>678</v>
      </c>
      <c r="C546" s="911" t="s">
        <v>3556</v>
      </c>
      <c r="D546" s="1295">
        <v>46046.458356481482</v>
      </c>
      <c r="E546" s="825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4" t="e">
        <f>LEFT(base[[#This Row],[Evento / Mercado]],FIND("/",base[[#This Row],[Evento / Mercado]])-2)</f>
        <v>#VALUE!</v>
      </c>
      <c r="T546" s="1420">
        <f>base[[#This Row],[Data de liquidação]]</f>
        <v>46046.458356481482</v>
      </c>
    </row>
    <row r="547" spans="2:22" ht="15" customHeight="1">
      <c r="B547" s="732" t="s">
        <v>677</v>
      </c>
      <c r="C547" s="911" t="s">
        <v>3556</v>
      </c>
      <c r="D547" s="1295">
        <v>46046.473402777781</v>
      </c>
      <c r="E547" s="825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4" t="e">
        <f>LEFT(base[[#This Row],[Evento / Mercado]],FIND("/",base[[#This Row],[Evento / Mercado]])-2)</f>
        <v>#VALUE!</v>
      </c>
      <c r="T547" s="1420">
        <f>base[[#This Row],[Data de liquidação]]</f>
        <v>46046.473402777781</v>
      </c>
    </row>
    <row r="548" spans="2:22" ht="15" customHeight="1">
      <c r="B548" s="732" t="s">
        <v>676</v>
      </c>
      <c r="C548" s="911" t="s">
        <v>3556</v>
      </c>
      <c r="D548" s="1295">
        <v>46046.473981481482</v>
      </c>
      <c r="E548" s="825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4" t="e">
        <f>LEFT(base[[#This Row],[Evento / Mercado]],FIND("/",base[[#This Row],[Evento / Mercado]])-2)</f>
        <v>#VALUE!</v>
      </c>
      <c r="T548" s="1420">
        <f>base[[#This Row],[Data de liquidação]]</f>
        <v>46046.473981481482</v>
      </c>
    </row>
    <row r="549" spans="2:22" ht="15" customHeight="1">
      <c r="B549" s="732" t="s">
        <v>675</v>
      </c>
      <c r="C549" s="911" t="s">
        <v>3556</v>
      </c>
      <c r="D549" s="1295">
        <v>46046.474247685182</v>
      </c>
      <c r="E549" s="825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4" t="e">
        <f>LEFT(base[[#This Row],[Evento / Mercado]],FIND("/",base[[#This Row],[Evento / Mercado]])-2)</f>
        <v>#VALUE!</v>
      </c>
      <c r="T549" s="1420">
        <f>base[[#This Row],[Data de liquidação]]</f>
        <v>46046.474247685182</v>
      </c>
    </row>
    <row r="550" spans="2:22" ht="15" customHeight="1">
      <c r="B550" s="732" t="s">
        <v>674</v>
      </c>
      <c r="C550" s="911" t="s">
        <v>3556</v>
      </c>
      <c r="D550" s="1295">
        <v>46046.474374999998</v>
      </c>
      <c r="E550" s="825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4" t="e">
        <f>LEFT(base[[#This Row],[Evento / Mercado]],FIND("/",base[[#This Row],[Evento / Mercado]])-2)</f>
        <v>#VALUE!</v>
      </c>
      <c r="T550" s="142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732" t="s">
        <v>674</v>
      </c>
      <c r="C551" s="911" t="s">
        <v>3556</v>
      </c>
      <c r="D551" s="1295">
        <v>46046.474374999998</v>
      </c>
      <c r="E551" s="825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4" t="e">
        <f>LEFT(base[[#This Row],[Evento / Mercado]],FIND("/",base[[#This Row],[Evento / Mercado]])-2)</f>
        <v>#VALUE!</v>
      </c>
      <c r="T551" s="142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732" t="s">
        <v>673</v>
      </c>
      <c r="C552" s="911" t="s">
        <v>3556</v>
      </c>
      <c r="D552" s="1295">
        <v>46046.47587962963</v>
      </c>
      <c r="E552" s="825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4" t="e">
        <f>LEFT(base[[#This Row],[Evento / Mercado]],FIND("/",base[[#This Row],[Evento / Mercado]])-2)</f>
        <v>#VALUE!</v>
      </c>
      <c r="T552" s="1420">
        <f>base[[#This Row],[Data de liquidação]]</f>
        <v>46046.47587962963</v>
      </c>
    </row>
    <row r="553" spans="2:22" ht="15" customHeight="1">
      <c r="B553" s="732" t="s">
        <v>672</v>
      </c>
      <c r="C553" s="911" t="s">
        <v>3556</v>
      </c>
      <c r="D553" s="1295">
        <v>46046.477407407408</v>
      </c>
      <c r="E553" s="825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4" t="e">
        <f>LEFT(base[[#This Row],[Evento / Mercado]],FIND("/",base[[#This Row],[Evento / Mercado]])-2)</f>
        <v>#VALUE!</v>
      </c>
      <c r="T553" s="1420">
        <f>base[[#This Row],[Data de liquidação]]</f>
        <v>46046.477407407408</v>
      </c>
    </row>
    <row r="554" spans="2:22" ht="15" customHeight="1">
      <c r="B554" s="732" t="s">
        <v>671</v>
      </c>
      <c r="C554" s="911" t="s">
        <v>3556</v>
      </c>
      <c r="D554" s="1295">
        <v>46046.496157407404</v>
      </c>
      <c r="E554" s="825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628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1213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4" t="e">
        <f>LEFT(base[[#This Row],[Evento / Mercado]],FIND("/",base[[#This Row],[Evento / Mercado]])-2)</f>
        <v>#VALUE!</v>
      </c>
      <c r="T554" s="142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732" t="s">
        <v>671</v>
      </c>
      <c r="C555" s="911" t="s">
        <v>3556</v>
      </c>
      <c r="D555" s="1295">
        <v>46046.496157407404</v>
      </c>
      <c r="E555" s="825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4" t="e">
        <f>LEFT(base[[#This Row],[Evento / Mercado]],FIND("/",base[[#This Row],[Evento / Mercado]])-2)</f>
        <v>#VALUE!</v>
      </c>
      <c r="T555" s="142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732" t="s">
        <v>670</v>
      </c>
      <c r="C556" s="911" t="s">
        <v>3556</v>
      </c>
      <c r="D556" s="1295">
        <v>46046.496331018519</v>
      </c>
      <c r="E556" s="825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4" t="e">
        <f>LEFT(base[[#This Row],[Evento / Mercado]],FIND("/",base[[#This Row],[Evento / Mercado]])-2)</f>
        <v>#VALUE!</v>
      </c>
      <c r="T556" s="1420">
        <f>base[[#This Row],[Data de liquidação]]</f>
        <v>46046.496331018519</v>
      </c>
    </row>
    <row r="557" spans="2:22" ht="15" customHeight="1">
      <c r="B557" s="732" t="s">
        <v>669</v>
      </c>
      <c r="C557" s="911" t="s">
        <v>3556</v>
      </c>
      <c r="D557" s="1295">
        <v>46046.501643518517</v>
      </c>
      <c r="E557" s="825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4" t="e">
        <f>LEFT(base[[#This Row],[Evento / Mercado]],FIND("/",base[[#This Row],[Evento / Mercado]])-2)</f>
        <v>#VALUE!</v>
      </c>
      <c r="T557" s="142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732" t="s">
        <v>669</v>
      </c>
      <c r="C558" s="911" t="s">
        <v>3556</v>
      </c>
      <c r="D558" s="1295">
        <v>46046.501643518517</v>
      </c>
      <c r="E558" s="825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628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1213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4" t="e">
        <f>LEFT(base[[#This Row],[Evento / Mercado]],FIND("/",base[[#This Row],[Evento / Mercado]])-2)</f>
        <v>#VALUE!</v>
      </c>
      <c r="T558" s="142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732" t="s">
        <v>668</v>
      </c>
      <c r="C559" s="911" t="s">
        <v>3556</v>
      </c>
      <c r="D559" s="1295">
        <v>46046.537175925929</v>
      </c>
      <c r="E559" s="825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4" t="e">
        <f>LEFT(base[[#This Row],[Evento / Mercado]],FIND("/",base[[#This Row],[Evento / Mercado]])-2)</f>
        <v>#VALUE!</v>
      </c>
      <c r="T559" s="1420">
        <f>base[[#This Row],[Data de liquidação]]</f>
        <v>46046.537175925929</v>
      </c>
    </row>
    <row r="560" spans="2:22" ht="15" customHeight="1">
      <c r="B560" s="732" t="s">
        <v>667</v>
      </c>
      <c r="C560" s="911" t="s">
        <v>3556</v>
      </c>
      <c r="D560" s="1295">
        <v>46046.537777777776</v>
      </c>
      <c r="E560" s="825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4" t="e">
        <f>LEFT(base[[#This Row],[Evento / Mercado]],FIND("/",base[[#This Row],[Evento / Mercado]])-2)</f>
        <v>#VALUE!</v>
      </c>
      <c r="T560" s="1420">
        <f>base[[#This Row],[Data de liquidação]]</f>
        <v>46046.537777777776</v>
      </c>
    </row>
    <row r="561" spans="2:22" ht="15" customHeight="1">
      <c r="B561" s="732" t="s">
        <v>666</v>
      </c>
      <c r="C561" s="911" t="s">
        <v>3556</v>
      </c>
      <c r="D561" s="1295">
        <v>46046.540034722224</v>
      </c>
      <c r="E561" s="825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4" t="e">
        <f>LEFT(base[[#This Row],[Evento / Mercado]],FIND("/",base[[#This Row],[Evento / Mercado]])-2)</f>
        <v>#VALUE!</v>
      </c>
      <c r="T561" s="142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732" t="s">
        <v>666</v>
      </c>
      <c r="C562" s="911" t="s">
        <v>3556</v>
      </c>
      <c r="D562" s="1295">
        <v>46046.540034722224</v>
      </c>
      <c r="E562" s="825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4" t="e">
        <f>LEFT(base[[#This Row],[Evento / Mercado]],FIND("/",base[[#This Row],[Evento / Mercado]])-2)</f>
        <v>#VALUE!</v>
      </c>
      <c r="T562" s="142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732" t="s">
        <v>665</v>
      </c>
      <c r="C563" s="911" t="s">
        <v>3556</v>
      </c>
      <c r="D563" s="1295">
        <v>46046.559016203704</v>
      </c>
      <c r="E563" s="825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628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1200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4" t="e">
        <f>LEFT(base[[#This Row],[Evento / Mercado]],FIND("/",base[[#This Row],[Evento / Mercado]])-2)</f>
        <v>#VALUE!</v>
      </c>
      <c r="T563" s="1420">
        <f>base[[#This Row],[Data de liquidação]]</f>
        <v>46046.559016203704</v>
      </c>
    </row>
    <row r="564" spans="2:22" ht="15" customHeight="1">
      <c r="B564" s="732" t="s">
        <v>664</v>
      </c>
      <c r="C564" s="911" t="s">
        <v>3556</v>
      </c>
      <c r="D564" s="1295">
        <v>46046.562002314815</v>
      </c>
      <c r="E564" s="825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628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1200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4" t="e">
        <f>LEFT(base[[#This Row],[Evento / Mercado]],FIND("/",base[[#This Row],[Evento / Mercado]])-2)</f>
        <v>#VALUE!</v>
      </c>
      <c r="T564" s="1420">
        <f>base[[#This Row],[Data de liquidação]]</f>
        <v>46046.562002314815</v>
      </c>
    </row>
    <row r="565" spans="2:22" ht="15" customHeight="1">
      <c r="B565" s="732" t="s">
        <v>664</v>
      </c>
      <c r="C565" s="911" t="s">
        <v>3556</v>
      </c>
      <c r="D565" s="1295">
        <v>46046.562002314815</v>
      </c>
      <c r="E565" s="825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4" t="e">
        <f>LEFT(base[[#This Row],[Evento / Mercado]],FIND("/",base[[#This Row],[Evento / Mercado]])-2)</f>
        <v>#VALUE!</v>
      </c>
      <c r="T565" s="1420">
        <f>base[[#This Row],[Data de liquidação]]</f>
        <v>46046.562002314815</v>
      </c>
    </row>
    <row r="566" spans="2:22" ht="15" customHeight="1">
      <c r="B566" s="732" t="s">
        <v>663</v>
      </c>
      <c r="C566" s="911" t="s">
        <v>3556</v>
      </c>
      <c r="D566" s="1295">
        <v>46046.562696759262</v>
      </c>
      <c r="E566" s="825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4" t="e">
        <f>LEFT(base[[#This Row],[Evento / Mercado]],FIND("/",base[[#This Row],[Evento / Mercado]])-2)</f>
        <v>#VALUE!</v>
      </c>
      <c r="T566" s="1420">
        <f>base[[#This Row],[Data de liquidação]]</f>
        <v>46046.562696759262</v>
      </c>
    </row>
    <row r="567" spans="2:22" ht="15" customHeight="1">
      <c r="B567" s="732" t="s">
        <v>662</v>
      </c>
      <c r="C567" s="911" t="s">
        <v>3556</v>
      </c>
      <c r="D567" s="1295">
        <v>46046.578518518516</v>
      </c>
      <c r="E567" s="825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4" t="e">
        <f>LEFT(base[[#This Row],[Evento / Mercado]],FIND("/",base[[#This Row],[Evento / Mercado]])-2)</f>
        <v>#VALUE!</v>
      </c>
      <c r="T567" s="1420">
        <f>base[[#This Row],[Data de liquidação]]</f>
        <v>46046.578518518516</v>
      </c>
    </row>
    <row r="568" spans="2:22" ht="15" customHeight="1">
      <c r="B568" s="732" t="s">
        <v>661</v>
      </c>
      <c r="C568" s="911" t="s">
        <v>3556</v>
      </c>
      <c r="D568" s="1295">
        <v>46046.579305555555</v>
      </c>
      <c r="E568" s="825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4" t="e">
        <f>LEFT(base[[#This Row],[Evento / Mercado]],FIND("/",base[[#This Row],[Evento / Mercado]])-2)</f>
        <v>#VALUE!</v>
      </c>
      <c r="T568" s="1420">
        <f>base[[#This Row],[Data de liquidação]]</f>
        <v>46046.579305555555</v>
      </c>
    </row>
    <row r="569" spans="2:22" ht="15" customHeight="1">
      <c r="B569" s="732" t="s">
        <v>660</v>
      </c>
      <c r="C569" s="911" t="s">
        <v>3556</v>
      </c>
      <c r="D569" s="1295">
        <v>46046.581145833334</v>
      </c>
      <c r="E569" s="825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4" t="e">
        <f>LEFT(base[[#This Row],[Evento / Mercado]],FIND("/",base[[#This Row],[Evento / Mercado]])-2)</f>
        <v>#VALUE!</v>
      </c>
      <c r="T569" s="1420">
        <f>base[[#This Row],[Data de liquidação]]</f>
        <v>46046.581145833334</v>
      </c>
    </row>
    <row r="570" spans="2:22" ht="15" customHeight="1">
      <c r="B570" s="732" t="s">
        <v>659</v>
      </c>
      <c r="C570" s="911" t="s">
        <v>3556</v>
      </c>
      <c r="D570" s="1295">
        <v>46046.582175925927</v>
      </c>
      <c r="E570" s="825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4" t="e">
        <f>LEFT(base[[#This Row],[Evento / Mercado]],FIND("/",base[[#This Row],[Evento / Mercado]])-2)</f>
        <v>#VALUE!</v>
      </c>
      <c r="T570" s="1420">
        <f>base[[#This Row],[Data de liquidação]]</f>
        <v>46046.582175925927</v>
      </c>
    </row>
    <row r="571" spans="2:22" ht="15" customHeight="1">
      <c r="B571" s="732" t="s">
        <v>658</v>
      </c>
      <c r="C571" s="911" t="s">
        <v>3556</v>
      </c>
      <c r="D571" s="1295">
        <v>46046.584143518521</v>
      </c>
      <c r="E571" s="825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4" t="e">
        <f>LEFT(base[[#This Row],[Evento / Mercado]],FIND("/",base[[#This Row],[Evento / Mercado]])-2)</f>
        <v>#VALUE!</v>
      </c>
      <c r="T571" s="1420">
        <f>base[[#This Row],[Data de liquidação]]</f>
        <v>46046.584143518521</v>
      </c>
    </row>
    <row r="572" spans="2:22" ht="15" customHeight="1">
      <c r="B572" s="732" t="s">
        <v>657</v>
      </c>
      <c r="C572" s="911" t="s">
        <v>3556</v>
      </c>
      <c r="D572" s="1295">
        <v>46046.618969907409</v>
      </c>
      <c r="E572" s="825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4" t="e">
        <f>LEFT(base[[#This Row],[Evento / Mercado]],FIND("/",base[[#This Row],[Evento / Mercado]])-2)</f>
        <v>#VALUE!</v>
      </c>
      <c r="T572" s="1420">
        <f>base[[#This Row],[Data de liquidação]]</f>
        <v>46046.618969907409</v>
      </c>
    </row>
    <row r="573" spans="2:22" ht="15" customHeight="1">
      <c r="B573" s="732" t="s">
        <v>657</v>
      </c>
      <c r="C573" s="911" t="s">
        <v>3556</v>
      </c>
      <c r="D573" s="1295">
        <v>46046.619039351855</v>
      </c>
      <c r="E573" s="825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4" t="e">
        <f>LEFT(base[[#This Row],[Evento / Mercado]],FIND("/",base[[#This Row],[Evento / Mercado]])-2)</f>
        <v>#VALUE!</v>
      </c>
      <c r="T573" s="1420">
        <f>base[[#This Row],[Data de liquidação]]</f>
        <v>46046.619039351855</v>
      </c>
    </row>
    <row r="574" spans="2:22" ht="15" customHeight="1">
      <c r="B574" s="732" t="s">
        <v>656</v>
      </c>
      <c r="C574" s="911" t="s">
        <v>3556</v>
      </c>
      <c r="D574" s="1295">
        <v>46046.642141203702</v>
      </c>
      <c r="E574" s="825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4" t="e">
        <f>LEFT(base[[#This Row],[Evento / Mercado]],FIND("/",base[[#This Row],[Evento / Mercado]])-2)</f>
        <v>#VALUE!</v>
      </c>
      <c r="T574" s="1420">
        <f>base[[#This Row],[Data de liquidação]]</f>
        <v>46046.642141203702</v>
      </c>
    </row>
    <row r="575" spans="2:22" ht="15" customHeight="1">
      <c r="B575" s="732" t="s">
        <v>650</v>
      </c>
      <c r="C575" s="911" t="s">
        <v>3556</v>
      </c>
      <c r="D575" s="1295">
        <v>46046.644386574073</v>
      </c>
      <c r="E575" s="825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4" t="e">
        <f>LEFT(base[[#This Row],[Evento / Mercado]],FIND("/",base[[#This Row],[Evento / Mercado]])-2)</f>
        <v>#VALUE!</v>
      </c>
      <c r="T575" s="1420">
        <f>base[[#This Row],[Data de liquidação]]</f>
        <v>46046.644386574073</v>
      </c>
    </row>
    <row r="576" spans="2:22" ht="15" customHeight="1">
      <c r="B576" s="732" t="s">
        <v>655</v>
      </c>
      <c r="C576" s="911" t="s">
        <v>3556</v>
      </c>
      <c r="D576" s="1295">
        <v>46046.661423611113</v>
      </c>
      <c r="E576" s="825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628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1214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4" t="e">
        <f>LEFT(base[[#This Row],[Evento / Mercado]],FIND("/",base[[#This Row],[Evento / Mercado]])-2)</f>
        <v>#VALUE!</v>
      </c>
      <c r="T576" s="1420">
        <f>base[[#This Row],[Data de liquidação]]</f>
        <v>46046.661423611113</v>
      </c>
    </row>
    <row r="577" spans="2:22" ht="15" customHeight="1">
      <c r="B577" s="732" t="s">
        <v>654</v>
      </c>
      <c r="C577" s="911" t="s">
        <v>3556</v>
      </c>
      <c r="D577" s="1295">
        <v>46046.6640162037</v>
      </c>
      <c r="E577" s="825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4" t="e">
        <f>LEFT(base[[#This Row],[Evento / Mercado]],FIND("/",base[[#This Row],[Evento / Mercado]])-2)</f>
        <v>#VALUE!</v>
      </c>
      <c r="T577" s="1420">
        <f>base[[#This Row],[Data de liquidação]]</f>
        <v>46046.6640162037</v>
      </c>
    </row>
    <row r="578" spans="2:22" ht="15" customHeight="1">
      <c r="B578" s="732" t="s">
        <v>653</v>
      </c>
      <c r="C578" s="911" t="s">
        <v>3556</v>
      </c>
      <c r="D578" s="1295">
        <v>46046.668287037035</v>
      </c>
      <c r="E578" s="825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4" t="e">
        <f>LEFT(base[[#This Row],[Evento / Mercado]],FIND("/",base[[#This Row],[Evento / Mercado]])-2)</f>
        <v>#VALUE!</v>
      </c>
      <c r="T578" s="142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732" t="s">
        <v>653</v>
      </c>
      <c r="C579" s="911" t="s">
        <v>3556</v>
      </c>
      <c r="D579" s="1295">
        <v>46046.668287037035</v>
      </c>
      <c r="E579" s="825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4" t="e">
        <f>LEFT(base[[#This Row],[Evento / Mercado]],FIND("/",base[[#This Row],[Evento / Mercado]])-2)</f>
        <v>#VALUE!</v>
      </c>
      <c r="T579" s="142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732" t="s">
        <v>652</v>
      </c>
      <c r="C580" s="911" t="s">
        <v>3556</v>
      </c>
      <c r="D580" s="1295">
        <v>46046.674953703703</v>
      </c>
      <c r="E580" s="825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4" t="e">
        <f>LEFT(base[[#This Row],[Evento / Mercado]],FIND("/",base[[#This Row],[Evento / Mercado]])-2)</f>
        <v>#VALUE!</v>
      </c>
      <c r="T580" s="1420">
        <f>base[[#This Row],[Data de liquidação]]</f>
        <v>46046.674953703703</v>
      </c>
    </row>
    <row r="581" spans="2:22" ht="15" customHeight="1">
      <c r="B581" s="732" t="s">
        <v>651</v>
      </c>
      <c r="C581" s="911" t="s">
        <v>3556</v>
      </c>
      <c r="D581" s="1295">
        <v>46046.683530092596</v>
      </c>
      <c r="E581" s="825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4" t="e">
        <f>LEFT(base[[#This Row],[Evento / Mercado]],FIND("/",base[[#This Row],[Evento / Mercado]])-2)</f>
        <v>#VALUE!</v>
      </c>
      <c r="T581" s="1420">
        <f>base[[#This Row],[Data de liquidação]]</f>
        <v>46046.683530092596</v>
      </c>
    </row>
    <row r="582" spans="2:22" ht="15" customHeight="1">
      <c r="B582" s="732" t="s">
        <v>650</v>
      </c>
      <c r="C582" s="911" t="s">
        <v>3556</v>
      </c>
      <c r="D582" s="1295">
        <v>46046.696574074071</v>
      </c>
      <c r="E582" s="825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628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1205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4" t="e">
        <f>LEFT(base[[#This Row],[Evento / Mercado]],FIND("/",base[[#This Row],[Evento / Mercado]])-2)</f>
        <v>#VALUE!</v>
      </c>
      <c r="T582" s="142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732" t="s">
        <v>650</v>
      </c>
      <c r="C583" s="911" t="s">
        <v>3556</v>
      </c>
      <c r="D583" s="1295">
        <v>46046.696574074071</v>
      </c>
      <c r="E583" s="825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4" t="e">
        <f>LEFT(base[[#This Row],[Evento / Mercado]],FIND("/",base[[#This Row],[Evento / Mercado]])-2)</f>
        <v>#VALUE!</v>
      </c>
      <c r="T583" s="142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732" t="s">
        <v>649</v>
      </c>
      <c r="C584" s="911" t="s">
        <v>3556</v>
      </c>
      <c r="D584" s="1295">
        <v>46046.747233796297</v>
      </c>
      <c r="E584" s="825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628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1205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4" t="e">
        <f>LEFT(base[[#This Row],[Evento / Mercado]],FIND("/",base[[#This Row],[Evento / Mercado]])-2)</f>
        <v>#VALUE!</v>
      </c>
      <c r="T584" s="1420">
        <f>base[[#This Row],[Data de liquidação]]</f>
        <v>46046.747233796297</v>
      </c>
    </row>
    <row r="585" spans="2:22" ht="15" customHeight="1">
      <c r="B585" s="732" t="s">
        <v>649</v>
      </c>
      <c r="C585" s="911" t="s">
        <v>3556</v>
      </c>
      <c r="D585" s="1295">
        <v>46046.747303240743</v>
      </c>
      <c r="E585" s="825">
        <v>17.86</v>
      </c>
      <c r="F585" s="80">
        <v>4.4999999999999998E-2</v>
      </c>
      <c r="G585" s="172">
        <f t="shared" si="10"/>
        <v>18.701570680628272</v>
      </c>
      <c r="H585" s="172" t="s">
        <v>179</v>
      </c>
      <c r="I585" s="170" t="s">
        <v>392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1205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4" t="e">
        <f>LEFT(base[[#This Row],[Evento / Mercado]],FIND("/",base[[#This Row],[Evento / Mercado]])-2)</f>
        <v>#VALUE!</v>
      </c>
      <c r="T585" s="1420">
        <f>base[[#This Row],[Data de liquidação]]</f>
        <v>46046.747303240743</v>
      </c>
    </row>
    <row r="586" spans="2:22" ht="15" customHeight="1">
      <c r="B586" s="732" t="s">
        <v>648</v>
      </c>
      <c r="C586" s="911" t="s">
        <v>3556</v>
      </c>
      <c r="D586" s="1295">
        <v>46046.775046296294</v>
      </c>
      <c r="E586" s="825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4" t="e">
        <f>LEFT(base[[#This Row],[Evento / Mercado]],FIND("/",base[[#This Row],[Evento / Mercado]])-2)</f>
        <v>#VALUE!</v>
      </c>
      <c r="T586" s="1420">
        <f>base[[#This Row],[Data de liquidação]]</f>
        <v>46046.775046296294</v>
      </c>
    </row>
    <row r="587" spans="2:22" ht="15" customHeight="1">
      <c r="B587" s="732" t="s">
        <v>647</v>
      </c>
      <c r="C587" s="911" t="s">
        <v>3556</v>
      </c>
      <c r="D587" s="1295">
        <v>46046.787800925929</v>
      </c>
      <c r="E587" s="825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693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1202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4" t="e">
        <f>LEFT(base[[#This Row],[Evento / Mercado]],FIND("/",base[[#This Row],[Evento / Mercado]])-2)</f>
        <v>#VALUE!</v>
      </c>
      <c r="T587" s="1420">
        <f>base[[#This Row],[Data de liquidação]]</f>
        <v>46046.787800925929</v>
      </c>
    </row>
    <row r="588" spans="2:22" ht="15" customHeight="1">
      <c r="B588" s="732" t="s">
        <v>646</v>
      </c>
      <c r="C588" s="911" t="s">
        <v>3556</v>
      </c>
      <c r="D588" s="1295">
        <v>46046.788368055553</v>
      </c>
      <c r="E588" s="825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4" t="e">
        <f>LEFT(base[[#This Row],[Evento / Mercado]],FIND("/",base[[#This Row],[Evento / Mercado]])-2)</f>
        <v>#VALUE!</v>
      </c>
      <c r="T588" s="1420">
        <f>base[[#This Row],[Data de liquidação]]</f>
        <v>46046.788368055553</v>
      </c>
    </row>
    <row r="589" spans="2:22" ht="15" customHeight="1">
      <c r="B589" s="732" t="s">
        <v>646</v>
      </c>
      <c r="C589" s="911" t="s">
        <v>3556</v>
      </c>
      <c r="D589" s="1295">
        <v>46046.788460648146</v>
      </c>
      <c r="E589" s="825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4" t="e">
        <f>LEFT(base[[#This Row],[Evento / Mercado]],FIND("/",base[[#This Row],[Evento / Mercado]])-2)</f>
        <v>#VALUE!</v>
      </c>
      <c r="T589" s="1420">
        <f>base[[#This Row],[Data de liquidação]]</f>
        <v>46046.788460648146</v>
      </c>
    </row>
    <row r="590" spans="2:22" ht="15" customHeight="1">
      <c r="B590" s="732" t="s">
        <v>645</v>
      </c>
      <c r="C590" s="911" t="s">
        <v>3556</v>
      </c>
      <c r="D590" s="1295">
        <v>46046.791990740741</v>
      </c>
      <c r="E590" s="825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628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1208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4" t="e">
        <f>LEFT(base[[#This Row],[Evento / Mercado]],FIND("/",base[[#This Row],[Evento / Mercado]])-2)</f>
        <v>#VALUE!</v>
      </c>
      <c r="T590" s="1420">
        <f>base[[#This Row],[Data de liquidação]]</f>
        <v>46046.791990740741</v>
      </c>
    </row>
    <row r="591" spans="2:22" ht="15" customHeight="1">
      <c r="B591" s="732" t="s">
        <v>644</v>
      </c>
      <c r="C591" s="911" t="s">
        <v>3556</v>
      </c>
      <c r="D591" s="1295">
        <v>46047.421782407408</v>
      </c>
      <c r="E591" s="825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4" t="e">
        <f>LEFT(base[[#This Row],[Evento / Mercado]],FIND("/",base[[#This Row],[Evento / Mercado]])-2)</f>
        <v>#VALUE!</v>
      </c>
      <c r="T591" s="1420">
        <f>base[[#This Row],[Data de liquidação]]</f>
        <v>46047.421782407408</v>
      </c>
    </row>
    <row r="592" spans="2:22" ht="15" customHeight="1">
      <c r="B592" s="732" t="s">
        <v>643</v>
      </c>
      <c r="C592" s="911" t="s">
        <v>3556</v>
      </c>
      <c r="D592" s="1295">
        <v>46047.478668981479</v>
      </c>
      <c r="E592" s="825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4" t="e">
        <f>LEFT(base[[#This Row],[Evento / Mercado]],FIND("/",base[[#This Row],[Evento / Mercado]])-2)</f>
        <v>#VALUE!</v>
      </c>
      <c r="T592" s="142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732" t="s">
        <v>643</v>
      </c>
      <c r="C593" s="911" t="s">
        <v>3556</v>
      </c>
      <c r="D593" s="1295">
        <v>46047.478668981479</v>
      </c>
      <c r="E593" s="825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627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1212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4" t="e">
        <f>LEFT(base[[#This Row],[Evento / Mercado]],FIND("/",base[[#This Row],[Evento / Mercado]])-2)</f>
        <v>#VALUE!</v>
      </c>
      <c r="T593" s="142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732" t="s">
        <v>642</v>
      </c>
      <c r="C594" s="911" t="s">
        <v>3556</v>
      </c>
      <c r="D594" s="1295">
        <v>46047.517453703702</v>
      </c>
      <c r="E594" s="825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4" t="e">
        <f>LEFT(base[[#This Row],[Evento / Mercado]],FIND("/",base[[#This Row],[Evento / Mercado]])-2)</f>
        <v>#VALUE!</v>
      </c>
      <c r="T594" s="1420">
        <f>base[[#This Row],[Data de liquidação]]</f>
        <v>46047.517453703702</v>
      </c>
    </row>
    <row r="595" spans="2:22" ht="15" customHeight="1">
      <c r="B595" s="732" t="s">
        <v>641</v>
      </c>
      <c r="C595" s="911" t="s">
        <v>3556</v>
      </c>
      <c r="D595" s="1295">
        <v>46047.540960648148</v>
      </c>
      <c r="E595" s="825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4" t="e">
        <f>LEFT(base[[#This Row],[Evento / Mercado]],FIND("/",base[[#This Row],[Evento / Mercado]])-2)</f>
        <v>#VALUE!</v>
      </c>
      <c r="T595" s="1420">
        <f>base[[#This Row],[Data de liquidação]]</f>
        <v>46047.540960648148</v>
      </c>
    </row>
    <row r="596" spans="2:22" ht="15" customHeight="1">
      <c r="B596" s="732" t="s">
        <v>640</v>
      </c>
      <c r="C596" s="911" t="s">
        <v>3556</v>
      </c>
      <c r="D596" s="1295">
        <v>46047.54109953704</v>
      </c>
      <c r="E596" s="825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4" t="e">
        <f>LEFT(base[[#This Row],[Evento / Mercado]],FIND("/",base[[#This Row],[Evento / Mercado]])-2)</f>
        <v>#VALUE!</v>
      </c>
      <c r="T596" s="1420">
        <f>base[[#This Row],[Data de liquidação]]</f>
        <v>46047.54109953704</v>
      </c>
    </row>
    <row r="597" spans="2:22" ht="15" customHeight="1">
      <c r="B597" s="732" t="s">
        <v>639</v>
      </c>
      <c r="C597" s="911" t="s">
        <v>3556</v>
      </c>
      <c r="D597" s="1295">
        <v>46047.545335648145</v>
      </c>
      <c r="E597" s="825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4" t="e">
        <f>LEFT(base[[#This Row],[Evento / Mercado]],FIND("/",base[[#This Row],[Evento / Mercado]])-2)</f>
        <v>#VALUE!</v>
      </c>
      <c r="T597" s="1420">
        <f>base[[#This Row],[Data de liquidação]]</f>
        <v>46047.545335648145</v>
      </c>
    </row>
    <row r="598" spans="2:22" ht="15" customHeight="1">
      <c r="B598" s="732" t="s">
        <v>638</v>
      </c>
      <c r="C598" s="911" t="s">
        <v>3556</v>
      </c>
      <c r="D598" s="1295">
        <v>46047.558599537035</v>
      </c>
      <c r="E598" s="825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693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1200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4" t="e">
        <f>LEFT(base[[#This Row],[Evento / Mercado]],FIND("/",base[[#This Row],[Evento / Mercado]])-2)</f>
        <v>#VALUE!</v>
      </c>
      <c r="T598" s="1420">
        <f>base[[#This Row],[Data de liquidação]]</f>
        <v>46047.558599537035</v>
      </c>
    </row>
    <row r="599" spans="2:22" ht="15" customHeight="1">
      <c r="B599" s="732" t="s">
        <v>637</v>
      </c>
      <c r="C599" s="911" t="s">
        <v>3556</v>
      </c>
      <c r="D599" s="1295">
        <v>46047.574942129628</v>
      </c>
      <c r="E599" s="825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4" t="e">
        <f>LEFT(base[[#This Row],[Evento / Mercado]],FIND("/",base[[#This Row],[Evento / Mercado]])-2)</f>
        <v>#VALUE!</v>
      </c>
      <c r="T599" s="1420">
        <f>base[[#This Row],[Data de liquidação]]</f>
        <v>46047.574942129628</v>
      </c>
    </row>
    <row r="600" spans="2:22" ht="15" customHeight="1">
      <c r="B600" s="732" t="s">
        <v>636</v>
      </c>
      <c r="C600" s="911" t="s">
        <v>3556</v>
      </c>
      <c r="D600" s="1295">
        <v>46047.612824074073</v>
      </c>
      <c r="E600" s="825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628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1205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4" t="e">
        <f>LEFT(base[[#This Row],[Evento / Mercado]],FIND("/",base[[#This Row],[Evento / Mercado]])-2)</f>
        <v>#VALUE!</v>
      </c>
      <c r="T600" s="1420">
        <f>base[[#This Row],[Data de liquidação]]</f>
        <v>46047.612824074073</v>
      </c>
    </row>
    <row r="601" spans="2:22" ht="15" customHeight="1">
      <c r="B601" s="732" t="s">
        <v>636</v>
      </c>
      <c r="C601" s="911" t="s">
        <v>3556</v>
      </c>
      <c r="D601" s="1295">
        <v>46047.612847222219</v>
      </c>
      <c r="E601" s="825">
        <v>7.64</v>
      </c>
      <c r="F601" s="80">
        <v>4.4999999999999998E-2</v>
      </c>
      <c r="G601" s="172">
        <f t="shared" si="10"/>
        <v>8</v>
      </c>
      <c r="H601" s="172" t="s">
        <v>179</v>
      </c>
      <c r="I601" s="170" t="s">
        <v>392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1205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4" t="e">
        <f>LEFT(base[[#This Row],[Evento / Mercado]],FIND("/",base[[#This Row],[Evento / Mercado]])-2)</f>
        <v>#VALUE!</v>
      </c>
      <c r="T601" s="1420">
        <f>base[[#This Row],[Data de liquidação]]</f>
        <v>46047.612847222219</v>
      </c>
    </row>
    <row r="602" spans="2:22" ht="15" customHeight="1">
      <c r="B602" s="732" t="s">
        <v>635</v>
      </c>
      <c r="C602" s="911" t="s">
        <v>3556</v>
      </c>
      <c r="D602" s="1295">
        <v>46047.633888888886</v>
      </c>
      <c r="E602" s="825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4" t="e">
        <f>LEFT(base[[#This Row],[Evento / Mercado]],FIND("/",base[[#This Row],[Evento / Mercado]])-2)</f>
        <v>#VALUE!</v>
      </c>
      <c r="T602" s="1420">
        <f>base[[#This Row],[Data de liquidação]]</f>
        <v>46047.633888888886</v>
      </c>
    </row>
    <row r="603" spans="2:22" ht="15" customHeight="1">
      <c r="B603" s="732" t="s">
        <v>634</v>
      </c>
      <c r="C603" s="911" t="s">
        <v>3556</v>
      </c>
      <c r="D603" s="1295">
        <v>46047.642824074072</v>
      </c>
      <c r="E603" s="825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4" t="e">
        <f>LEFT(base[[#This Row],[Evento / Mercado]],FIND("/",base[[#This Row],[Evento / Mercado]])-2)</f>
        <v>#VALUE!</v>
      </c>
      <c r="T603" s="142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732" t="s">
        <v>634</v>
      </c>
      <c r="C604" s="911" t="s">
        <v>3556</v>
      </c>
      <c r="D604" s="1295">
        <v>46047.642824074072</v>
      </c>
      <c r="E604" s="825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4" t="e">
        <f>LEFT(base[[#This Row],[Evento / Mercado]],FIND("/",base[[#This Row],[Evento / Mercado]])-2)</f>
        <v>#VALUE!</v>
      </c>
      <c r="T604" s="142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732" t="s">
        <v>633</v>
      </c>
      <c r="C605" s="911" t="s">
        <v>3556</v>
      </c>
      <c r="D605" s="1295">
        <v>46047.672719907408</v>
      </c>
      <c r="E605" s="825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4" t="e">
        <f>LEFT(base[[#This Row],[Evento / Mercado]],FIND("/",base[[#This Row],[Evento / Mercado]])-2)</f>
        <v>#VALUE!</v>
      </c>
      <c r="T605" s="1420">
        <f>base[[#This Row],[Data de liquidação]]</f>
        <v>46047.672719907408</v>
      </c>
    </row>
    <row r="606" spans="2:22" ht="15" customHeight="1">
      <c r="B606" s="732" t="s">
        <v>632</v>
      </c>
      <c r="C606" s="911" t="s">
        <v>3556</v>
      </c>
      <c r="D606" s="1295">
        <v>46047.715173611112</v>
      </c>
      <c r="E606" s="825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4" t="e">
        <f>LEFT(base[[#This Row],[Evento / Mercado]],FIND("/",base[[#This Row],[Evento / Mercado]])-2)</f>
        <v>#VALUE!</v>
      </c>
      <c r="T606" s="1420">
        <f>base[[#This Row],[Data de liquidação]]</f>
        <v>46047.715173611112</v>
      </c>
    </row>
    <row r="607" spans="2:22" ht="15" customHeight="1">
      <c r="B607" s="732" t="s">
        <v>631</v>
      </c>
      <c r="C607" s="911" t="s">
        <v>3556</v>
      </c>
      <c r="D607" s="1295">
        <v>46047.789918981478</v>
      </c>
      <c r="E607" s="825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4" t="e">
        <f>LEFT(base[[#This Row],[Evento / Mercado]],FIND("/",base[[#This Row],[Evento / Mercado]])-2)</f>
        <v>#VALUE!</v>
      </c>
      <c r="T607" s="1420">
        <f>base[[#This Row],[Data de liquidação]]</f>
        <v>46047.789918981478</v>
      </c>
    </row>
    <row r="608" spans="2:22" ht="15" customHeight="1">
      <c r="B608" s="732" t="s">
        <v>631</v>
      </c>
      <c r="C608" s="911" t="s">
        <v>3556</v>
      </c>
      <c r="D608" s="1295">
        <v>46047.79005787037</v>
      </c>
      <c r="E608" s="825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628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1215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4" t="e">
        <f>LEFT(base[[#This Row],[Evento / Mercado]],FIND("/",base[[#This Row],[Evento / Mercado]])-2)</f>
        <v>#VALUE!</v>
      </c>
      <c r="T608" s="1420">
        <f>base[[#This Row],[Data de liquidação]]</f>
        <v>46047.79005787037</v>
      </c>
    </row>
    <row r="609" spans="2:20" ht="15" customHeight="1">
      <c r="B609" s="732" t="s">
        <v>630</v>
      </c>
      <c r="C609" s="911" t="s">
        <v>3556</v>
      </c>
      <c r="D609" s="1295">
        <v>46047.811168981483</v>
      </c>
      <c r="E609" s="825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627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1203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4" t="e">
        <f>LEFT(base[[#This Row],[Evento / Mercado]],FIND("/",base[[#This Row],[Evento / Mercado]])-2)</f>
        <v>#VALUE!</v>
      </c>
      <c r="T609" s="1420">
        <f>base[[#This Row],[Data de liquidação]]</f>
        <v>46047.811168981483</v>
      </c>
    </row>
    <row r="610" spans="2:20" ht="15" customHeight="1">
      <c r="B610" s="733" t="s">
        <v>698</v>
      </c>
      <c r="C610" s="911" t="s">
        <v>3556</v>
      </c>
      <c r="D610" s="1296">
        <v>46048.597685185188</v>
      </c>
      <c r="E610" s="826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4" t="e">
        <f>LEFT(base[[#This Row],[Evento / Mercado]],FIND("/",base[[#This Row],[Evento / Mercado]])-2)</f>
        <v>#VALUE!</v>
      </c>
      <c r="T610" s="1420">
        <f>base[[#This Row],[Data de liquidação]]</f>
        <v>46048.597685185188</v>
      </c>
    </row>
    <row r="611" spans="2:20" ht="15" customHeight="1">
      <c r="B611" s="733" t="s">
        <v>698</v>
      </c>
      <c r="C611" s="911" t="s">
        <v>3556</v>
      </c>
      <c r="D611" s="1296">
        <v>46048.597743055558</v>
      </c>
      <c r="E611" s="826">
        <v>5.0199999999999996</v>
      </c>
      <c r="F611" s="80">
        <v>4.4999999999999998E-2</v>
      </c>
      <c r="G611" s="189">
        <f t="shared" si="10"/>
        <v>5.2565445026178006</v>
      </c>
      <c r="H611" s="172" t="s">
        <v>179</v>
      </c>
      <c r="I611" s="170" t="s">
        <v>392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1216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4" t="e">
        <f>LEFT(base[[#This Row],[Evento / Mercado]],FIND("/",base[[#This Row],[Evento / Mercado]])-2)</f>
        <v>#VALUE!</v>
      </c>
      <c r="T611" s="1420">
        <f>base[[#This Row],[Data de liquidação]]</f>
        <v>46048.597743055558</v>
      </c>
    </row>
    <row r="612" spans="2:20" ht="15" customHeight="1">
      <c r="B612" s="733" t="s">
        <v>697</v>
      </c>
      <c r="C612" s="911" t="s">
        <v>3556</v>
      </c>
      <c r="D612" s="1296">
        <v>46048.676261574074</v>
      </c>
      <c r="E612" s="826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4" t="e">
        <f>LEFT(base[[#This Row],[Evento / Mercado]],FIND("/",base[[#This Row],[Evento / Mercado]])-2)</f>
        <v>#VALUE!</v>
      </c>
      <c r="T612" s="1420">
        <f>base[[#This Row],[Data de liquidação]]</f>
        <v>46048.676261574074</v>
      </c>
    </row>
    <row r="613" spans="2:20" ht="15" customHeight="1">
      <c r="B613" s="733" t="s">
        <v>696</v>
      </c>
      <c r="C613" s="911" t="s">
        <v>3556</v>
      </c>
      <c r="D613" s="1296">
        <v>46048.68582175926</v>
      </c>
      <c r="E613" s="826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628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1211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4" t="e">
        <f>LEFT(base[[#This Row],[Evento / Mercado]],FIND("/",base[[#This Row],[Evento / Mercado]])-2)</f>
        <v>#VALUE!</v>
      </c>
      <c r="T613" s="1420">
        <f>base[[#This Row],[Data de liquidação]]</f>
        <v>46048.68582175926</v>
      </c>
    </row>
    <row r="614" spans="2:20" ht="15" customHeight="1">
      <c r="B614" s="733" t="s">
        <v>696</v>
      </c>
      <c r="C614" s="911" t="s">
        <v>3556</v>
      </c>
      <c r="D614" s="1296">
        <v>46048.686226851853</v>
      </c>
      <c r="E614" s="826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4" t="e">
        <f>LEFT(base[[#This Row],[Evento / Mercado]],FIND("/",base[[#This Row],[Evento / Mercado]])-2)</f>
        <v>#VALUE!</v>
      </c>
      <c r="T614" s="1420">
        <f>base[[#This Row],[Data de liquidação]]</f>
        <v>46048.686226851853</v>
      </c>
    </row>
    <row r="615" spans="2:20" ht="15" customHeight="1">
      <c r="B615" s="733" t="s">
        <v>695</v>
      </c>
      <c r="C615" s="911" t="s">
        <v>3556</v>
      </c>
      <c r="D615" s="1296">
        <v>46048.770451388889</v>
      </c>
      <c r="E615" s="826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4" t="e">
        <f>LEFT(base[[#This Row],[Evento / Mercado]],FIND("/",base[[#This Row],[Evento / Mercado]])-2)</f>
        <v>#VALUE!</v>
      </c>
      <c r="T615" s="1420">
        <f>base[[#This Row],[Data de liquidação]]</f>
        <v>46048.770451388889</v>
      </c>
    </row>
    <row r="616" spans="2:20" ht="15" customHeight="1">
      <c r="B616" s="734" t="s">
        <v>708</v>
      </c>
      <c r="C616" s="911" t="s">
        <v>3556</v>
      </c>
      <c r="D616" s="1297">
        <v>46049.49554398148</v>
      </c>
      <c r="E616" s="827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4" t="e">
        <f>LEFT(base[[#This Row],[Evento / Mercado]],FIND("/",base[[#This Row],[Evento / Mercado]])-2)</f>
        <v>#VALUE!</v>
      </c>
      <c r="T616" s="1420">
        <f>base[[#This Row],[Data de liquidação]]</f>
        <v>46049.49554398148</v>
      </c>
    </row>
    <row r="617" spans="2:20" ht="15" customHeight="1">
      <c r="B617" s="734" t="s">
        <v>707</v>
      </c>
      <c r="C617" s="911" t="s">
        <v>3556</v>
      </c>
      <c r="D617" s="1297">
        <v>46049.727025462962</v>
      </c>
      <c r="E617" s="827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4" t="e">
        <f>LEFT(base[[#This Row],[Evento / Mercado]],FIND("/",base[[#This Row],[Evento / Mercado]])-2)</f>
        <v>#VALUE!</v>
      </c>
      <c r="T617" s="1420">
        <f>base[[#This Row],[Data de liquidação]]</f>
        <v>46049.727025462962</v>
      </c>
    </row>
    <row r="618" spans="2:20" ht="15" customHeight="1">
      <c r="B618" s="734" t="s">
        <v>706</v>
      </c>
      <c r="C618" s="911" t="s">
        <v>3556</v>
      </c>
      <c r="D618" s="1297">
        <v>46049.728854166664</v>
      </c>
      <c r="E618" s="827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4" t="e">
        <f>LEFT(base[[#This Row],[Evento / Mercado]],FIND("/",base[[#This Row],[Evento / Mercado]])-2)</f>
        <v>#VALUE!</v>
      </c>
      <c r="T618" s="1420">
        <f>base[[#This Row],[Data de liquidação]]</f>
        <v>46049.728854166664</v>
      </c>
    </row>
    <row r="619" spans="2:20" ht="15" customHeight="1">
      <c r="B619" s="734" t="s">
        <v>705</v>
      </c>
      <c r="C619" s="911" t="s">
        <v>3556</v>
      </c>
      <c r="D619" s="1297">
        <v>46049.746666666666</v>
      </c>
      <c r="E619" s="827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4" t="e">
        <f>LEFT(base[[#This Row],[Evento / Mercado]],FIND("/",base[[#This Row],[Evento / Mercado]])-2)</f>
        <v>#VALUE!</v>
      </c>
      <c r="T619" s="1420">
        <f>base[[#This Row],[Data de liquidação]]</f>
        <v>46049.746666666666</v>
      </c>
    </row>
    <row r="620" spans="2:20" ht="15" customHeight="1">
      <c r="B620" s="734" t="s">
        <v>704</v>
      </c>
      <c r="C620" s="911" t="s">
        <v>3556</v>
      </c>
      <c r="D620" s="1297">
        <v>46049.756469907406</v>
      </c>
      <c r="E620" s="827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4" t="e">
        <f>LEFT(base[[#This Row],[Evento / Mercado]],FIND("/",base[[#This Row],[Evento / Mercado]])-2)</f>
        <v>#VALUE!</v>
      </c>
      <c r="T620" s="1420">
        <f>base[[#This Row],[Data de liquidação]]</f>
        <v>46049.756469907406</v>
      </c>
    </row>
    <row r="621" spans="2:20" ht="15" customHeight="1">
      <c r="B621" s="734" t="s">
        <v>703</v>
      </c>
      <c r="C621" s="911" t="s">
        <v>3556</v>
      </c>
      <c r="D621" s="1297">
        <v>46049.769733796296</v>
      </c>
      <c r="E621" s="827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694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1200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4" t="e">
        <f>LEFT(base[[#This Row],[Evento / Mercado]],FIND("/",base[[#This Row],[Evento / Mercado]])-2)</f>
        <v>#VALUE!</v>
      </c>
      <c r="T621" s="1420">
        <f>base[[#This Row],[Data de liquidação]]</f>
        <v>46049.769733796296</v>
      </c>
    </row>
    <row r="622" spans="2:20" ht="15" customHeight="1">
      <c r="B622" s="734" t="s">
        <v>703</v>
      </c>
      <c r="C622" s="911" t="s">
        <v>3556</v>
      </c>
      <c r="D622" s="1297">
        <v>46049.769837962966</v>
      </c>
      <c r="E622" s="827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4" t="e">
        <f>LEFT(base[[#This Row],[Evento / Mercado]],FIND("/",base[[#This Row],[Evento / Mercado]])-2)</f>
        <v>#VALUE!</v>
      </c>
      <c r="T622" s="1420">
        <f>base[[#This Row],[Data de liquidação]]</f>
        <v>46049.769837962966</v>
      </c>
    </row>
    <row r="623" spans="2:20" ht="15" customHeight="1">
      <c r="B623" s="734" t="s">
        <v>702</v>
      </c>
      <c r="C623" s="911" t="s">
        <v>3556</v>
      </c>
      <c r="D623" s="1297">
        <v>46049.777673611112</v>
      </c>
      <c r="E623" s="827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627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1217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4" t="e">
        <f>LEFT(base[[#This Row],[Evento / Mercado]],FIND("/",base[[#This Row],[Evento / Mercado]])-2)</f>
        <v>#VALUE!</v>
      </c>
      <c r="T623" s="1420">
        <f>base[[#This Row],[Data de liquidação]]</f>
        <v>46049.777673611112</v>
      </c>
    </row>
    <row r="624" spans="2:20" ht="15" customHeight="1">
      <c r="B624" s="735" t="s">
        <v>721</v>
      </c>
      <c r="C624" s="911" t="s">
        <v>3556</v>
      </c>
      <c r="D624" s="1298">
        <v>46050.709074074075</v>
      </c>
      <c r="E624" s="828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4" t="e">
        <f>LEFT(base[[#This Row],[Evento / Mercado]],FIND("/",base[[#This Row],[Evento / Mercado]])-2)</f>
        <v>#VALUE!</v>
      </c>
      <c r="T624" s="1420">
        <f>base[[#This Row],[Data de liquidação]]</f>
        <v>46050.709074074075</v>
      </c>
    </row>
    <row r="625" spans="2:20" ht="15" customHeight="1">
      <c r="B625" s="735" t="s">
        <v>720</v>
      </c>
      <c r="C625" s="911" t="s">
        <v>3556</v>
      </c>
      <c r="D625" s="1298">
        <v>46050.729629629626</v>
      </c>
      <c r="E625" s="828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4" t="e">
        <f>LEFT(base[[#This Row],[Evento / Mercado]],FIND("/",base[[#This Row],[Evento / Mercado]])-2)</f>
        <v>#VALUE!</v>
      </c>
      <c r="T625" s="1420">
        <f>base[[#This Row],[Data de liquidação]]</f>
        <v>46050.729629629626</v>
      </c>
    </row>
    <row r="626" spans="2:20" ht="15" customHeight="1">
      <c r="B626" s="735" t="s">
        <v>719</v>
      </c>
      <c r="C626" s="911" t="s">
        <v>3556</v>
      </c>
      <c r="D626" s="1298">
        <v>46050.732534722221</v>
      </c>
      <c r="E626" s="828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4" t="e">
        <f>LEFT(base[[#This Row],[Evento / Mercado]],FIND("/",base[[#This Row],[Evento / Mercado]])-2)</f>
        <v>#VALUE!</v>
      </c>
      <c r="T626" s="1420">
        <f>base[[#This Row],[Data de liquidação]]</f>
        <v>46050.732534722221</v>
      </c>
    </row>
    <row r="627" spans="2:20" ht="15" customHeight="1">
      <c r="B627" s="735" t="s">
        <v>717</v>
      </c>
      <c r="C627" s="911" t="s">
        <v>3556</v>
      </c>
      <c r="D627" s="1298">
        <v>46050.785150462965</v>
      </c>
      <c r="E627" s="828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694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1210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4" t="e">
        <f>LEFT(base[[#This Row],[Evento / Mercado]],FIND("/",base[[#This Row],[Evento / Mercado]])-2)</f>
        <v>#VALUE!</v>
      </c>
      <c r="T627" s="1420">
        <f>base[[#This Row],[Data de liquidação]]</f>
        <v>46050.785150462965</v>
      </c>
    </row>
    <row r="628" spans="2:20" ht="15" customHeight="1">
      <c r="B628" s="735" t="s">
        <v>718</v>
      </c>
      <c r="C628" s="911" t="s">
        <v>3556</v>
      </c>
      <c r="D628" s="1298">
        <v>46050.785277777781</v>
      </c>
      <c r="E628" s="828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4" t="e">
        <f>LEFT(base[[#This Row],[Evento / Mercado]],FIND("/",base[[#This Row],[Evento / Mercado]])-2)</f>
        <v>#VALUE!</v>
      </c>
      <c r="T628" s="1420">
        <f>base[[#This Row],[Data de liquidação]]</f>
        <v>46050.785277777781</v>
      </c>
    </row>
    <row r="629" spans="2:20" ht="15" customHeight="1">
      <c r="B629" s="735" t="s">
        <v>717</v>
      </c>
      <c r="C629" s="911" t="s">
        <v>3556</v>
      </c>
      <c r="D629" s="1298">
        <v>46050.78528935185</v>
      </c>
      <c r="E629" s="828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4" t="e">
        <f>LEFT(base[[#This Row],[Evento / Mercado]],FIND("/",base[[#This Row],[Evento / Mercado]])-2)</f>
        <v>#VALUE!</v>
      </c>
      <c r="T629" s="1420">
        <f>base[[#This Row],[Data de liquidação]]</f>
        <v>46050.78528935185</v>
      </c>
    </row>
    <row r="630" spans="2:20" ht="15" customHeight="1">
      <c r="B630" s="735" t="s">
        <v>716</v>
      </c>
      <c r="C630" s="911" t="s">
        <v>3556</v>
      </c>
      <c r="D630" s="1298">
        <v>46050.786319444444</v>
      </c>
      <c r="E630" s="828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693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1210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4" t="e">
        <f>LEFT(base[[#This Row],[Evento / Mercado]],FIND("/",base[[#This Row],[Evento / Mercado]])-2)</f>
        <v>#VALUE!</v>
      </c>
      <c r="T630" s="1420">
        <f>base[[#This Row],[Data de liquidação]]</f>
        <v>46050.786319444444</v>
      </c>
    </row>
    <row r="631" spans="2:20" ht="15" customHeight="1">
      <c r="B631" s="735" t="s">
        <v>715</v>
      </c>
      <c r="C631" s="911" t="s">
        <v>3556</v>
      </c>
      <c r="D631" s="1298">
        <v>46050.787083333336</v>
      </c>
      <c r="E631" s="828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4" t="e">
        <f>LEFT(base[[#This Row],[Evento / Mercado]],FIND("/",base[[#This Row],[Evento / Mercado]])-2)</f>
        <v>#VALUE!</v>
      </c>
      <c r="T631" s="1420">
        <f>base[[#This Row],[Data de liquidação]]</f>
        <v>46050.787083333336</v>
      </c>
    </row>
    <row r="632" spans="2:20" ht="15" customHeight="1">
      <c r="B632" s="735" t="s">
        <v>714</v>
      </c>
      <c r="C632" s="911" t="s">
        <v>3556</v>
      </c>
      <c r="D632" s="1298">
        <v>46050.787418981483</v>
      </c>
      <c r="E632" s="828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4" t="e">
        <f>LEFT(base[[#This Row],[Evento / Mercado]],FIND("/",base[[#This Row],[Evento / Mercado]])-2)</f>
        <v>#VALUE!</v>
      </c>
      <c r="T632" s="1420">
        <f>base[[#This Row],[Data de liquidação]]</f>
        <v>46050.787418981483</v>
      </c>
    </row>
    <row r="633" spans="2:20" ht="15" customHeight="1">
      <c r="B633" s="735" t="s">
        <v>713</v>
      </c>
      <c r="C633" s="911" t="s">
        <v>3556</v>
      </c>
      <c r="D633" s="1298">
        <v>46050.787685185183</v>
      </c>
      <c r="E633" s="828">
        <v>23.71</v>
      </c>
      <c r="F633" s="80">
        <v>4.4999999999999998E-2</v>
      </c>
      <c r="G633" s="202">
        <f t="shared" si="10"/>
        <v>24.827225130890053</v>
      </c>
      <c r="H633" s="172" t="s">
        <v>179</v>
      </c>
      <c r="I633" s="170" t="s">
        <v>392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1210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4" t="e">
        <f>LEFT(base[[#This Row],[Evento / Mercado]],FIND("/",base[[#This Row],[Evento / Mercado]])-2)</f>
        <v>#VALUE!</v>
      </c>
      <c r="T633" s="1420">
        <f>base[[#This Row],[Data de liquidação]]</f>
        <v>46050.787685185183</v>
      </c>
    </row>
    <row r="634" spans="2:20" ht="15" customHeight="1">
      <c r="B634" s="735" t="s">
        <v>712</v>
      </c>
      <c r="C634" s="911" t="s">
        <v>3556</v>
      </c>
      <c r="D634" s="1298">
        <v>46050.838912037034</v>
      </c>
      <c r="E634" s="828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4" t="e">
        <f>LEFT(base[[#This Row],[Evento / Mercado]],FIND("/",base[[#This Row],[Evento / Mercado]])-2)</f>
        <v>#VALUE!</v>
      </c>
      <c r="T634" s="1420">
        <f>base[[#This Row],[Data de liquidação]]</f>
        <v>46050.838912037034</v>
      </c>
    </row>
    <row r="635" spans="2:20" ht="15" customHeight="1">
      <c r="B635" s="735" t="s">
        <v>711</v>
      </c>
      <c r="C635" s="911" t="s">
        <v>3556</v>
      </c>
      <c r="D635" s="1298">
        <v>46050.875381944446</v>
      </c>
      <c r="E635" s="828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4" t="e">
        <f>LEFT(base[[#This Row],[Evento / Mercado]],FIND("/",base[[#This Row],[Evento / Mercado]])-2)</f>
        <v>#VALUE!</v>
      </c>
      <c r="T635" s="1420">
        <f>base[[#This Row],[Data de liquidação]]</f>
        <v>46050.875381944446</v>
      </c>
    </row>
    <row r="636" spans="2:20" ht="15" customHeight="1">
      <c r="B636" s="735" t="s">
        <v>710</v>
      </c>
      <c r="C636" s="911" t="s">
        <v>3556</v>
      </c>
      <c r="D636" s="1298">
        <v>46050.877384259256</v>
      </c>
      <c r="E636" s="828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4" t="e">
        <f>LEFT(base[[#This Row],[Evento / Mercado]],FIND("/",base[[#This Row],[Evento / Mercado]])-2)</f>
        <v>#VALUE!</v>
      </c>
      <c r="T636" s="1420">
        <f>base[[#This Row],[Data de liquidação]]</f>
        <v>46050.877384259256</v>
      </c>
    </row>
    <row r="637" spans="2:20" ht="15" customHeight="1">
      <c r="B637" s="735" t="s">
        <v>709</v>
      </c>
      <c r="C637" s="911" t="s">
        <v>3556</v>
      </c>
      <c r="D637" s="1298">
        <v>46050.89638888889</v>
      </c>
      <c r="E637" s="828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4" t="e">
        <f>LEFT(base[[#This Row],[Evento / Mercado]],FIND("/",base[[#This Row],[Evento / Mercado]])-2)</f>
        <v>#VALUE!</v>
      </c>
      <c r="T637" s="1420">
        <f>base[[#This Row],[Data de liquidação]]</f>
        <v>46050.89638888889</v>
      </c>
    </row>
    <row r="638" spans="2:20" ht="15" customHeight="1">
      <c r="B638" s="736" t="s">
        <v>736</v>
      </c>
      <c r="C638" s="911" t="s">
        <v>3556</v>
      </c>
      <c r="D638" s="1299">
        <v>46051.684699074074</v>
      </c>
      <c r="E638" s="829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693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1211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4" t="e">
        <f>LEFT(base[[#This Row],[Evento / Mercado]],FIND("/",base[[#This Row],[Evento / Mercado]])-2)</f>
        <v>#VALUE!</v>
      </c>
      <c r="T638" s="1420">
        <f>base[[#This Row],[Data de liquidação]]</f>
        <v>46051.684699074074</v>
      </c>
    </row>
    <row r="639" spans="2:20" ht="15" customHeight="1">
      <c r="B639" s="736" t="s">
        <v>735</v>
      </c>
      <c r="C639" s="911" t="s">
        <v>3556</v>
      </c>
      <c r="D639" s="1299">
        <v>46051.785937499997</v>
      </c>
      <c r="E639" s="829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4" t="e">
        <f>LEFT(base[[#This Row],[Evento / Mercado]],FIND("/",base[[#This Row],[Evento / Mercado]])-2)</f>
        <v>#VALUE!</v>
      </c>
      <c r="T639" s="1420">
        <f>base[[#This Row],[Data de liquidação]]</f>
        <v>46051.785937499997</v>
      </c>
    </row>
    <row r="640" spans="2:20" ht="15" customHeight="1">
      <c r="B640" s="736" t="s">
        <v>734</v>
      </c>
      <c r="C640" s="911" t="s">
        <v>3556</v>
      </c>
      <c r="D640" s="1299">
        <v>46051.785983796297</v>
      </c>
      <c r="E640" s="829">
        <v>11.02</v>
      </c>
      <c r="F640" s="80">
        <v>4.4999999999999998E-2</v>
      </c>
      <c r="G640" s="216">
        <f t="shared" si="10"/>
        <v>11.539267015706807</v>
      </c>
      <c r="H640" s="172" t="s">
        <v>179</v>
      </c>
      <c r="I640" s="170" t="s">
        <v>392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1218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4" t="e">
        <f>LEFT(base[[#This Row],[Evento / Mercado]],FIND("/",base[[#This Row],[Evento / Mercado]])-2)</f>
        <v>#VALUE!</v>
      </c>
      <c r="T640" s="1420">
        <f>base[[#This Row],[Data de liquidação]]</f>
        <v>46051.785983796297</v>
      </c>
    </row>
    <row r="641" spans="2:22" ht="15" customHeight="1">
      <c r="B641" s="736" t="s">
        <v>733</v>
      </c>
      <c r="C641" s="911" t="s">
        <v>3556</v>
      </c>
      <c r="D641" s="1299">
        <v>46051.786412037036</v>
      </c>
      <c r="E641" s="829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4" t="e">
        <f>LEFT(base[[#This Row],[Evento / Mercado]],FIND("/",base[[#This Row],[Evento / Mercado]])-2)</f>
        <v>#VALUE!</v>
      </c>
      <c r="T641" s="1420">
        <f>base[[#This Row],[Data de liquidação]]</f>
        <v>46051.786412037036</v>
      </c>
    </row>
    <row r="642" spans="2:22" ht="15" customHeight="1">
      <c r="B642" s="736" t="s">
        <v>732</v>
      </c>
      <c r="C642" s="911" t="s">
        <v>3556</v>
      </c>
      <c r="D642" s="1299">
        <v>46051.788136574076</v>
      </c>
      <c r="E642" s="829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4" t="e">
        <f>LEFT(base[[#This Row],[Evento / Mercado]],FIND("/",base[[#This Row],[Evento / Mercado]])-2)</f>
        <v>#VALUE!</v>
      </c>
      <c r="T642" s="1420">
        <f>base[[#This Row],[Data de liquidação]]</f>
        <v>46051.788136574076</v>
      </c>
    </row>
    <row r="643" spans="2:22" ht="15" customHeight="1">
      <c r="B643" s="736" t="s">
        <v>732</v>
      </c>
      <c r="C643" s="911" t="s">
        <v>3556</v>
      </c>
      <c r="D643" s="1299">
        <v>46051.788240740738</v>
      </c>
      <c r="E643" s="829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4" t="e">
        <f>LEFT(base[[#This Row],[Evento / Mercado]],FIND("/",base[[#This Row],[Evento / Mercado]])-2)</f>
        <v>#VALUE!</v>
      </c>
      <c r="T643" s="1420">
        <f>base[[#This Row],[Data de liquidação]]</f>
        <v>46051.788240740738</v>
      </c>
    </row>
    <row r="644" spans="2:22" ht="15" customHeight="1">
      <c r="B644" s="736" t="s">
        <v>731</v>
      </c>
      <c r="C644" s="911" t="s">
        <v>3556</v>
      </c>
      <c r="D644" s="1299">
        <v>46051.788564814815</v>
      </c>
      <c r="E644" s="829">
        <v>11.46</v>
      </c>
      <c r="F644" s="80">
        <v>4.4999999999999998E-2</v>
      </c>
      <c r="G644" s="216">
        <f t="shared" si="11"/>
        <v>12.000000000000002</v>
      </c>
      <c r="H644" s="172" t="s">
        <v>179</v>
      </c>
      <c r="I644" s="170" t="s">
        <v>392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1218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4" t="e">
        <f>LEFT(base[[#This Row],[Evento / Mercado]],FIND("/",base[[#This Row],[Evento / Mercado]])-2)</f>
        <v>#VALUE!</v>
      </c>
      <c r="T644" s="1420">
        <f>base[[#This Row],[Data de liquidação]]</f>
        <v>46051.788564814815</v>
      </c>
    </row>
    <row r="645" spans="2:22" ht="15" customHeight="1">
      <c r="B645" s="736" t="s">
        <v>730</v>
      </c>
      <c r="C645" s="911" t="s">
        <v>3556</v>
      </c>
      <c r="D645" s="1299">
        <v>46051.78869212963</v>
      </c>
      <c r="E645" s="829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4" t="e">
        <f>LEFT(base[[#This Row],[Evento / Mercado]],FIND("/",base[[#This Row],[Evento / Mercado]])-2)</f>
        <v>#VALUE!</v>
      </c>
      <c r="T645" s="1420">
        <f>base[[#This Row],[Data de liquidação]]</f>
        <v>46051.78869212963</v>
      </c>
    </row>
    <row r="646" spans="2:22" ht="15" customHeight="1">
      <c r="B646" s="736" t="s">
        <v>729</v>
      </c>
      <c r="C646" s="911" t="s">
        <v>3556</v>
      </c>
      <c r="D646" s="1299">
        <v>46051.790798611109</v>
      </c>
      <c r="E646" s="829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628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1218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4" t="e">
        <f>LEFT(base[[#This Row],[Evento / Mercado]],FIND("/",base[[#This Row],[Evento / Mercado]])-2)</f>
        <v>#VALUE!</v>
      </c>
      <c r="T646" s="142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736" t="s">
        <v>729</v>
      </c>
      <c r="C647" s="911" t="s">
        <v>3556</v>
      </c>
      <c r="D647" s="1299">
        <v>46051.790798611109</v>
      </c>
      <c r="E647" s="829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4" t="e">
        <f>LEFT(base[[#This Row],[Evento / Mercado]],FIND("/",base[[#This Row],[Evento / Mercado]])-2)</f>
        <v>#VALUE!</v>
      </c>
      <c r="T647" s="142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736" t="s">
        <v>728</v>
      </c>
      <c r="C648" s="911" t="s">
        <v>3556</v>
      </c>
      <c r="D648" s="1299">
        <v>46051.791134259256</v>
      </c>
      <c r="E648" s="829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4" t="e">
        <f>LEFT(base[[#This Row],[Evento / Mercado]],FIND("/",base[[#This Row],[Evento / Mercado]])-2)</f>
        <v>#VALUE!</v>
      </c>
      <c r="T648" s="1420">
        <f>base[[#This Row],[Data de liquidação]]</f>
        <v>46051.791134259256</v>
      </c>
    </row>
    <row r="649" spans="2:22" ht="15" customHeight="1">
      <c r="B649" s="737" t="s">
        <v>836</v>
      </c>
      <c r="C649" s="911" t="s">
        <v>3556</v>
      </c>
      <c r="D649" s="1300">
        <v>46052.53087962963</v>
      </c>
      <c r="E649" s="830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627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1211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4" t="e">
        <f>LEFT(base[[#This Row],[Evento / Mercado]],FIND("/",base[[#This Row],[Evento / Mercado]])-2)</f>
        <v>#VALUE!</v>
      </c>
      <c r="T649" s="142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737" t="s">
        <v>836</v>
      </c>
      <c r="C650" s="911" t="s">
        <v>3556</v>
      </c>
      <c r="D650" s="1300">
        <v>46052.53087962963</v>
      </c>
      <c r="E650" s="830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4" t="e">
        <f>LEFT(base[[#This Row],[Evento / Mercado]],FIND("/",base[[#This Row],[Evento / Mercado]])-2)</f>
        <v>#VALUE!</v>
      </c>
      <c r="T650" s="142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737" t="s">
        <v>836</v>
      </c>
      <c r="C651" s="911" t="s">
        <v>3556</v>
      </c>
      <c r="D651" s="1300">
        <v>46052.530925925923</v>
      </c>
      <c r="E651" s="830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392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1211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4" t="e">
        <f>LEFT(base[[#This Row],[Evento / Mercado]],FIND("/",base[[#This Row],[Evento / Mercado]])-2)</f>
        <v>#VALUE!</v>
      </c>
      <c r="T651" s="1420">
        <f>base[[#This Row],[Data de liquidação]]</f>
        <v>46052.530925925923</v>
      </c>
    </row>
    <row r="652" spans="2:22" ht="15" customHeight="1">
      <c r="B652" s="737" t="s">
        <v>835</v>
      </c>
      <c r="C652" s="911" t="s">
        <v>3556</v>
      </c>
      <c r="D652" s="1300">
        <v>46052.572604166664</v>
      </c>
      <c r="E652" s="830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4" t="e">
        <f>LEFT(base[[#This Row],[Evento / Mercado]],FIND("/",base[[#This Row],[Evento / Mercado]])-2)</f>
        <v>#VALUE!</v>
      </c>
      <c r="T652" s="1420">
        <f>base[[#This Row],[Data de liquidação]]</f>
        <v>46052.572604166664</v>
      </c>
    </row>
    <row r="653" spans="2:22" ht="15" customHeight="1">
      <c r="B653" s="737" t="s">
        <v>834</v>
      </c>
      <c r="C653" s="911" t="s">
        <v>3556</v>
      </c>
      <c r="D653" s="1300">
        <v>46052.653969907406</v>
      </c>
      <c r="E653" s="830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4" t="e">
        <f>LEFT(base[[#This Row],[Evento / Mercado]],FIND("/",base[[#This Row],[Evento / Mercado]])-2)</f>
        <v>#VALUE!</v>
      </c>
      <c r="T653" s="1420">
        <f>base[[#This Row],[Data de liquidação]]</f>
        <v>46052.653969907406</v>
      </c>
    </row>
    <row r="654" spans="2:22" ht="15" customHeight="1">
      <c r="B654" s="737" t="s">
        <v>830</v>
      </c>
      <c r="C654" s="911" t="s">
        <v>3556</v>
      </c>
      <c r="D654" s="1300">
        <v>46052.662893518522</v>
      </c>
      <c r="E654" s="830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4" t="e">
        <f>LEFT(base[[#This Row],[Evento / Mercado]],FIND("/",base[[#This Row],[Evento / Mercado]])-2)</f>
        <v>#VALUE!</v>
      </c>
      <c r="T654" s="1420">
        <f>base[[#This Row],[Data de liquidação]]</f>
        <v>46052.662893518522</v>
      </c>
    </row>
    <row r="655" spans="2:22" ht="15" customHeight="1">
      <c r="B655" s="737" t="s">
        <v>833</v>
      </c>
      <c r="C655" s="911" t="s">
        <v>3556</v>
      </c>
      <c r="D655" s="1300">
        <v>46052.66337962963</v>
      </c>
      <c r="E655" s="830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4" t="e">
        <f>LEFT(base[[#This Row],[Evento / Mercado]],FIND("/",base[[#This Row],[Evento / Mercado]])-2)</f>
        <v>#VALUE!</v>
      </c>
      <c r="T655" s="1420">
        <f>base[[#This Row],[Data de liquidação]]</f>
        <v>46052.66337962963</v>
      </c>
    </row>
    <row r="656" spans="2:22" ht="15" customHeight="1">
      <c r="B656" s="737" t="s">
        <v>832</v>
      </c>
      <c r="C656" s="911" t="s">
        <v>3556</v>
      </c>
      <c r="D656" s="1300">
        <v>46052.666921296295</v>
      </c>
      <c r="E656" s="830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694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1204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4" t="e">
        <f>LEFT(base[[#This Row],[Evento / Mercado]],FIND("/",base[[#This Row],[Evento / Mercado]])-2)</f>
        <v>#VALUE!</v>
      </c>
      <c r="T656" s="1420">
        <f>base[[#This Row],[Data de liquidação]]</f>
        <v>46052.666921296295</v>
      </c>
    </row>
    <row r="657" spans="2:22" ht="15" customHeight="1">
      <c r="B657" s="737" t="s">
        <v>831</v>
      </c>
      <c r="C657" s="911" t="s">
        <v>3556</v>
      </c>
      <c r="D657" s="1300">
        <v>46052.686840277776</v>
      </c>
      <c r="E657" s="830">
        <v>13.53</v>
      </c>
      <c r="F657" s="80">
        <v>4.4999999999999998E-2</v>
      </c>
      <c r="G657" s="224">
        <f t="shared" si="11"/>
        <v>14.167539267015707</v>
      </c>
      <c r="H657" s="172" t="s">
        <v>179</v>
      </c>
      <c r="I657" s="222" t="s">
        <v>391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1211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4" t="e">
        <f>LEFT(base[[#This Row],[Evento / Mercado]],FIND("/",base[[#This Row],[Evento / Mercado]])-2)</f>
        <v>#VALUE!</v>
      </c>
      <c r="T657" s="1420">
        <f>base[[#This Row],[Data de liquidação]]</f>
        <v>46052.686840277776</v>
      </c>
    </row>
    <row r="658" spans="2:22" ht="15" customHeight="1">
      <c r="B658" s="737" t="s">
        <v>830</v>
      </c>
      <c r="C658" s="911" t="s">
        <v>3556</v>
      </c>
      <c r="D658" s="1300">
        <v>46052.690937500003</v>
      </c>
      <c r="E658" s="830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4" t="e">
        <f>LEFT(base[[#This Row],[Evento / Mercado]],FIND("/",base[[#This Row],[Evento / Mercado]])-2)</f>
        <v>#VALUE!</v>
      </c>
      <c r="T658" s="1420">
        <f>base[[#This Row],[Data de liquidação]]</f>
        <v>46052.690937500003</v>
      </c>
    </row>
    <row r="659" spans="2:22" ht="15" customHeight="1">
      <c r="B659" s="737" t="s">
        <v>829</v>
      </c>
      <c r="C659" s="911" t="s">
        <v>3556</v>
      </c>
      <c r="D659" s="1300">
        <v>46052.691840277781</v>
      </c>
      <c r="E659" s="830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4" t="e">
        <f>LEFT(base[[#This Row],[Evento / Mercado]],FIND("/",base[[#This Row],[Evento / Mercado]])-2)</f>
        <v>#VALUE!</v>
      </c>
      <c r="T659" s="1420">
        <f>base[[#This Row],[Data de liquidação]]</f>
        <v>46052.691840277781</v>
      </c>
    </row>
    <row r="660" spans="2:22" ht="15" customHeight="1">
      <c r="B660" s="737" t="s">
        <v>828</v>
      </c>
      <c r="C660" s="911" t="s">
        <v>3556</v>
      </c>
      <c r="D660" s="1300">
        <v>46052.694293981483</v>
      </c>
      <c r="E660" s="830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4" t="e">
        <f>LEFT(base[[#This Row],[Evento / Mercado]],FIND("/",base[[#This Row],[Evento / Mercado]])-2)</f>
        <v>#VALUE!</v>
      </c>
      <c r="T660" s="1420">
        <f>base[[#This Row],[Data de liquidação]]</f>
        <v>46052.694293981483</v>
      </c>
    </row>
    <row r="661" spans="2:22" ht="15" customHeight="1">
      <c r="B661" s="737" t="s">
        <v>822</v>
      </c>
      <c r="C661" s="911" t="s">
        <v>3556</v>
      </c>
      <c r="D661" s="1300">
        <v>46052.697268518517</v>
      </c>
      <c r="E661" s="830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4" t="e">
        <f>LEFT(base[[#This Row],[Evento / Mercado]],FIND("/",base[[#This Row],[Evento / Mercado]])-2)</f>
        <v>#VALUE!</v>
      </c>
      <c r="T661" s="1420">
        <f>base[[#This Row],[Data de liquidação]]</f>
        <v>46052.697268518517</v>
      </c>
    </row>
    <row r="662" spans="2:22" ht="15" customHeight="1">
      <c r="B662" s="737" t="s">
        <v>827</v>
      </c>
      <c r="C662" s="911" t="s">
        <v>3556</v>
      </c>
      <c r="D662" s="1300">
        <v>46052.703981481478</v>
      </c>
      <c r="E662" s="830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4" t="e">
        <f>LEFT(base[[#This Row],[Evento / Mercado]],FIND("/",base[[#This Row],[Evento / Mercado]])-2)</f>
        <v>#VALUE!</v>
      </c>
      <c r="T662" s="1420">
        <f>base[[#This Row],[Data de liquidação]]</f>
        <v>46052.703981481478</v>
      </c>
    </row>
    <row r="663" spans="2:22" ht="15" customHeight="1">
      <c r="B663" s="737" t="s">
        <v>826</v>
      </c>
      <c r="C663" s="911" t="s">
        <v>3556</v>
      </c>
      <c r="D663" s="1300">
        <v>46052.722719907404</v>
      </c>
      <c r="E663" s="830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4" t="e">
        <f>LEFT(base[[#This Row],[Evento / Mercado]],FIND("/",base[[#This Row],[Evento / Mercado]])-2)</f>
        <v>#VALUE!</v>
      </c>
      <c r="T663" s="1420">
        <f>base[[#This Row],[Data de liquidação]]</f>
        <v>46052.722719907404</v>
      </c>
    </row>
    <row r="664" spans="2:22" ht="15" customHeight="1">
      <c r="B664" s="737" t="s">
        <v>825</v>
      </c>
      <c r="C664" s="911" t="s">
        <v>3556</v>
      </c>
      <c r="D664" s="1300">
        <v>46052.72583333333</v>
      </c>
      <c r="E664" s="830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4" t="e">
        <f>LEFT(base[[#This Row],[Evento / Mercado]],FIND("/",base[[#This Row],[Evento / Mercado]])-2)</f>
        <v>#VALUE!</v>
      </c>
      <c r="T664" s="1420">
        <f>base[[#This Row],[Data de liquidação]]</f>
        <v>46052.72583333333</v>
      </c>
    </row>
    <row r="665" spans="2:22" ht="15" customHeight="1">
      <c r="B665" s="737" t="s">
        <v>824</v>
      </c>
      <c r="C665" s="911" t="s">
        <v>3556</v>
      </c>
      <c r="D665" s="1300">
        <v>46052.744710648149</v>
      </c>
      <c r="E665" s="830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4" t="e">
        <f>LEFT(base[[#This Row],[Evento / Mercado]],FIND("/",base[[#This Row],[Evento / Mercado]])-2)</f>
        <v>#VALUE!</v>
      </c>
      <c r="T665" s="1420">
        <f>base[[#This Row],[Data de liquidação]]</f>
        <v>46052.744710648149</v>
      </c>
    </row>
    <row r="666" spans="2:22" ht="15" customHeight="1">
      <c r="B666" s="737" t="s">
        <v>823</v>
      </c>
      <c r="C666" s="911" t="s">
        <v>3556</v>
      </c>
      <c r="D666" s="1300">
        <v>46052.744814814818</v>
      </c>
      <c r="E666" s="830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4" t="e">
        <f>LEFT(base[[#This Row],[Evento / Mercado]],FIND("/",base[[#This Row],[Evento / Mercado]])-2)</f>
        <v>#VALUE!</v>
      </c>
      <c r="T666" s="1420">
        <f>base[[#This Row],[Data de liquidação]]</f>
        <v>46052.744814814818</v>
      </c>
    </row>
    <row r="667" spans="2:22" ht="15" customHeight="1">
      <c r="B667" s="737" t="s">
        <v>822</v>
      </c>
      <c r="C667" s="911" t="s">
        <v>3556</v>
      </c>
      <c r="D667" s="1300">
        <v>46052.745648148149</v>
      </c>
      <c r="E667" s="830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4" t="e">
        <f>LEFT(base[[#This Row],[Evento / Mercado]],FIND("/",base[[#This Row],[Evento / Mercado]])-2)</f>
        <v>#VALUE!</v>
      </c>
      <c r="T667" s="1420">
        <f>base[[#This Row],[Data de liquidação]]</f>
        <v>46052.745648148149</v>
      </c>
    </row>
    <row r="668" spans="2:22" ht="15" customHeight="1">
      <c r="B668" s="737" t="s">
        <v>821</v>
      </c>
      <c r="C668" s="911" t="s">
        <v>3556</v>
      </c>
      <c r="D668" s="1300">
        <v>46052.748067129629</v>
      </c>
      <c r="E668" s="830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4" t="e">
        <f>LEFT(base[[#This Row],[Evento / Mercado]],FIND("/",base[[#This Row],[Evento / Mercado]])-2)</f>
        <v>#VALUE!</v>
      </c>
      <c r="T668" s="142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737" t="s">
        <v>821</v>
      </c>
      <c r="C669" s="911" t="s">
        <v>3556</v>
      </c>
      <c r="D669" s="1300">
        <v>46052.748067129629</v>
      </c>
      <c r="E669" s="830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628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1198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4" t="e">
        <f>LEFT(base[[#This Row],[Evento / Mercado]],FIND("/",base[[#This Row],[Evento / Mercado]])-2)</f>
        <v>#VALUE!</v>
      </c>
      <c r="T669" s="142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737" t="s">
        <v>820</v>
      </c>
      <c r="C670" s="911" t="s">
        <v>3556</v>
      </c>
      <c r="D670" s="1300">
        <v>46052.766840277778</v>
      </c>
      <c r="E670" s="830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4" t="e">
        <f>LEFT(base[[#This Row],[Evento / Mercado]],FIND("/",base[[#This Row],[Evento / Mercado]])-2)</f>
        <v>#VALUE!</v>
      </c>
      <c r="T670" s="1420">
        <f>base[[#This Row],[Data de liquidação]]</f>
        <v>46052.766840277778</v>
      </c>
    </row>
    <row r="671" spans="2:22" ht="15" customHeight="1">
      <c r="B671" s="737" t="s">
        <v>819</v>
      </c>
      <c r="C671" s="911" t="s">
        <v>3556</v>
      </c>
      <c r="D671" s="1300">
        <v>46052.768437500003</v>
      </c>
      <c r="E671" s="830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4" t="e">
        <f>LEFT(base[[#This Row],[Evento / Mercado]],FIND("/",base[[#This Row],[Evento / Mercado]])-2)</f>
        <v>#VALUE!</v>
      </c>
      <c r="T671" s="1420">
        <f>base[[#This Row],[Data de liquidação]]</f>
        <v>46052.768437500003</v>
      </c>
    </row>
    <row r="672" spans="2:22" ht="15" customHeight="1">
      <c r="B672" s="737" t="s">
        <v>818</v>
      </c>
      <c r="C672" s="911" t="s">
        <v>3556</v>
      </c>
      <c r="D672" s="1300">
        <v>46052.7815625</v>
      </c>
      <c r="E672" s="830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4" t="e">
        <f>LEFT(base[[#This Row],[Evento / Mercado]],FIND("/",base[[#This Row],[Evento / Mercado]])-2)</f>
        <v>#VALUE!</v>
      </c>
      <c r="T672" s="1420">
        <f>base[[#This Row],[Data de liquidação]]</f>
        <v>46052.7815625</v>
      </c>
    </row>
    <row r="673" spans="2:20" ht="15" customHeight="1">
      <c r="B673" s="737" t="s">
        <v>818</v>
      </c>
      <c r="C673" s="911" t="s">
        <v>3556</v>
      </c>
      <c r="D673" s="1300">
        <v>46052.781608796293</v>
      </c>
      <c r="E673" s="830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392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1208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4" t="e">
        <f>LEFT(base[[#This Row],[Evento / Mercado]],FIND("/",base[[#This Row],[Evento / Mercado]])-2)</f>
        <v>#VALUE!</v>
      </c>
      <c r="T673" s="1420">
        <f>base[[#This Row],[Data de liquidação]]</f>
        <v>46052.781608796293</v>
      </c>
    </row>
    <row r="674" spans="2:20" ht="15" customHeight="1">
      <c r="B674" s="737" t="s">
        <v>817</v>
      </c>
      <c r="C674" s="911" t="s">
        <v>3556</v>
      </c>
      <c r="D674" s="1300">
        <v>46053.419259259259</v>
      </c>
      <c r="E674" s="830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4" t="e">
        <f>LEFT(base[[#This Row],[Evento / Mercado]],FIND("/",base[[#This Row],[Evento / Mercado]])-2)</f>
        <v>#VALUE!</v>
      </c>
      <c r="T674" s="1420">
        <f>base[[#This Row],[Data de liquidação]]</f>
        <v>46053.419259259259</v>
      </c>
    </row>
    <row r="675" spans="2:20" ht="15" customHeight="1">
      <c r="B675" s="737" t="s">
        <v>815</v>
      </c>
      <c r="C675" s="911" t="s">
        <v>3556</v>
      </c>
      <c r="D675" s="1300">
        <v>46053.44190972222</v>
      </c>
      <c r="E675" s="830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4" t="e">
        <f>LEFT(base[[#This Row],[Evento / Mercado]],FIND("/",base[[#This Row],[Evento / Mercado]])-2)</f>
        <v>#VALUE!</v>
      </c>
      <c r="T675" s="1420">
        <f>base[[#This Row],[Data de liquidação]]</f>
        <v>46053.44190972222</v>
      </c>
    </row>
    <row r="676" spans="2:20" ht="15" customHeight="1">
      <c r="B676" s="737" t="s">
        <v>816</v>
      </c>
      <c r="C676" s="911" t="s">
        <v>3556</v>
      </c>
      <c r="D676" s="1300">
        <v>46053.455694444441</v>
      </c>
      <c r="E676" s="830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4" t="e">
        <f>LEFT(base[[#This Row],[Evento / Mercado]],FIND("/",base[[#This Row],[Evento / Mercado]])-2)</f>
        <v>#VALUE!</v>
      </c>
      <c r="T676" s="1420">
        <f>base[[#This Row],[Data de liquidação]]</f>
        <v>46053.455694444441</v>
      </c>
    </row>
    <row r="677" spans="2:20" ht="15" customHeight="1">
      <c r="B677" s="737" t="s">
        <v>815</v>
      </c>
      <c r="C677" s="911" t="s">
        <v>3556</v>
      </c>
      <c r="D677" s="1300">
        <v>46053.456805555557</v>
      </c>
      <c r="E677" s="830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4" t="e">
        <f>LEFT(base[[#This Row],[Evento / Mercado]],FIND("/",base[[#This Row],[Evento / Mercado]])-2)</f>
        <v>#VALUE!</v>
      </c>
      <c r="T677" s="1420">
        <f>base[[#This Row],[Data de liquidação]]</f>
        <v>46053.456805555557</v>
      </c>
    </row>
    <row r="678" spans="2:20" ht="15" customHeight="1">
      <c r="B678" s="737" t="s">
        <v>814</v>
      </c>
      <c r="C678" s="911" t="s">
        <v>3556</v>
      </c>
      <c r="D678" s="1300">
        <v>46053.468402777777</v>
      </c>
      <c r="E678" s="830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4" t="e">
        <f>LEFT(base[[#This Row],[Evento / Mercado]],FIND("/",base[[#This Row],[Evento / Mercado]])-2)</f>
        <v>#VALUE!</v>
      </c>
      <c r="T678" s="1420">
        <f>base[[#This Row],[Data de liquidação]]</f>
        <v>46053.468402777777</v>
      </c>
    </row>
    <row r="679" spans="2:20" ht="15" customHeight="1">
      <c r="B679" s="737" t="s">
        <v>813</v>
      </c>
      <c r="C679" s="911" t="s">
        <v>3556</v>
      </c>
      <c r="D679" s="1300">
        <v>46053.469525462962</v>
      </c>
      <c r="E679" s="830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4" t="e">
        <f>LEFT(base[[#This Row],[Evento / Mercado]],FIND("/",base[[#This Row],[Evento / Mercado]])-2)</f>
        <v>#VALUE!</v>
      </c>
      <c r="T679" s="1420">
        <f>base[[#This Row],[Data de liquidação]]</f>
        <v>46053.469525462962</v>
      </c>
    </row>
    <row r="680" spans="2:20" ht="15" customHeight="1">
      <c r="B680" s="737" t="s">
        <v>812</v>
      </c>
      <c r="C680" s="911" t="s">
        <v>3556</v>
      </c>
      <c r="D680" s="1300">
        <v>46053.476284722223</v>
      </c>
      <c r="E680" s="830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4" t="e">
        <f>LEFT(base[[#This Row],[Evento / Mercado]],FIND("/",base[[#This Row],[Evento / Mercado]])-2)</f>
        <v>#VALUE!</v>
      </c>
      <c r="T680" s="1420">
        <f>base[[#This Row],[Data de liquidação]]</f>
        <v>46053.476284722223</v>
      </c>
    </row>
    <row r="681" spans="2:20" ht="15" customHeight="1">
      <c r="B681" s="737" t="s">
        <v>811</v>
      </c>
      <c r="C681" s="911" t="s">
        <v>3556</v>
      </c>
      <c r="D681" s="1300">
        <v>46053.477129629631</v>
      </c>
      <c r="E681" s="830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4" t="e">
        <f>LEFT(base[[#This Row],[Evento / Mercado]],FIND("/",base[[#This Row],[Evento / Mercado]])-2)</f>
        <v>#VALUE!</v>
      </c>
      <c r="T681" s="1420">
        <f>base[[#This Row],[Data de liquidação]]</f>
        <v>46053.477129629631</v>
      </c>
    </row>
    <row r="682" spans="2:20" ht="15" customHeight="1">
      <c r="B682" s="737" t="s">
        <v>810</v>
      </c>
      <c r="C682" s="911" t="s">
        <v>3556</v>
      </c>
      <c r="D682" s="1300">
        <v>46053.497511574074</v>
      </c>
      <c r="E682" s="830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4" t="e">
        <f>LEFT(base[[#This Row],[Evento / Mercado]],FIND("/",base[[#This Row],[Evento / Mercado]])-2)</f>
        <v>#VALUE!</v>
      </c>
      <c r="T682" s="1420">
        <f>base[[#This Row],[Data de liquidação]]</f>
        <v>46053.497511574074</v>
      </c>
    </row>
    <row r="683" spans="2:20" ht="15" customHeight="1">
      <c r="B683" s="737" t="s">
        <v>807</v>
      </c>
      <c r="C683" s="911" t="s">
        <v>3556</v>
      </c>
      <c r="D683" s="1300">
        <v>46053.508472222224</v>
      </c>
      <c r="E683" s="830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4" t="e">
        <f>LEFT(base[[#This Row],[Evento / Mercado]],FIND("/",base[[#This Row],[Evento / Mercado]])-2)</f>
        <v>#VALUE!</v>
      </c>
      <c r="T683" s="1420">
        <f>base[[#This Row],[Data de liquidação]]</f>
        <v>46053.508472222224</v>
      </c>
    </row>
    <row r="684" spans="2:20" ht="15" customHeight="1">
      <c r="B684" s="737" t="s">
        <v>802</v>
      </c>
      <c r="C684" s="911" t="s">
        <v>3556</v>
      </c>
      <c r="D684" s="1300">
        <v>46053.515231481484</v>
      </c>
      <c r="E684" s="830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4" t="e">
        <f>LEFT(base[[#This Row],[Evento / Mercado]],FIND("/",base[[#This Row],[Evento / Mercado]])-2)</f>
        <v>#VALUE!</v>
      </c>
      <c r="T684" s="1420">
        <f>base[[#This Row],[Data de liquidação]]</f>
        <v>46053.515231481484</v>
      </c>
    </row>
    <row r="685" spans="2:20" ht="15" customHeight="1">
      <c r="B685" s="737" t="s">
        <v>809</v>
      </c>
      <c r="C685" s="911" t="s">
        <v>3556</v>
      </c>
      <c r="D685" s="1300">
        <v>46053.526238425926</v>
      </c>
      <c r="E685" s="830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4" t="e">
        <f>LEFT(base[[#This Row],[Evento / Mercado]],FIND("/",base[[#This Row],[Evento / Mercado]])-2)</f>
        <v>#VALUE!</v>
      </c>
      <c r="T685" s="1420">
        <f>base[[#This Row],[Data de liquidação]]</f>
        <v>46053.526238425926</v>
      </c>
    </row>
    <row r="686" spans="2:20" ht="15" customHeight="1">
      <c r="B686" s="737" t="s">
        <v>808</v>
      </c>
      <c r="C686" s="911" t="s">
        <v>3556</v>
      </c>
      <c r="D686" s="1300">
        <v>46053.526365740741</v>
      </c>
      <c r="E686" s="830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4" t="e">
        <f>LEFT(base[[#This Row],[Evento / Mercado]],FIND("/",base[[#This Row],[Evento / Mercado]])-2)</f>
        <v>#VALUE!</v>
      </c>
      <c r="T686" s="1420">
        <f>base[[#This Row],[Data de liquidação]]</f>
        <v>46053.526365740741</v>
      </c>
    </row>
    <row r="687" spans="2:20" ht="15" customHeight="1">
      <c r="B687" s="737" t="s">
        <v>807</v>
      </c>
      <c r="C687" s="911" t="s">
        <v>3556</v>
      </c>
      <c r="D687" s="1300">
        <v>46053.538518518515</v>
      </c>
      <c r="E687" s="830">
        <v>16.28</v>
      </c>
      <c r="F687" s="80">
        <v>4.4999999999999998E-2</v>
      </c>
      <c r="G687" s="224">
        <f t="shared" si="11"/>
        <v>17.04712041884817</v>
      </c>
      <c r="H687" s="172" t="s">
        <v>179</v>
      </c>
      <c r="I687" s="222" t="s">
        <v>392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1209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4" t="e">
        <f>LEFT(base[[#This Row],[Evento / Mercado]],FIND("/",base[[#This Row],[Evento / Mercado]])-2)</f>
        <v>#VALUE!</v>
      </c>
      <c r="T687" s="1420">
        <f>base[[#This Row],[Data de liquidação]]</f>
        <v>46053.538518518515</v>
      </c>
    </row>
    <row r="688" spans="2:20" ht="15" customHeight="1">
      <c r="B688" s="737" t="s">
        <v>806</v>
      </c>
      <c r="C688" s="911" t="s">
        <v>3556</v>
      </c>
      <c r="D688" s="1300">
        <v>46053.540775462963</v>
      </c>
      <c r="E688" s="830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4" t="e">
        <f>LEFT(base[[#This Row],[Evento / Mercado]],FIND("/",base[[#This Row],[Evento / Mercado]])-2)</f>
        <v>#VALUE!</v>
      </c>
      <c r="T688" s="1420">
        <f>base[[#This Row],[Data de liquidação]]</f>
        <v>46053.540775462963</v>
      </c>
    </row>
    <row r="689" spans="2:22" ht="15" customHeight="1">
      <c r="B689" s="737" t="s">
        <v>805</v>
      </c>
      <c r="C689" s="911" t="s">
        <v>3556</v>
      </c>
      <c r="D689" s="1300">
        <v>46053.54283564815</v>
      </c>
      <c r="E689" s="830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4" t="e">
        <f>LEFT(base[[#This Row],[Evento / Mercado]],FIND("/",base[[#This Row],[Evento / Mercado]])-2)</f>
        <v>#VALUE!</v>
      </c>
      <c r="T689" s="1420">
        <f>base[[#This Row],[Data de liquidação]]</f>
        <v>46053.54283564815</v>
      </c>
    </row>
    <row r="690" spans="2:22" ht="15" customHeight="1">
      <c r="B690" s="737" t="s">
        <v>804</v>
      </c>
      <c r="C690" s="911" t="s">
        <v>3556</v>
      </c>
      <c r="D690" s="1300">
        <v>46053.55945601852</v>
      </c>
      <c r="E690" s="830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693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1200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4" t="e">
        <f>LEFT(base[[#This Row],[Evento / Mercado]],FIND("/",base[[#This Row],[Evento / Mercado]])-2)</f>
        <v>#VALUE!</v>
      </c>
      <c r="T690" s="1420">
        <f>base[[#This Row],[Data de liquidação]]</f>
        <v>46053.55945601852</v>
      </c>
    </row>
    <row r="691" spans="2:22" ht="15" customHeight="1">
      <c r="B691" s="737" t="s">
        <v>803</v>
      </c>
      <c r="C691" s="911" t="s">
        <v>3556</v>
      </c>
      <c r="D691" s="1300">
        <v>46053.561956018515</v>
      </c>
      <c r="E691" s="830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4" t="e">
        <f>LEFT(base[[#This Row],[Evento / Mercado]],FIND("/",base[[#This Row],[Evento / Mercado]])-2)</f>
        <v>#VALUE!</v>
      </c>
      <c r="T691" s="1420">
        <f>base[[#This Row],[Data de liquidação]]</f>
        <v>46053.561956018515</v>
      </c>
    </row>
    <row r="692" spans="2:22" ht="15" customHeight="1">
      <c r="B692" s="737" t="s">
        <v>802</v>
      </c>
      <c r="C692" s="911" t="s">
        <v>3556</v>
      </c>
      <c r="D692" s="1300">
        <v>46053.562222222223</v>
      </c>
      <c r="E692" s="830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4" t="e">
        <f>LEFT(base[[#This Row],[Evento / Mercado]],FIND("/",base[[#This Row],[Evento / Mercado]])-2)</f>
        <v>#VALUE!</v>
      </c>
      <c r="T692" s="1420">
        <f>base[[#This Row],[Data de liquidação]]</f>
        <v>46053.562222222223</v>
      </c>
    </row>
    <row r="693" spans="2:22" ht="15" customHeight="1">
      <c r="B693" s="737" t="s">
        <v>802</v>
      </c>
      <c r="C693" s="911" t="s">
        <v>3556</v>
      </c>
      <c r="D693" s="1300">
        <v>46053.562268518515</v>
      </c>
      <c r="E693" s="830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392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1200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4" t="e">
        <f>LEFT(base[[#This Row],[Evento / Mercado]],FIND("/",base[[#This Row],[Evento / Mercado]])-2)</f>
        <v>#VALUE!</v>
      </c>
      <c r="T693" s="1420">
        <f>base[[#This Row],[Data de liquidação]]</f>
        <v>46053.562268518515</v>
      </c>
    </row>
    <row r="694" spans="2:22" ht="15" customHeight="1">
      <c r="B694" s="737" t="s">
        <v>801</v>
      </c>
      <c r="C694" s="911" t="s">
        <v>3556</v>
      </c>
      <c r="D694" s="1300">
        <v>46053.577511574076</v>
      </c>
      <c r="E694" s="830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627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1206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4" t="e">
        <f>LEFT(base[[#This Row],[Evento / Mercado]],FIND("/",base[[#This Row],[Evento / Mercado]])-2)</f>
        <v>#VALUE!</v>
      </c>
      <c r="T694" s="1420">
        <f>base[[#This Row],[Data de liquidação]]</f>
        <v>46053.577511574076</v>
      </c>
    </row>
    <row r="695" spans="2:22" ht="15" customHeight="1">
      <c r="B695" s="737" t="s">
        <v>801</v>
      </c>
      <c r="C695" s="911" t="s">
        <v>3556</v>
      </c>
      <c r="D695" s="1300">
        <v>46053.577604166669</v>
      </c>
      <c r="E695" s="830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4" t="e">
        <f>LEFT(base[[#This Row],[Evento / Mercado]],FIND("/",base[[#This Row],[Evento / Mercado]])-2)</f>
        <v>#VALUE!</v>
      </c>
      <c r="T695" s="1420">
        <f>base[[#This Row],[Data de liquidação]]</f>
        <v>46053.577604166669</v>
      </c>
    </row>
    <row r="696" spans="2:22" ht="15" customHeight="1">
      <c r="B696" s="737" t="s">
        <v>800</v>
      </c>
      <c r="C696" s="911" t="s">
        <v>3556</v>
      </c>
      <c r="D696" s="1300">
        <v>46053.578969907408</v>
      </c>
      <c r="E696" s="830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4" t="e">
        <f>LEFT(base[[#This Row],[Evento / Mercado]],FIND("/",base[[#This Row],[Evento / Mercado]])-2)</f>
        <v>#VALUE!</v>
      </c>
      <c r="T696" s="1420">
        <f>base[[#This Row],[Data de liquidação]]</f>
        <v>46053.578969907408</v>
      </c>
    </row>
    <row r="697" spans="2:22" ht="15" customHeight="1">
      <c r="B697" s="737" t="s">
        <v>799</v>
      </c>
      <c r="C697" s="911" t="s">
        <v>3556</v>
      </c>
      <c r="D697" s="1300">
        <v>46053.580555555556</v>
      </c>
      <c r="E697" s="830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4" t="e">
        <f>LEFT(base[[#This Row],[Evento / Mercado]],FIND("/",base[[#This Row],[Evento / Mercado]])-2)</f>
        <v>#VALUE!</v>
      </c>
      <c r="T697" s="1420">
        <f>base[[#This Row],[Data de liquidação]]</f>
        <v>46053.580555555556</v>
      </c>
    </row>
    <row r="698" spans="2:22" ht="15" customHeight="1">
      <c r="B698" s="737" t="s">
        <v>798</v>
      </c>
      <c r="C698" s="911" t="s">
        <v>3556</v>
      </c>
      <c r="D698" s="1300">
        <v>46053.582037037035</v>
      </c>
      <c r="E698" s="830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4" t="e">
        <f>LEFT(base[[#This Row],[Evento / Mercado]],FIND("/",base[[#This Row],[Evento / Mercado]])-2)</f>
        <v>#VALUE!</v>
      </c>
      <c r="T698" s="1420">
        <f>base[[#This Row],[Data de liquidação]]</f>
        <v>46053.582037037035</v>
      </c>
    </row>
    <row r="699" spans="2:22" ht="15" customHeight="1">
      <c r="B699" s="737" t="s">
        <v>797</v>
      </c>
      <c r="C699" s="911" t="s">
        <v>3556</v>
      </c>
      <c r="D699" s="1300">
        <v>46053.599259259259</v>
      </c>
      <c r="E699" s="830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4" t="e">
        <f>LEFT(base[[#This Row],[Evento / Mercado]],FIND("/",base[[#This Row],[Evento / Mercado]])-2)</f>
        <v>#VALUE!</v>
      </c>
      <c r="T699" s="1420">
        <f>base[[#This Row],[Data de liquidação]]</f>
        <v>46053.599259259259</v>
      </c>
    </row>
    <row r="700" spans="2:22" ht="15" customHeight="1">
      <c r="B700" s="737" t="s">
        <v>796</v>
      </c>
      <c r="C700" s="911" t="s">
        <v>3556</v>
      </c>
      <c r="D700" s="1300">
        <v>46053.637476851851</v>
      </c>
      <c r="E700" s="830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4" t="e">
        <f>LEFT(base[[#This Row],[Evento / Mercado]],FIND("/",base[[#This Row],[Evento / Mercado]])-2)</f>
        <v>#VALUE!</v>
      </c>
      <c r="T700" s="1420">
        <f>base[[#This Row],[Data de liquidação]]</f>
        <v>46053.637476851851</v>
      </c>
    </row>
    <row r="701" spans="2:22" ht="15" customHeight="1">
      <c r="B701" s="737" t="s">
        <v>795</v>
      </c>
      <c r="C701" s="911" t="s">
        <v>3556</v>
      </c>
      <c r="D701" s="1300">
        <v>46053.663587962961</v>
      </c>
      <c r="E701" s="830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627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1207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4" t="e">
        <f>LEFT(base[[#This Row],[Evento / Mercado]],FIND("/",base[[#This Row],[Evento / Mercado]])-2)</f>
        <v>#VALUE!</v>
      </c>
      <c r="T701" s="1420">
        <f>base[[#This Row],[Data de liquidação]]</f>
        <v>46053.663587962961</v>
      </c>
    </row>
    <row r="702" spans="2:22" ht="15" customHeight="1">
      <c r="B702" s="737" t="s">
        <v>794</v>
      </c>
      <c r="C702" s="911" t="s">
        <v>3556</v>
      </c>
      <c r="D702" s="1300">
        <v>46053.665960648148</v>
      </c>
      <c r="E702" s="830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4" t="e">
        <f>LEFT(base[[#This Row],[Evento / Mercado]],FIND("/",base[[#This Row],[Evento / Mercado]])-2)</f>
        <v>#VALUE!</v>
      </c>
      <c r="T702" s="1420">
        <f>base[[#This Row],[Data de liquidação]]</f>
        <v>46053.665960648148</v>
      </c>
    </row>
    <row r="703" spans="2:22" ht="15" customHeight="1">
      <c r="B703" s="737" t="s">
        <v>793</v>
      </c>
      <c r="C703" s="911" t="s">
        <v>3556</v>
      </c>
      <c r="D703" s="1300">
        <v>46053.676319444443</v>
      </c>
      <c r="E703" s="830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4" t="e">
        <f>LEFT(base[[#This Row],[Evento / Mercado]],FIND("/",base[[#This Row],[Evento / Mercado]])-2)</f>
        <v>#VALUE!</v>
      </c>
      <c r="T703" s="1420">
        <f>base[[#This Row],[Data de liquidação]]</f>
        <v>46053.676319444443</v>
      </c>
    </row>
    <row r="704" spans="2:22" ht="15" customHeight="1">
      <c r="B704" s="737" t="s">
        <v>792</v>
      </c>
      <c r="C704" s="911" t="s">
        <v>3556</v>
      </c>
      <c r="D704" s="1300">
        <v>46053.689421296294</v>
      </c>
      <c r="E704" s="830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4" t="e">
        <f>LEFT(base[[#This Row],[Evento / Mercado]],FIND("/",base[[#This Row],[Evento / Mercado]])-2)</f>
        <v>#VALUE!</v>
      </c>
      <c r="T704" s="142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737" t="s">
        <v>792</v>
      </c>
      <c r="C705" s="911" t="s">
        <v>3556</v>
      </c>
      <c r="D705" s="1300">
        <v>46053.689421296294</v>
      </c>
      <c r="E705" s="830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4" t="e">
        <f>LEFT(base[[#This Row],[Evento / Mercado]],FIND("/",base[[#This Row],[Evento / Mercado]])-2)</f>
        <v>#VALUE!</v>
      </c>
      <c r="T705" s="142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737" t="s">
        <v>792</v>
      </c>
      <c r="C706" s="911" t="s">
        <v>3556</v>
      </c>
      <c r="D706" s="1300">
        <v>46053.689421296294</v>
      </c>
      <c r="E706" s="830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627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1201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4" t="e">
        <f>LEFT(base[[#This Row],[Evento / Mercado]],FIND("/",base[[#This Row],[Evento / Mercado]])-2)</f>
        <v>#VALUE!</v>
      </c>
      <c r="T706" s="142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737" t="s">
        <v>792</v>
      </c>
      <c r="C707" s="911" t="s">
        <v>3556</v>
      </c>
      <c r="D707" s="1300">
        <v>46053.689606481479</v>
      </c>
      <c r="E707" s="830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392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1201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4" t="e">
        <f>LEFT(base[[#This Row],[Evento / Mercado]],FIND("/",base[[#This Row],[Evento / Mercado]])-2)</f>
        <v>#VALUE!</v>
      </c>
      <c r="T707" s="1420">
        <f>base[[#This Row],[Data de liquidação]]</f>
        <v>46053.689606481479</v>
      </c>
    </row>
    <row r="708" spans="2:22" ht="15" customHeight="1">
      <c r="B708" s="737" t="s">
        <v>791</v>
      </c>
      <c r="C708" s="911" t="s">
        <v>3556</v>
      </c>
      <c r="D708" s="1300">
        <v>46053.690393518518</v>
      </c>
      <c r="E708" s="830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693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1200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4" t="e">
        <f>LEFT(base[[#This Row],[Evento / Mercado]],FIND("/",base[[#This Row],[Evento / Mercado]])-2)</f>
        <v>#VALUE!</v>
      </c>
      <c r="T708" s="1420">
        <f>base[[#This Row],[Data de liquidação]]</f>
        <v>46053.690393518518</v>
      </c>
    </row>
    <row r="709" spans="2:22" ht="15" customHeight="1">
      <c r="B709" s="737" t="s">
        <v>790</v>
      </c>
      <c r="C709" s="911" t="s">
        <v>3556</v>
      </c>
      <c r="D709" s="1300">
        <v>46053.790543981479</v>
      </c>
      <c r="E709" s="830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693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1202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4" t="e">
        <f>LEFT(base[[#This Row],[Evento / Mercado]],FIND("/",base[[#This Row],[Evento / Mercado]])-2)</f>
        <v>#VALUE!</v>
      </c>
      <c r="T709" s="1420">
        <f>base[[#This Row],[Data de liquidação]]</f>
        <v>46053.790543981479</v>
      </c>
    </row>
    <row r="710" spans="2:22" ht="15" customHeight="1">
      <c r="B710" s="737" t="s">
        <v>789</v>
      </c>
      <c r="C710" s="911" t="s">
        <v>3556</v>
      </c>
      <c r="D710" s="1300">
        <v>46054.42083333333</v>
      </c>
      <c r="E710" s="830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694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1205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4" t="e">
        <f>LEFT(base[[#This Row],[Evento / Mercado]],FIND("/",base[[#This Row],[Evento / Mercado]])-2)</f>
        <v>#VALUE!</v>
      </c>
      <c r="T710" s="1420">
        <f>base[[#This Row],[Data de liquidação]]</f>
        <v>46054.42083333333</v>
      </c>
    </row>
    <row r="711" spans="2:22" ht="15" customHeight="1">
      <c r="B711" s="737" t="s">
        <v>788</v>
      </c>
      <c r="C711" s="911" t="s">
        <v>3556</v>
      </c>
      <c r="D711" s="1300">
        <v>46054.424143518518</v>
      </c>
      <c r="E711" s="830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4" t="e">
        <f>LEFT(base[[#This Row],[Evento / Mercado]],FIND("/",base[[#This Row],[Evento / Mercado]])-2)</f>
        <v>#VALUE!</v>
      </c>
      <c r="T711" s="1420">
        <f>base[[#This Row],[Data de liquidação]]</f>
        <v>46054.424143518518</v>
      </c>
    </row>
    <row r="712" spans="2:22" ht="15" customHeight="1">
      <c r="B712" s="737" t="s">
        <v>787</v>
      </c>
      <c r="C712" s="911" t="s">
        <v>3556</v>
      </c>
      <c r="D712" s="1300">
        <v>46054.438506944447</v>
      </c>
      <c r="E712" s="830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4" t="e">
        <f>LEFT(base[[#This Row],[Evento / Mercado]],FIND("/",base[[#This Row],[Evento / Mercado]])-2)</f>
        <v>#VALUE!</v>
      </c>
      <c r="T712" s="1420">
        <f>base[[#This Row],[Data de liquidação]]</f>
        <v>46054.438506944447</v>
      </c>
    </row>
    <row r="713" spans="2:22" ht="15" customHeight="1">
      <c r="B713" s="737" t="s">
        <v>783</v>
      </c>
      <c r="C713" s="911" t="s">
        <v>3556</v>
      </c>
      <c r="D713" s="1300">
        <v>46054.449756944443</v>
      </c>
      <c r="E713" s="830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4" t="e">
        <f>LEFT(base[[#This Row],[Evento / Mercado]],FIND("/",base[[#This Row],[Evento / Mercado]])-2)</f>
        <v>#VALUE!</v>
      </c>
      <c r="T713" s="1420">
        <f>base[[#This Row],[Data de liquidação]]</f>
        <v>46054.449756944443</v>
      </c>
    </row>
    <row r="714" spans="2:22" ht="15" customHeight="1">
      <c r="B714" s="737" t="s">
        <v>786</v>
      </c>
      <c r="C714" s="911" t="s">
        <v>3556</v>
      </c>
      <c r="D714" s="1300">
        <v>46054.479074074072</v>
      </c>
      <c r="E714" s="830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4" t="e">
        <f>LEFT(base[[#This Row],[Evento / Mercado]],FIND("/",base[[#This Row],[Evento / Mercado]])-2)</f>
        <v>#VALUE!</v>
      </c>
      <c r="T714" s="1420">
        <f>base[[#This Row],[Data de liquidação]]</f>
        <v>46054.479074074072</v>
      </c>
    </row>
    <row r="715" spans="2:22" ht="15" customHeight="1">
      <c r="B715" s="737" t="s">
        <v>785</v>
      </c>
      <c r="C715" s="911" t="s">
        <v>3556</v>
      </c>
      <c r="D715" s="1300">
        <v>46054.495787037034</v>
      </c>
      <c r="E715" s="830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4" t="e">
        <f>LEFT(base[[#This Row],[Evento / Mercado]],FIND("/",base[[#This Row],[Evento / Mercado]])-2)</f>
        <v>#VALUE!</v>
      </c>
      <c r="T715" s="1420">
        <f>base[[#This Row],[Data de liquidação]]</f>
        <v>46054.495787037034</v>
      </c>
    </row>
    <row r="716" spans="2:22" ht="15" customHeight="1">
      <c r="B716" s="737" t="s">
        <v>784</v>
      </c>
      <c r="C716" s="911" t="s">
        <v>3556</v>
      </c>
      <c r="D716" s="1300">
        <v>46054.496493055558</v>
      </c>
      <c r="E716" s="830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4" t="e">
        <f>LEFT(base[[#This Row],[Evento / Mercado]],FIND("/",base[[#This Row],[Evento / Mercado]])-2)</f>
        <v>#VALUE!</v>
      </c>
      <c r="T716" s="1420">
        <f>base[[#This Row],[Data de liquidação]]</f>
        <v>46054.496493055558</v>
      </c>
    </row>
    <row r="717" spans="2:22" ht="15" customHeight="1">
      <c r="B717" s="737" t="s">
        <v>783</v>
      </c>
      <c r="C717" s="911" t="s">
        <v>3556</v>
      </c>
      <c r="D717" s="1300">
        <v>46054.499108796299</v>
      </c>
      <c r="E717" s="830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4" t="e">
        <f>LEFT(base[[#This Row],[Evento / Mercado]],FIND("/",base[[#This Row],[Evento / Mercado]])-2)</f>
        <v>#VALUE!</v>
      </c>
      <c r="T717" s="1420">
        <f>base[[#This Row],[Data de liquidação]]</f>
        <v>46054.499108796299</v>
      </c>
    </row>
    <row r="718" spans="2:22" ht="15" customHeight="1">
      <c r="B718" s="737" t="s">
        <v>782</v>
      </c>
      <c r="C718" s="911" t="s">
        <v>3556</v>
      </c>
      <c r="D718" s="1300">
        <v>46054.506249999999</v>
      </c>
      <c r="E718" s="830">
        <v>19.89</v>
      </c>
      <c r="F718" s="80">
        <v>4.4999999999999998E-2</v>
      </c>
      <c r="G718" s="224">
        <f t="shared" si="12"/>
        <v>20.827225130890053</v>
      </c>
      <c r="H718" s="172" t="s">
        <v>179</v>
      </c>
      <c r="I718" s="222" t="s">
        <v>392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1202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4" t="e">
        <f>LEFT(base[[#This Row],[Evento / Mercado]],FIND("/",base[[#This Row],[Evento / Mercado]])-2)</f>
        <v>#VALUE!</v>
      </c>
      <c r="T718" s="1420">
        <f>base[[#This Row],[Data de liquidação]]</f>
        <v>46054.506249999999</v>
      </c>
    </row>
    <row r="719" spans="2:22" ht="15" customHeight="1">
      <c r="B719" s="737" t="s">
        <v>781</v>
      </c>
      <c r="C719" s="911" t="s">
        <v>3556</v>
      </c>
      <c r="D719" s="1300">
        <v>46054.513935185183</v>
      </c>
      <c r="E719" s="830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4" t="e">
        <f>LEFT(base[[#This Row],[Evento / Mercado]],FIND("/",base[[#This Row],[Evento / Mercado]])-2)</f>
        <v>#VALUE!</v>
      </c>
      <c r="T719" s="1420">
        <f>base[[#This Row],[Data de liquidação]]</f>
        <v>46054.513935185183</v>
      </c>
    </row>
    <row r="720" spans="2:22" ht="15" customHeight="1">
      <c r="B720" s="737" t="s">
        <v>780</v>
      </c>
      <c r="C720" s="911" t="s">
        <v>3556</v>
      </c>
      <c r="D720" s="1300">
        <v>46054.519201388888</v>
      </c>
      <c r="E720" s="830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4" t="e">
        <f>LEFT(base[[#This Row],[Evento / Mercado]],FIND("/",base[[#This Row],[Evento / Mercado]])-2)</f>
        <v>#VALUE!</v>
      </c>
      <c r="T720" s="1420">
        <f>base[[#This Row],[Data de liquidação]]</f>
        <v>46054.519201388888</v>
      </c>
    </row>
    <row r="721" spans="2:22" ht="15" customHeight="1">
      <c r="B721" s="737" t="s">
        <v>779</v>
      </c>
      <c r="C721" s="911" t="s">
        <v>3556</v>
      </c>
      <c r="D721" s="1300">
        <v>46054.536365740743</v>
      </c>
      <c r="E721" s="830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4" t="e">
        <f>LEFT(base[[#This Row],[Evento / Mercado]],FIND("/",base[[#This Row],[Evento / Mercado]])-2)</f>
        <v>#VALUE!</v>
      </c>
      <c r="T721" s="142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737" t="s">
        <v>779</v>
      </c>
      <c r="C722" s="911" t="s">
        <v>3556</v>
      </c>
      <c r="D722" s="1300">
        <v>46054.536365740743</v>
      </c>
      <c r="E722" s="830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4" t="e">
        <f>LEFT(base[[#This Row],[Evento / Mercado]],FIND("/",base[[#This Row],[Evento / Mercado]])-2)</f>
        <v>#VALUE!</v>
      </c>
      <c r="T722" s="142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737" t="s">
        <v>778</v>
      </c>
      <c r="C723" s="911" t="s">
        <v>3556</v>
      </c>
      <c r="D723" s="1300">
        <v>46054.538958333331</v>
      </c>
      <c r="E723" s="830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627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1208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4" t="e">
        <f>LEFT(base[[#This Row],[Evento / Mercado]],FIND("/",base[[#This Row],[Evento / Mercado]])-2)</f>
        <v>#VALUE!</v>
      </c>
      <c r="T723" s="1420">
        <f>base[[#This Row],[Data de liquidação]]</f>
        <v>46054.538958333331</v>
      </c>
    </row>
    <row r="724" spans="2:22" ht="15" customHeight="1">
      <c r="B724" s="737" t="s">
        <v>778</v>
      </c>
      <c r="C724" s="911" t="s">
        <v>3556</v>
      </c>
      <c r="D724" s="1300">
        <v>46054.539027777777</v>
      </c>
      <c r="E724" s="830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4" t="e">
        <f>LEFT(base[[#This Row],[Evento / Mercado]],FIND("/",base[[#This Row],[Evento / Mercado]])-2)</f>
        <v>#VALUE!</v>
      </c>
      <c r="T724" s="1420">
        <f>base[[#This Row],[Data de liquidação]]</f>
        <v>46054.539027777777</v>
      </c>
    </row>
    <row r="725" spans="2:22" ht="15" customHeight="1">
      <c r="B725" s="737" t="s">
        <v>777</v>
      </c>
      <c r="C725" s="911" t="s">
        <v>3556</v>
      </c>
      <c r="D725" s="1300">
        <v>46054.542858796296</v>
      </c>
      <c r="E725" s="830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4" t="e">
        <f>LEFT(base[[#This Row],[Evento / Mercado]],FIND("/",base[[#This Row],[Evento / Mercado]])-2)</f>
        <v>#VALUE!</v>
      </c>
      <c r="T725" s="1420">
        <f>base[[#This Row],[Data de liquidação]]</f>
        <v>46054.542858796296</v>
      </c>
    </row>
    <row r="726" spans="2:22" ht="15" customHeight="1">
      <c r="B726" s="737" t="s">
        <v>776</v>
      </c>
      <c r="C726" s="911" t="s">
        <v>3556</v>
      </c>
      <c r="D726" s="1300">
        <v>46054.544456018521</v>
      </c>
      <c r="E726" s="830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627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1201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4" t="e">
        <f>LEFT(base[[#This Row],[Evento / Mercado]],FIND("/",base[[#This Row],[Evento / Mercado]])-2)</f>
        <v>#VALUE!</v>
      </c>
      <c r="T726" s="1420">
        <f>base[[#This Row],[Data de liquidação]]</f>
        <v>46054.544456018521</v>
      </c>
    </row>
    <row r="727" spans="2:22" ht="15" customHeight="1">
      <c r="B727" s="737" t="s">
        <v>776</v>
      </c>
      <c r="C727" s="911" t="s">
        <v>3556</v>
      </c>
      <c r="D727" s="1300">
        <v>46054.544710648152</v>
      </c>
      <c r="E727" s="830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4" t="e">
        <f>LEFT(base[[#This Row],[Evento / Mercado]],FIND("/",base[[#This Row],[Evento / Mercado]])-2)</f>
        <v>#VALUE!</v>
      </c>
      <c r="T727" s="1420">
        <f>base[[#This Row],[Data de liquidação]]</f>
        <v>46054.544710648152</v>
      </c>
    </row>
    <row r="728" spans="2:22" ht="15" customHeight="1">
      <c r="B728" s="737" t="s">
        <v>775</v>
      </c>
      <c r="C728" s="911" t="s">
        <v>3556</v>
      </c>
      <c r="D728" s="1300">
        <v>46054.55878472222</v>
      </c>
      <c r="E728" s="830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4" t="e">
        <f>LEFT(base[[#This Row],[Evento / Mercado]],FIND("/",base[[#This Row],[Evento / Mercado]])-2)</f>
        <v>#VALUE!</v>
      </c>
      <c r="T728" s="1420">
        <f>base[[#This Row],[Data de liquidação]]</f>
        <v>46054.55878472222</v>
      </c>
    </row>
    <row r="729" spans="2:22" ht="15" customHeight="1">
      <c r="B729" s="737" t="s">
        <v>775</v>
      </c>
      <c r="C729" s="911" t="s">
        <v>3556</v>
      </c>
      <c r="D729" s="1300">
        <v>46054.558923611112</v>
      </c>
      <c r="E729" s="830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4" t="e">
        <f>LEFT(base[[#This Row],[Evento / Mercado]],FIND("/",base[[#This Row],[Evento / Mercado]])-2)</f>
        <v>#VALUE!</v>
      </c>
      <c r="T729" s="1420">
        <f>base[[#This Row],[Data de liquidação]]</f>
        <v>46054.558923611112</v>
      </c>
    </row>
    <row r="730" spans="2:22" ht="15" customHeight="1">
      <c r="B730" s="737" t="s">
        <v>774</v>
      </c>
      <c r="C730" s="911" t="s">
        <v>3556</v>
      </c>
      <c r="D730" s="1300">
        <v>46054.559548611112</v>
      </c>
      <c r="E730" s="830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4" t="e">
        <f>LEFT(base[[#This Row],[Evento / Mercado]],FIND("/",base[[#This Row],[Evento / Mercado]])-2)</f>
        <v>#VALUE!</v>
      </c>
      <c r="T730" s="142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737" t="s">
        <v>774</v>
      </c>
      <c r="C731" s="911" t="s">
        <v>3556</v>
      </c>
      <c r="D731" s="1300">
        <v>46054.559548611112</v>
      </c>
      <c r="E731" s="830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4" t="e">
        <f>LEFT(base[[#This Row],[Evento / Mercado]],FIND("/",base[[#This Row],[Evento / Mercado]])-2)</f>
        <v>#VALUE!</v>
      </c>
      <c r="T731" s="142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737" t="s">
        <v>773</v>
      </c>
      <c r="C732" s="911" t="s">
        <v>3556</v>
      </c>
      <c r="D732" s="1300">
        <v>46054.559884259259</v>
      </c>
      <c r="E732" s="830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4" t="e">
        <f>LEFT(base[[#This Row],[Evento / Mercado]],FIND("/",base[[#This Row],[Evento / Mercado]])-2)</f>
        <v>#VALUE!</v>
      </c>
      <c r="T732" s="1420">
        <f>base[[#This Row],[Data de liquidação]]</f>
        <v>46054.559884259259</v>
      </c>
    </row>
    <row r="733" spans="2:22" ht="15" customHeight="1">
      <c r="B733" s="737" t="s">
        <v>772</v>
      </c>
      <c r="C733" s="911" t="s">
        <v>3556</v>
      </c>
      <c r="D733" s="1300">
        <v>46054.577939814815</v>
      </c>
      <c r="E733" s="830">
        <v>28.42</v>
      </c>
      <c r="F733" s="80">
        <v>4.4999999999999998E-2</v>
      </c>
      <c r="G733" s="224">
        <f t="shared" si="12"/>
        <v>29.759162303664926</v>
      </c>
      <c r="H733" s="172" t="s">
        <v>179</v>
      </c>
      <c r="I733" s="222" t="s">
        <v>392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1219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4" t="e">
        <f>LEFT(base[[#This Row],[Evento / Mercado]],FIND("/",base[[#This Row],[Evento / Mercado]])-2)</f>
        <v>#VALUE!</v>
      </c>
      <c r="T733" s="1420">
        <f>base[[#This Row],[Data de liquidação]]</f>
        <v>46054.577939814815</v>
      </c>
    </row>
    <row r="734" spans="2:22" ht="15" customHeight="1">
      <c r="B734" s="737" t="s">
        <v>771</v>
      </c>
      <c r="C734" s="911" t="s">
        <v>3556</v>
      </c>
      <c r="D734" s="1300">
        <v>46054.594537037039</v>
      </c>
      <c r="E734" s="830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4" t="e">
        <f>LEFT(base[[#This Row],[Evento / Mercado]],FIND("/",base[[#This Row],[Evento / Mercado]])-2)</f>
        <v>#VALUE!</v>
      </c>
      <c r="T734" s="1420">
        <f>base[[#This Row],[Data de liquidação]]</f>
        <v>46054.594537037039</v>
      </c>
    </row>
    <row r="735" spans="2:22" ht="15" customHeight="1">
      <c r="B735" s="737" t="s">
        <v>770</v>
      </c>
      <c r="C735" s="911" t="s">
        <v>3556</v>
      </c>
      <c r="D735" s="1300">
        <v>46054.598113425927</v>
      </c>
      <c r="E735" s="830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4" t="e">
        <f>LEFT(base[[#This Row],[Evento / Mercado]],FIND("/",base[[#This Row],[Evento / Mercado]])-2)</f>
        <v>#VALUE!</v>
      </c>
      <c r="T735" s="1420">
        <f>base[[#This Row],[Data de liquidação]]</f>
        <v>46054.598113425927</v>
      </c>
    </row>
    <row r="736" spans="2:22" ht="15" customHeight="1">
      <c r="B736" s="737" t="s">
        <v>769</v>
      </c>
      <c r="C736" s="911" t="s">
        <v>3556</v>
      </c>
      <c r="D736" s="1300">
        <v>46054.601400462961</v>
      </c>
      <c r="E736" s="830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4" t="e">
        <f>LEFT(base[[#This Row],[Evento / Mercado]],FIND("/",base[[#This Row],[Evento / Mercado]])-2)</f>
        <v>#VALUE!</v>
      </c>
      <c r="T736" s="1420">
        <f>base[[#This Row],[Data de liquidação]]</f>
        <v>46054.601400462961</v>
      </c>
    </row>
    <row r="737" spans="2:22" ht="15" customHeight="1">
      <c r="B737" s="737" t="s">
        <v>768</v>
      </c>
      <c r="C737" s="911" t="s">
        <v>3556</v>
      </c>
      <c r="D737" s="1300">
        <v>46054.612835648149</v>
      </c>
      <c r="E737" s="830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4" t="e">
        <f>LEFT(base[[#This Row],[Evento / Mercado]],FIND("/",base[[#This Row],[Evento / Mercado]])-2)</f>
        <v>#VALUE!</v>
      </c>
      <c r="T737" s="1420">
        <f>base[[#This Row],[Data de liquidação]]</f>
        <v>46054.612835648149</v>
      </c>
    </row>
    <row r="738" spans="2:22" ht="15" customHeight="1">
      <c r="B738" s="737" t="s">
        <v>767</v>
      </c>
      <c r="C738" s="911" t="s">
        <v>3556</v>
      </c>
      <c r="D738" s="1300">
        <v>46054.629062499997</v>
      </c>
      <c r="E738" s="830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4" t="e">
        <f>LEFT(base[[#This Row],[Evento / Mercado]],FIND("/",base[[#This Row],[Evento / Mercado]])-2)</f>
        <v>#VALUE!</v>
      </c>
      <c r="T738" s="1420">
        <f>base[[#This Row],[Data de liquidação]]</f>
        <v>46054.629062499997</v>
      </c>
    </row>
    <row r="739" spans="2:22" ht="15" customHeight="1">
      <c r="B739" s="737" t="s">
        <v>766</v>
      </c>
      <c r="C739" s="911" t="s">
        <v>3556</v>
      </c>
      <c r="D739" s="1300">
        <v>46054.641226851854</v>
      </c>
      <c r="E739" s="830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4" t="e">
        <f>LEFT(base[[#This Row],[Evento / Mercado]],FIND("/",base[[#This Row],[Evento / Mercado]])-2)</f>
        <v>#VALUE!</v>
      </c>
      <c r="T739" s="1420">
        <f>base[[#This Row],[Data de liquidação]]</f>
        <v>46054.641226851854</v>
      </c>
    </row>
    <row r="740" spans="2:22" ht="15" customHeight="1">
      <c r="B740" s="737" t="s">
        <v>765</v>
      </c>
      <c r="C740" s="911" t="s">
        <v>3556</v>
      </c>
      <c r="D740" s="1300">
        <v>46054.646874999999</v>
      </c>
      <c r="E740" s="830">
        <v>20.76</v>
      </c>
      <c r="F740" s="80">
        <v>4.4999999999999998E-2</v>
      </c>
      <c r="G740" s="224">
        <f t="shared" si="12"/>
        <v>21.738219895287962</v>
      </c>
      <c r="H740" s="172" t="s">
        <v>179</v>
      </c>
      <c r="I740" s="222" t="s">
        <v>392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1200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4" t="e">
        <f>LEFT(base[[#This Row],[Evento / Mercado]],FIND("/",base[[#This Row],[Evento / Mercado]])-2)</f>
        <v>#VALUE!</v>
      </c>
      <c r="T740" s="1420">
        <f>base[[#This Row],[Data de liquidação]]</f>
        <v>46054.646874999999</v>
      </c>
    </row>
    <row r="741" spans="2:22" ht="15" customHeight="1">
      <c r="B741" s="737" t="s">
        <v>764</v>
      </c>
      <c r="C741" s="911" t="s">
        <v>3556</v>
      </c>
      <c r="D741" s="1300">
        <v>46054.664687500001</v>
      </c>
      <c r="E741" s="830">
        <v>16.46</v>
      </c>
      <c r="F741" s="80">
        <v>4.4999999999999998E-2</v>
      </c>
      <c r="G741" s="224">
        <f t="shared" si="12"/>
        <v>17.235602094240839</v>
      </c>
      <c r="H741" s="172" t="s">
        <v>179</v>
      </c>
      <c r="I741" s="222" t="s">
        <v>392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1204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4" t="e">
        <f>LEFT(base[[#This Row],[Evento / Mercado]],FIND("/",base[[#This Row],[Evento / Mercado]])-2)</f>
        <v>#VALUE!</v>
      </c>
      <c r="T741" s="1420">
        <f>base[[#This Row],[Data de liquidação]]</f>
        <v>46054.664687500001</v>
      </c>
    </row>
    <row r="742" spans="2:22" ht="15" customHeight="1">
      <c r="B742" s="737" t="s">
        <v>763</v>
      </c>
      <c r="C742" s="911" t="s">
        <v>3556</v>
      </c>
      <c r="D742" s="1300">
        <v>46054.686747685184</v>
      </c>
      <c r="E742" s="830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4" t="e">
        <f>LEFT(base[[#This Row],[Evento / Mercado]],FIND("/",base[[#This Row],[Evento / Mercado]])-2)</f>
        <v>#VALUE!</v>
      </c>
      <c r="T742" s="142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737" t="s">
        <v>763</v>
      </c>
      <c r="C743" s="911" t="s">
        <v>3556</v>
      </c>
      <c r="D743" s="1300">
        <v>46054.686747685184</v>
      </c>
      <c r="E743" s="830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4" t="e">
        <f>LEFT(base[[#This Row],[Evento / Mercado]],FIND("/",base[[#This Row],[Evento / Mercado]])-2)</f>
        <v>#VALUE!</v>
      </c>
      <c r="T743" s="142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737" t="s">
        <v>762</v>
      </c>
      <c r="C744" s="911" t="s">
        <v>3556</v>
      </c>
      <c r="D744" s="1300">
        <v>46054.726666666669</v>
      </c>
      <c r="E744" s="830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4" t="e">
        <f>LEFT(base[[#This Row],[Evento / Mercado]],FIND("/",base[[#This Row],[Evento / Mercado]])-2)</f>
        <v>#VALUE!</v>
      </c>
      <c r="T744" s="1420">
        <f>base[[#This Row],[Data de liquidação]]</f>
        <v>46054.726666666669</v>
      </c>
    </row>
    <row r="745" spans="2:22" ht="15" customHeight="1">
      <c r="B745" s="737" t="s">
        <v>761</v>
      </c>
      <c r="C745" s="911" t="s">
        <v>3556</v>
      </c>
      <c r="D745" s="1300">
        <v>46054.745821759258</v>
      </c>
      <c r="E745" s="830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4" t="e">
        <f>LEFT(base[[#This Row],[Evento / Mercado]],FIND("/",base[[#This Row],[Evento / Mercado]])-2)</f>
        <v>#VALUE!</v>
      </c>
      <c r="T745" s="1420">
        <f>base[[#This Row],[Data de liquidação]]</f>
        <v>46054.745821759258</v>
      </c>
    </row>
    <row r="746" spans="2:22" ht="15" customHeight="1">
      <c r="B746" s="737" t="s">
        <v>760</v>
      </c>
      <c r="C746" s="911" t="s">
        <v>3556</v>
      </c>
      <c r="D746" s="1300">
        <v>46054.747152777774</v>
      </c>
      <c r="E746" s="830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4" t="e">
        <f>LEFT(base[[#This Row],[Evento / Mercado]],FIND("/",base[[#This Row],[Evento / Mercado]])-2)</f>
        <v>#VALUE!</v>
      </c>
      <c r="T746" s="1420">
        <f>base[[#This Row],[Data de liquidação]]</f>
        <v>46054.747152777774</v>
      </c>
    </row>
    <row r="747" spans="2:22" ht="15" customHeight="1">
      <c r="B747" s="738" t="s">
        <v>845</v>
      </c>
      <c r="C747" s="911" t="s">
        <v>3556</v>
      </c>
      <c r="D747" s="1301">
        <v>46055.592881944445</v>
      </c>
      <c r="E747" s="831">
        <v>18.36</v>
      </c>
      <c r="F747" s="80">
        <v>4.4999999999999998E-2</v>
      </c>
      <c r="G747" s="229">
        <f t="shared" si="12"/>
        <v>19.225130890052355</v>
      </c>
      <c r="H747" s="172" t="s">
        <v>179</v>
      </c>
      <c r="I747" s="227" t="s">
        <v>391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1211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4" t="e">
        <f>LEFT(base[[#This Row],[Evento / Mercado]],FIND("/",base[[#This Row],[Evento / Mercado]])-2)</f>
        <v>#VALUE!</v>
      </c>
      <c r="T747" s="1420">
        <f>base[[#This Row],[Data de liquidação]]</f>
        <v>46055.592881944445</v>
      </c>
    </row>
    <row r="748" spans="2:22" ht="15" customHeight="1">
      <c r="B748" s="738" t="s">
        <v>844</v>
      </c>
      <c r="C748" s="911" t="s">
        <v>3556</v>
      </c>
      <c r="D748" s="1301">
        <v>46055.682118055556</v>
      </c>
      <c r="E748" s="831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4" t="e">
        <f>LEFT(base[[#This Row],[Evento / Mercado]],FIND("/",base[[#This Row],[Evento / Mercado]])-2)</f>
        <v>#VALUE!</v>
      </c>
      <c r="T748" s="1420">
        <f>base[[#This Row],[Data de liquidação]]</f>
        <v>46055.682118055556</v>
      </c>
    </row>
    <row r="749" spans="2:22" ht="15" customHeight="1">
      <c r="B749" s="738" t="s">
        <v>843</v>
      </c>
      <c r="C749" s="911" t="s">
        <v>3556</v>
      </c>
      <c r="D749" s="1301">
        <v>46055.687916666669</v>
      </c>
      <c r="E749" s="831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4" t="e">
        <f>LEFT(base[[#This Row],[Evento / Mercado]],FIND("/",base[[#This Row],[Evento / Mercado]])-2)</f>
        <v>#VALUE!</v>
      </c>
      <c r="T749" s="1420">
        <f>base[[#This Row],[Data de liquidação]]</f>
        <v>46055.687916666669</v>
      </c>
    </row>
    <row r="750" spans="2:22" ht="15" customHeight="1">
      <c r="B750" s="738" t="s">
        <v>842</v>
      </c>
      <c r="C750" s="911" t="s">
        <v>3556</v>
      </c>
      <c r="D750" s="1301">
        <v>46055.735636574071</v>
      </c>
      <c r="E750" s="831">
        <v>19.72</v>
      </c>
      <c r="F750" s="80">
        <v>4.4999999999999998E-2</v>
      </c>
      <c r="G750" s="229">
        <f t="shared" si="12"/>
        <v>20.649214659685864</v>
      </c>
      <c r="H750" s="172" t="s">
        <v>179</v>
      </c>
      <c r="I750" s="227" t="s">
        <v>391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1203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4" t="e">
        <f>LEFT(base[[#This Row],[Evento / Mercado]],FIND("/",base[[#This Row],[Evento / Mercado]])-2)</f>
        <v>#VALUE!</v>
      </c>
      <c r="T750" s="1420">
        <f>base[[#This Row],[Data de liquidação]]</f>
        <v>46055.735636574071</v>
      </c>
    </row>
    <row r="751" spans="2:22" ht="15" customHeight="1">
      <c r="B751" s="738" t="s">
        <v>841</v>
      </c>
      <c r="C751" s="911" t="s">
        <v>3556</v>
      </c>
      <c r="D751" s="1301">
        <v>46055.746400462966</v>
      </c>
      <c r="E751" s="831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4" t="e">
        <f>LEFT(base[[#This Row],[Evento / Mercado]],FIND("/",base[[#This Row],[Evento / Mercado]])-2)</f>
        <v>#VALUE!</v>
      </c>
      <c r="T751" s="1420">
        <f>base[[#This Row],[Data de liquidação]]</f>
        <v>46055.746400462966</v>
      </c>
    </row>
    <row r="752" spans="2:22" ht="15" customHeight="1">
      <c r="B752" s="739" t="s">
        <v>973</v>
      </c>
      <c r="C752" s="911" t="s">
        <v>3556</v>
      </c>
      <c r="D752" s="1302">
        <v>46056.682106481479</v>
      </c>
      <c r="E752" s="832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4" t="e">
        <f>LEFT(base[[#This Row],[Evento / Mercado]],FIND("/",base[[#This Row],[Evento / Mercado]])-2)</f>
        <v>#VALUE!</v>
      </c>
      <c r="T752" s="1420">
        <f>base[[#This Row],[Data de liquidação]]</f>
        <v>46056.682106481479</v>
      </c>
    </row>
    <row r="753" spans="2:22" ht="15" customHeight="1">
      <c r="B753" s="739" t="s">
        <v>972</v>
      </c>
      <c r="C753" s="911" t="s">
        <v>3556</v>
      </c>
      <c r="D753" s="1302">
        <v>46057.776099537034</v>
      </c>
      <c r="E753" s="832">
        <v>16.73</v>
      </c>
      <c r="F753" s="80">
        <v>4.4999999999999998E-2</v>
      </c>
      <c r="G753" s="234">
        <f t="shared" si="12"/>
        <v>17.518324607329845</v>
      </c>
      <c r="H753" s="172" t="s">
        <v>179</v>
      </c>
      <c r="I753" s="232" t="s">
        <v>392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1219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4" t="e">
        <f>LEFT(base[[#This Row],[Evento / Mercado]],FIND("/",base[[#This Row],[Evento / Mercado]])-2)</f>
        <v>#VALUE!</v>
      </c>
      <c r="T753" s="1420">
        <f>base[[#This Row],[Data de liquidação]]</f>
        <v>46057.776099537034</v>
      </c>
    </row>
    <row r="754" spans="2:22" ht="15" customHeight="1">
      <c r="B754" s="739" t="s">
        <v>971</v>
      </c>
      <c r="C754" s="911" t="s">
        <v>3556</v>
      </c>
      <c r="D754" s="1302">
        <v>46057.915416666663</v>
      </c>
      <c r="E754" s="832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4" t="e">
        <f>LEFT(base[[#This Row],[Evento / Mercado]],FIND("/",base[[#This Row],[Evento / Mercado]])-2)</f>
        <v>#VALUE!</v>
      </c>
      <c r="T754" s="1420">
        <f>base[[#This Row],[Data de liquidação]]</f>
        <v>46057.915416666663</v>
      </c>
    </row>
    <row r="755" spans="2:22" ht="15" customHeight="1">
      <c r="B755" s="739" t="s">
        <v>970</v>
      </c>
      <c r="C755" s="911" t="s">
        <v>3556</v>
      </c>
      <c r="D755" s="1302">
        <v>46058.592488425929</v>
      </c>
      <c r="E755" s="832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4" t="e">
        <f>LEFT(base[[#This Row],[Evento / Mercado]],FIND("/",base[[#This Row],[Evento / Mercado]])-2)</f>
        <v>#VALUE!</v>
      </c>
      <c r="T755" s="1420">
        <f>base[[#This Row],[Data de liquidação]]</f>
        <v>46058.592488425929</v>
      </c>
    </row>
    <row r="756" spans="2:22" ht="15" customHeight="1">
      <c r="B756" s="739" t="s">
        <v>969</v>
      </c>
      <c r="C756" s="911" t="s">
        <v>3556</v>
      </c>
      <c r="D756" s="1302">
        <v>46058.592685185184</v>
      </c>
      <c r="E756" s="832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4" t="e">
        <f>LEFT(base[[#This Row],[Evento / Mercado]],FIND("/",base[[#This Row],[Evento / Mercado]])-2)</f>
        <v>#VALUE!</v>
      </c>
      <c r="T756" s="142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739" t="s">
        <v>969</v>
      </c>
      <c r="C757" s="911" t="s">
        <v>3556</v>
      </c>
      <c r="D757" s="1302">
        <v>46058.592685185184</v>
      </c>
      <c r="E757" s="832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4" t="e">
        <f>LEFT(base[[#This Row],[Evento / Mercado]],FIND("/",base[[#This Row],[Evento / Mercado]])-2)</f>
        <v>#VALUE!</v>
      </c>
      <c r="T757" s="142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739" t="s">
        <v>968</v>
      </c>
      <c r="C758" s="911" t="s">
        <v>3556</v>
      </c>
      <c r="D758" s="1302">
        <v>46058.6246875</v>
      </c>
      <c r="E758" s="832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4" t="e">
        <f>LEFT(base[[#This Row],[Evento / Mercado]],FIND("/",base[[#This Row],[Evento / Mercado]])-2)</f>
        <v>#VALUE!</v>
      </c>
      <c r="T758" s="1420">
        <f>base[[#This Row],[Data de liquidação]]</f>
        <v>46058.6246875</v>
      </c>
    </row>
    <row r="759" spans="2:22" ht="15" customHeight="1">
      <c r="B759" s="739" t="s">
        <v>967</v>
      </c>
      <c r="C759" s="911" t="s">
        <v>3556</v>
      </c>
      <c r="D759" s="1302">
        <v>46058.687534722223</v>
      </c>
      <c r="E759" s="832">
        <v>17.059999999999999</v>
      </c>
      <c r="F759" s="80">
        <v>4.4999999999999998E-2</v>
      </c>
      <c r="G759" s="234">
        <f t="shared" si="12"/>
        <v>17.863874345549739</v>
      </c>
      <c r="H759" s="172" t="s">
        <v>179</v>
      </c>
      <c r="I759" s="232" t="s">
        <v>392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1211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4" t="e">
        <f>LEFT(base[[#This Row],[Evento / Mercado]],FIND("/",base[[#This Row],[Evento / Mercado]])-2)</f>
        <v>#VALUE!</v>
      </c>
      <c r="T759" s="1420">
        <f>base[[#This Row],[Data de liquidação]]</f>
        <v>46058.687534722223</v>
      </c>
    </row>
    <row r="760" spans="2:22" ht="15" customHeight="1">
      <c r="B760" s="739" t="s">
        <v>966</v>
      </c>
      <c r="C760" s="911" t="s">
        <v>3556</v>
      </c>
      <c r="D760" s="1302">
        <v>46058.7262962963</v>
      </c>
      <c r="E760" s="832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4" t="e">
        <f>LEFT(base[[#This Row],[Evento / Mercado]],FIND("/",base[[#This Row],[Evento / Mercado]])-2)</f>
        <v>#VALUE!</v>
      </c>
      <c r="T760" s="1420">
        <f>base[[#This Row],[Data de liquidação]]</f>
        <v>46058.7262962963</v>
      </c>
    </row>
    <row r="761" spans="2:22" ht="15" customHeight="1">
      <c r="B761" s="739" t="s">
        <v>965</v>
      </c>
      <c r="C761" s="911" t="s">
        <v>3556</v>
      </c>
      <c r="D761" s="1302">
        <v>46058.864641203705</v>
      </c>
      <c r="E761" s="832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4" t="e">
        <f>LEFT(base[[#This Row],[Evento / Mercado]],FIND("/",base[[#This Row],[Evento / Mercado]])-2)</f>
        <v>#VALUE!</v>
      </c>
      <c r="T761" s="1420">
        <f>base[[#This Row],[Data de liquidação]]</f>
        <v>46058.864641203705</v>
      </c>
    </row>
    <row r="762" spans="2:22" ht="15" customHeight="1">
      <c r="B762" s="739" t="s">
        <v>964</v>
      </c>
      <c r="C762" s="911" t="s">
        <v>3556</v>
      </c>
      <c r="D762" s="1302">
        <v>46059.649780092594</v>
      </c>
      <c r="E762" s="832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4" t="e">
        <f>LEFT(base[[#This Row],[Evento / Mercado]],FIND("/",base[[#This Row],[Evento / Mercado]])-2)</f>
        <v>#VALUE!</v>
      </c>
      <c r="T762" s="1420">
        <f>base[[#This Row],[Data de liquidação]]</f>
        <v>46059.649780092594</v>
      </c>
    </row>
    <row r="763" spans="2:22" ht="15" customHeight="1">
      <c r="B763" s="739" t="s">
        <v>963</v>
      </c>
      <c r="C763" s="911" t="s">
        <v>3556</v>
      </c>
      <c r="D763" s="1302">
        <v>46059.659097222226</v>
      </c>
      <c r="E763" s="832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4" t="e">
        <f>LEFT(base[[#This Row],[Evento / Mercado]],FIND("/",base[[#This Row],[Evento / Mercado]])-2)</f>
        <v>#VALUE!</v>
      </c>
      <c r="T763" s="1420">
        <f>base[[#This Row],[Data de liquidação]]</f>
        <v>46059.659097222226</v>
      </c>
    </row>
    <row r="764" spans="2:22" ht="15" customHeight="1">
      <c r="B764" s="739" t="s">
        <v>962</v>
      </c>
      <c r="C764" s="911" t="s">
        <v>3556</v>
      </c>
      <c r="D764" s="1302">
        <v>46059.662418981483</v>
      </c>
      <c r="E764" s="832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4" t="e">
        <f>LEFT(base[[#This Row],[Evento / Mercado]],FIND("/",base[[#This Row],[Evento / Mercado]])-2)</f>
        <v>#VALUE!</v>
      </c>
      <c r="T764" s="1420">
        <f>base[[#This Row],[Data de liquidação]]</f>
        <v>46059.662418981483</v>
      </c>
    </row>
    <row r="765" spans="2:22" ht="15" customHeight="1">
      <c r="B765" s="739" t="s">
        <v>961</v>
      </c>
      <c r="C765" s="911" t="s">
        <v>3556</v>
      </c>
      <c r="D765" s="1302">
        <v>46059.679849537039</v>
      </c>
      <c r="E765" s="832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4" t="e">
        <f>LEFT(base[[#This Row],[Evento / Mercado]],FIND("/",base[[#This Row],[Evento / Mercado]])-2)</f>
        <v>#VALUE!</v>
      </c>
      <c r="T765" s="1420">
        <f>base[[#This Row],[Data de liquidação]]</f>
        <v>46059.679849537039</v>
      </c>
    </row>
    <row r="766" spans="2:22" ht="15" customHeight="1">
      <c r="B766" s="739" t="s">
        <v>960</v>
      </c>
      <c r="C766" s="911" t="s">
        <v>3556</v>
      </c>
      <c r="D766" s="1302">
        <v>46059.686423611114</v>
      </c>
      <c r="E766" s="832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4" t="e">
        <f>LEFT(base[[#This Row],[Evento / Mercado]],FIND("/",base[[#This Row],[Evento / Mercado]])-2)</f>
        <v>#VALUE!</v>
      </c>
      <c r="T766" s="1420">
        <f>base[[#This Row],[Data de liquidação]]</f>
        <v>46059.686423611114</v>
      </c>
    </row>
    <row r="767" spans="2:22" ht="15" customHeight="1">
      <c r="B767" s="739" t="s">
        <v>959</v>
      </c>
      <c r="C767" s="911" t="s">
        <v>3556</v>
      </c>
      <c r="D767" s="1302">
        <v>46059.68650462963</v>
      </c>
      <c r="E767" s="832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4" t="e">
        <f>LEFT(base[[#This Row],[Evento / Mercado]],FIND("/",base[[#This Row],[Evento / Mercado]])-2)</f>
        <v>#VALUE!</v>
      </c>
      <c r="T767" s="1420">
        <f>base[[#This Row],[Data de liquidação]]</f>
        <v>46059.68650462963</v>
      </c>
    </row>
    <row r="768" spans="2:22" ht="15" customHeight="1">
      <c r="B768" s="739" t="s">
        <v>958</v>
      </c>
      <c r="C768" s="911" t="s">
        <v>3556</v>
      </c>
      <c r="D768" s="1302">
        <v>46059.707083333335</v>
      </c>
      <c r="E768" s="832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4" t="e">
        <f>LEFT(base[[#This Row],[Evento / Mercado]],FIND("/",base[[#This Row],[Evento / Mercado]])-2)</f>
        <v>#VALUE!</v>
      </c>
      <c r="T768" s="1420">
        <f>base[[#This Row],[Data de liquidação]]</f>
        <v>46059.707083333335</v>
      </c>
    </row>
    <row r="769" spans="2:22" ht="15" customHeight="1">
      <c r="B769" s="739" t="s">
        <v>957</v>
      </c>
      <c r="C769" s="911" t="s">
        <v>3556</v>
      </c>
      <c r="D769" s="1302">
        <v>46059.743854166663</v>
      </c>
      <c r="E769" s="832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4" t="e">
        <f>LEFT(base[[#This Row],[Evento / Mercado]],FIND("/",base[[#This Row],[Evento / Mercado]])-2)</f>
        <v>#VALUE!</v>
      </c>
      <c r="T769" s="1420">
        <f>base[[#This Row],[Data de liquidação]]</f>
        <v>46059.743854166663</v>
      </c>
    </row>
    <row r="770" spans="2:22" ht="15" customHeight="1">
      <c r="B770" s="739" t="s">
        <v>956</v>
      </c>
      <c r="C770" s="911" t="s">
        <v>3556</v>
      </c>
      <c r="D770" s="1302">
        <v>46059.744305555556</v>
      </c>
      <c r="E770" s="832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4" t="e">
        <f>LEFT(base[[#This Row],[Evento / Mercado]],FIND("/",base[[#This Row],[Evento / Mercado]])-2)</f>
        <v>#VALUE!</v>
      </c>
      <c r="T770" s="1420">
        <f>base[[#This Row],[Data de liquidação]]</f>
        <v>46059.744305555556</v>
      </c>
    </row>
    <row r="771" spans="2:22" ht="15" customHeight="1">
      <c r="B771" s="739" t="s">
        <v>955</v>
      </c>
      <c r="C771" s="911" t="s">
        <v>3556</v>
      </c>
      <c r="D771" s="1302">
        <v>46059.757592592592</v>
      </c>
      <c r="E771" s="832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4" t="e">
        <f>LEFT(base[[#This Row],[Evento / Mercado]],FIND("/",base[[#This Row],[Evento / Mercado]])-2)</f>
        <v>#VALUE!</v>
      </c>
      <c r="T771" s="1420">
        <f>base[[#This Row],[Data de liquidação]]</f>
        <v>46059.757592592592</v>
      </c>
    </row>
    <row r="772" spans="2:22" ht="15" customHeight="1">
      <c r="B772" s="739" t="s">
        <v>954</v>
      </c>
      <c r="C772" s="911" t="s">
        <v>3556</v>
      </c>
      <c r="D772" s="1302">
        <v>46059.759386574071</v>
      </c>
      <c r="E772" s="832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4" t="e">
        <f>LEFT(base[[#This Row],[Evento / Mercado]],FIND("/",base[[#This Row],[Evento / Mercado]])-2)</f>
        <v>#VALUE!</v>
      </c>
      <c r="T772" s="1420">
        <f>base[[#This Row],[Data de liquidação]]</f>
        <v>46059.759386574071</v>
      </c>
    </row>
    <row r="773" spans="2:22" ht="15" customHeight="1">
      <c r="B773" s="739" t="s">
        <v>953</v>
      </c>
      <c r="C773" s="911" t="s">
        <v>3556</v>
      </c>
      <c r="D773" s="1302">
        <v>46059.764872685184</v>
      </c>
      <c r="E773" s="832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4" t="e">
        <f>LEFT(base[[#This Row],[Evento / Mercado]],FIND("/",base[[#This Row],[Evento / Mercado]])-2)</f>
        <v>#VALUE!</v>
      </c>
      <c r="T773" s="1420">
        <f>base[[#This Row],[Data de liquidação]]</f>
        <v>46059.764872685184</v>
      </c>
    </row>
    <row r="774" spans="2:22" ht="15" customHeight="1">
      <c r="B774" s="739" t="s">
        <v>952</v>
      </c>
      <c r="C774" s="911" t="s">
        <v>3556</v>
      </c>
      <c r="D774" s="1302">
        <v>46059.765787037039</v>
      </c>
      <c r="E774" s="832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4" t="e">
        <f>LEFT(base[[#This Row],[Evento / Mercado]],FIND("/",base[[#This Row],[Evento / Mercado]])-2)</f>
        <v>#VALUE!</v>
      </c>
      <c r="T774" s="142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739" t="s">
        <v>951</v>
      </c>
      <c r="C775" s="911" t="s">
        <v>3556</v>
      </c>
      <c r="D775" s="1302">
        <v>46059.766736111109</v>
      </c>
      <c r="E775" s="832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4" t="e">
        <f>LEFT(base[[#This Row],[Evento / Mercado]],FIND("/",base[[#This Row],[Evento / Mercado]])-2)</f>
        <v>#VALUE!</v>
      </c>
      <c r="T775" s="142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739" t="s">
        <v>951</v>
      </c>
      <c r="C776" s="911" t="s">
        <v>3556</v>
      </c>
      <c r="D776" s="1302">
        <v>46059.766736111109</v>
      </c>
      <c r="E776" s="832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4" t="e">
        <f>LEFT(base[[#This Row],[Evento / Mercado]],FIND("/",base[[#This Row],[Evento / Mercado]])-2)</f>
        <v>#VALUE!</v>
      </c>
      <c r="T776" s="1420">
        <f>base[[#This Row],[Data de liquidação]]</f>
        <v>46059.766736111109</v>
      </c>
    </row>
    <row r="777" spans="2:22" ht="15" customHeight="1">
      <c r="B777" s="739" t="s">
        <v>950</v>
      </c>
      <c r="C777" s="911" t="s">
        <v>3556</v>
      </c>
      <c r="D777" s="1302">
        <v>46059.768460648149</v>
      </c>
      <c r="E777" s="832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4" t="e">
        <f>LEFT(base[[#This Row],[Evento / Mercado]],FIND("/",base[[#This Row],[Evento / Mercado]])-2)</f>
        <v>#VALUE!</v>
      </c>
      <c r="T777" s="1420">
        <f>base[[#This Row],[Data de liquidação]]</f>
        <v>46059.768460648149</v>
      </c>
    </row>
    <row r="778" spans="2:22" ht="15" customHeight="1">
      <c r="B778" s="739" t="s">
        <v>949</v>
      </c>
      <c r="C778" s="911" t="s">
        <v>3556</v>
      </c>
      <c r="D778" s="1302">
        <v>46059.777037037034</v>
      </c>
      <c r="E778" s="832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4" t="e">
        <f>LEFT(base[[#This Row],[Evento / Mercado]],FIND("/",base[[#This Row],[Evento / Mercado]])-2)</f>
        <v>#VALUE!</v>
      </c>
      <c r="T778" s="1420">
        <f>base[[#This Row],[Data de liquidação]]</f>
        <v>46059.777037037034</v>
      </c>
    </row>
    <row r="779" spans="2:22" ht="15" customHeight="1">
      <c r="B779" s="739" t="s">
        <v>948</v>
      </c>
      <c r="C779" s="911" t="s">
        <v>3556</v>
      </c>
      <c r="D779" s="1302">
        <v>46059.790196759262</v>
      </c>
      <c r="E779" s="832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4" t="e">
        <f>LEFT(base[[#This Row],[Evento / Mercado]],FIND("/",base[[#This Row],[Evento / Mercado]])-2)</f>
        <v>#VALUE!</v>
      </c>
      <c r="T779" s="1420">
        <f>base[[#This Row],[Data de liquidação]]</f>
        <v>46059.790196759262</v>
      </c>
    </row>
    <row r="780" spans="2:22" ht="15" customHeight="1">
      <c r="B780" s="739" t="s">
        <v>947</v>
      </c>
      <c r="C780" s="911" t="s">
        <v>3556</v>
      </c>
      <c r="D780" s="1302">
        <v>46059.80091435185</v>
      </c>
      <c r="E780" s="832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4" t="e">
        <f>LEFT(base[[#This Row],[Evento / Mercado]],FIND("/",base[[#This Row],[Evento / Mercado]])-2)</f>
        <v>#VALUE!</v>
      </c>
      <c r="T780" s="1420">
        <f>base[[#This Row],[Data de liquidação]]</f>
        <v>46059.80091435185</v>
      </c>
    </row>
    <row r="781" spans="2:22" ht="15" customHeight="1">
      <c r="B781" s="739" t="s">
        <v>946</v>
      </c>
      <c r="C781" s="911" t="s">
        <v>3556</v>
      </c>
      <c r="D781" s="1302">
        <v>46060.458055555559</v>
      </c>
      <c r="E781" s="832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4" t="e">
        <f>LEFT(base[[#This Row],[Evento / Mercado]],FIND("/",base[[#This Row],[Evento / Mercado]])-2)</f>
        <v>#VALUE!</v>
      </c>
      <c r="T781" s="142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739" t="s">
        <v>946</v>
      </c>
      <c r="C782" s="911" t="s">
        <v>3556</v>
      </c>
      <c r="D782" s="1302">
        <v>46060.458055555559</v>
      </c>
      <c r="E782" s="832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4" t="e">
        <f>LEFT(base[[#This Row],[Evento / Mercado]],FIND("/",base[[#This Row],[Evento / Mercado]])-2)</f>
        <v>#VALUE!</v>
      </c>
      <c r="T782" s="142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739" t="s">
        <v>945</v>
      </c>
      <c r="C783" s="911" t="s">
        <v>3556</v>
      </c>
      <c r="D783" s="1302">
        <v>46060.476435185185</v>
      </c>
      <c r="E783" s="832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4" t="e">
        <f>LEFT(base[[#This Row],[Evento / Mercado]],FIND("/",base[[#This Row],[Evento / Mercado]])-2)</f>
        <v>#VALUE!</v>
      </c>
      <c r="T783" s="1420">
        <f>base[[#This Row],[Data de liquidação]]</f>
        <v>46060.476435185185</v>
      </c>
    </row>
    <row r="784" spans="2:22" ht="15" customHeight="1">
      <c r="B784" s="739" t="s">
        <v>944</v>
      </c>
      <c r="C784" s="911" t="s">
        <v>3556</v>
      </c>
      <c r="D784" s="1302">
        <v>46060.495300925926</v>
      </c>
      <c r="E784" s="832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4" t="e">
        <f>LEFT(base[[#This Row],[Evento / Mercado]],FIND("/",base[[#This Row],[Evento / Mercado]])-2)</f>
        <v>#VALUE!</v>
      </c>
      <c r="T784" s="1420">
        <f>base[[#This Row],[Data de liquidação]]</f>
        <v>46060.495300925926</v>
      </c>
    </row>
    <row r="785" spans="2:22" ht="15" customHeight="1">
      <c r="B785" s="739" t="s">
        <v>943</v>
      </c>
      <c r="C785" s="911" t="s">
        <v>3556</v>
      </c>
      <c r="D785" s="1302">
        <v>46060.496111111112</v>
      </c>
      <c r="E785" s="832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4" t="e">
        <f>LEFT(base[[#This Row],[Evento / Mercado]],FIND("/",base[[#This Row],[Evento / Mercado]])-2)</f>
        <v>#VALUE!</v>
      </c>
      <c r="T785" s="1420">
        <f>base[[#This Row],[Data de liquidação]]</f>
        <v>46060.496111111112</v>
      </c>
    </row>
    <row r="786" spans="2:22" ht="15" customHeight="1">
      <c r="B786" s="739" t="s">
        <v>942</v>
      </c>
      <c r="C786" s="911" t="s">
        <v>3556</v>
      </c>
      <c r="D786" s="1302">
        <v>46060.496562499997</v>
      </c>
      <c r="E786" s="832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4" t="e">
        <f>LEFT(base[[#This Row],[Evento / Mercado]],FIND("/",base[[#This Row],[Evento / Mercado]])-2)</f>
        <v>#VALUE!</v>
      </c>
      <c r="T786" s="1420">
        <f>base[[#This Row],[Data de liquidação]]</f>
        <v>46060.496562499997</v>
      </c>
    </row>
    <row r="787" spans="2:22" ht="15" customHeight="1">
      <c r="B787" s="739" t="s">
        <v>941</v>
      </c>
      <c r="C787" s="911" t="s">
        <v>3556</v>
      </c>
      <c r="D787" s="1302">
        <v>46060.498506944445</v>
      </c>
      <c r="E787" s="832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4" t="e">
        <f>LEFT(base[[#This Row],[Evento / Mercado]],FIND("/",base[[#This Row],[Evento / Mercado]])-2)</f>
        <v>#VALUE!</v>
      </c>
      <c r="T787" s="142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739" t="s">
        <v>941</v>
      </c>
      <c r="C788" s="911" t="s">
        <v>3556</v>
      </c>
      <c r="D788" s="1302">
        <v>46060.498506944445</v>
      </c>
      <c r="E788" s="832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4" t="e">
        <f>LEFT(base[[#This Row],[Evento / Mercado]],FIND("/",base[[#This Row],[Evento / Mercado]])-2)</f>
        <v>#VALUE!</v>
      </c>
      <c r="T788" s="142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739" t="s">
        <v>941</v>
      </c>
      <c r="C789" s="911" t="s">
        <v>3556</v>
      </c>
      <c r="D789" s="1302">
        <v>46060.498541666668</v>
      </c>
      <c r="E789" s="832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4" t="e">
        <f>LEFT(base[[#This Row],[Evento / Mercado]],FIND("/",base[[#This Row],[Evento / Mercado]])-2)</f>
        <v>#VALUE!</v>
      </c>
      <c r="T789" s="1420">
        <f>base[[#This Row],[Data de liquidação]]</f>
        <v>46060.498541666668</v>
      </c>
    </row>
    <row r="790" spans="2:22" ht="15" customHeight="1">
      <c r="B790" s="739" t="s">
        <v>933</v>
      </c>
      <c r="C790" s="911" t="s">
        <v>3556</v>
      </c>
      <c r="D790" s="1302">
        <v>46060.515532407408</v>
      </c>
      <c r="E790" s="832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4" t="e">
        <f>LEFT(base[[#This Row],[Evento / Mercado]],FIND("/",base[[#This Row],[Evento / Mercado]])-2)</f>
        <v>#VALUE!</v>
      </c>
      <c r="T790" s="1420">
        <f>base[[#This Row],[Data de liquidação]]</f>
        <v>46060.515532407408</v>
      </c>
    </row>
    <row r="791" spans="2:22" ht="15" customHeight="1">
      <c r="B791" s="739" t="s">
        <v>940</v>
      </c>
      <c r="C791" s="911" t="s">
        <v>3556</v>
      </c>
      <c r="D791" s="1302">
        <v>46060.522997685184</v>
      </c>
      <c r="E791" s="832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4" t="e">
        <f>LEFT(base[[#This Row],[Evento / Mercado]],FIND("/",base[[#This Row],[Evento / Mercado]])-2)</f>
        <v>#VALUE!</v>
      </c>
      <c r="T791" s="1420">
        <f>base[[#This Row],[Data de liquidação]]</f>
        <v>46060.522997685184</v>
      </c>
    </row>
    <row r="792" spans="2:22" ht="15" customHeight="1">
      <c r="B792" s="739" t="s">
        <v>939</v>
      </c>
      <c r="C792" s="911" t="s">
        <v>3556</v>
      </c>
      <c r="D792" s="1302">
        <v>46060.533263888887</v>
      </c>
      <c r="E792" s="832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4" t="e">
        <f>LEFT(base[[#This Row],[Evento / Mercado]],FIND("/",base[[#This Row],[Evento / Mercado]])-2)</f>
        <v>#VALUE!</v>
      </c>
      <c r="T792" s="1420">
        <f>base[[#This Row],[Data de liquidação]]</f>
        <v>46060.533263888887</v>
      </c>
    </row>
    <row r="793" spans="2:22" ht="15" customHeight="1">
      <c r="B793" s="739" t="s">
        <v>938</v>
      </c>
      <c r="C793" s="911" t="s">
        <v>3556</v>
      </c>
      <c r="D793" s="1302">
        <v>46060.538993055554</v>
      </c>
      <c r="E793" s="832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4" t="e">
        <f>LEFT(base[[#This Row],[Evento / Mercado]],FIND("/",base[[#This Row],[Evento / Mercado]])-2)</f>
        <v>#VALUE!</v>
      </c>
      <c r="T793" s="1420">
        <f>base[[#This Row],[Data de liquidação]]</f>
        <v>46060.538993055554</v>
      </c>
    </row>
    <row r="794" spans="2:22" ht="15" customHeight="1">
      <c r="B794" s="739" t="s">
        <v>937</v>
      </c>
      <c r="C794" s="911" t="s">
        <v>3556</v>
      </c>
      <c r="D794" s="1302">
        <v>46060.540833333333</v>
      </c>
      <c r="E794" s="832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4" t="e">
        <f>LEFT(base[[#This Row],[Evento / Mercado]],FIND("/",base[[#This Row],[Evento / Mercado]])-2)</f>
        <v>#VALUE!</v>
      </c>
      <c r="T794" s="1420">
        <f>base[[#This Row],[Data de liquidação]]</f>
        <v>46060.540833333333</v>
      </c>
    </row>
    <row r="795" spans="2:22" ht="15" customHeight="1">
      <c r="B795" s="739" t="s">
        <v>936</v>
      </c>
      <c r="C795" s="911" t="s">
        <v>3556</v>
      </c>
      <c r="D795" s="1302">
        <v>46060.542939814812</v>
      </c>
      <c r="E795" s="832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4" t="e">
        <f>LEFT(base[[#This Row],[Evento / Mercado]],FIND("/",base[[#This Row],[Evento / Mercado]])-2)</f>
        <v>#VALUE!</v>
      </c>
      <c r="T795" s="1420">
        <f>base[[#This Row],[Data de liquidação]]</f>
        <v>46060.542939814812</v>
      </c>
    </row>
    <row r="796" spans="2:22" ht="15" customHeight="1">
      <c r="B796" s="739" t="s">
        <v>935</v>
      </c>
      <c r="C796" s="911" t="s">
        <v>3556</v>
      </c>
      <c r="D796" s="1302">
        <v>46060.552164351851</v>
      </c>
      <c r="E796" s="832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4" t="e">
        <f>LEFT(base[[#This Row],[Evento / Mercado]],FIND("/",base[[#This Row],[Evento / Mercado]])-2)</f>
        <v>#VALUE!</v>
      </c>
      <c r="T796" s="1420">
        <f>base[[#This Row],[Data de liquidação]]</f>
        <v>46060.552164351851</v>
      </c>
    </row>
    <row r="797" spans="2:22" ht="15" customHeight="1">
      <c r="B797" s="739" t="s">
        <v>934</v>
      </c>
      <c r="C797" s="911" t="s">
        <v>3556</v>
      </c>
      <c r="D797" s="1302">
        <v>46060.558541666665</v>
      </c>
      <c r="E797" s="832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693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1200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4" t="e">
        <f>LEFT(base[[#This Row],[Evento / Mercado]],FIND("/",base[[#This Row],[Evento / Mercado]])-2)</f>
        <v>#VALUE!</v>
      </c>
      <c r="T797" s="1420">
        <f>base[[#This Row],[Data de liquidação]]</f>
        <v>46060.558541666665</v>
      </c>
    </row>
    <row r="798" spans="2:22" ht="15" customHeight="1">
      <c r="B798" s="739" t="s">
        <v>933</v>
      </c>
      <c r="C798" s="911" t="s">
        <v>3556</v>
      </c>
      <c r="D798" s="1302">
        <v>46060.579409722224</v>
      </c>
      <c r="E798" s="832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4" t="e">
        <f>LEFT(base[[#This Row],[Evento / Mercado]],FIND("/",base[[#This Row],[Evento / Mercado]])-2)</f>
        <v>#VALUE!</v>
      </c>
      <c r="T798" s="1420">
        <f>base[[#This Row],[Data de liquidação]]</f>
        <v>46060.579409722224</v>
      </c>
    </row>
    <row r="799" spans="2:22" ht="15" customHeight="1">
      <c r="B799" s="739" t="s">
        <v>932</v>
      </c>
      <c r="C799" s="911" t="s">
        <v>3556</v>
      </c>
      <c r="D799" s="1302">
        <v>46060.581354166665</v>
      </c>
      <c r="E799" s="832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4" t="e">
        <f>LEFT(base[[#This Row],[Evento / Mercado]],FIND("/",base[[#This Row],[Evento / Mercado]])-2)</f>
        <v>#VALUE!</v>
      </c>
      <c r="T799" s="1420">
        <f>base[[#This Row],[Data de liquidação]]</f>
        <v>46060.581354166665</v>
      </c>
    </row>
    <row r="800" spans="2:22" ht="15" customHeight="1">
      <c r="B800" s="739" t="s">
        <v>931</v>
      </c>
      <c r="C800" s="911" t="s">
        <v>3556</v>
      </c>
      <c r="D800" s="1302">
        <v>46060.581574074073</v>
      </c>
      <c r="E800" s="832">
        <v>17.690000000000001</v>
      </c>
      <c r="F800" s="80">
        <v>4.4999999999999998E-2</v>
      </c>
      <c r="G800" s="234">
        <f t="shared" si="13"/>
        <v>18.523560209424087</v>
      </c>
      <c r="H800" s="234" t="s">
        <v>179</v>
      </c>
      <c r="I800" s="232" t="s">
        <v>392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1201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4" t="e">
        <f>LEFT(base[[#This Row],[Evento / Mercado]],FIND("/",base[[#This Row],[Evento / Mercado]])-2)</f>
        <v>#VALUE!</v>
      </c>
      <c r="T800" s="1420">
        <f>base[[#This Row],[Data de liquidação]]</f>
        <v>46060.581574074073</v>
      </c>
    </row>
    <row r="801" spans="2:20" ht="15" customHeight="1">
      <c r="B801" s="739" t="s">
        <v>930</v>
      </c>
      <c r="C801" s="911" t="s">
        <v>3556</v>
      </c>
      <c r="D801" s="1302">
        <v>46060.581736111111</v>
      </c>
      <c r="E801" s="832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4" t="e">
        <f>LEFT(base[[#This Row],[Evento / Mercado]],FIND("/",base[[#This Row],[Evento / Mercado]])-2)</f>
        <v>#VALUE!</v>
      </c>
      <c r="T801" s="1420">
        <f>base[[#This Row],[Data de liquidação]]</f>
        <v>46060.581736111111</v>
      </c>
    </row>
    <row r="802" spans="2:20" ht="15" customHeight="1">
      <c r="B802" s="739" t="s">
        <v>929</v>
      </c>
      <c r="C802" s="911" t="s">
        <v>3556</v>
      </c>
      <c r="D802" s="1302">
        <v>46060.581979166665</v>
      </c>
      <c r="E802" s="832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4" t="e">
        <f>LEFT(base[[#This Row],[Evento / Mercado]],FIND("/",base[[#This Row],[Evento / Mercado]])-2)</f>
        <v>#VALUE!</v>
      </c>
      <c r="T802" s="1420">
        <f>base[[#This Row],[Data de liquidação]]</f>
        <v>46060.581979166665</v>
      </c>
    </row>
    <row r="803" spans="2:20" ht="15" customHeight="1">
      <c r="B803" s="739" t="s">
        <v>928</v>
      </c>
      <c r="C803" s="911" t="s">
        <v>3556</v>
      </c>
      <c r="D803" s="1302">
        <v>46060.582662037035</v>
      </c>
      <c r="E803" s="832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4" t="e">
        <f>LEFT(base[[#This Row],[Evento / Mercado]],FIND("/",base[[#This Row],[Evento / Mercado]])-2)</f>
        <v>#VALUE!</v>
      </c>
      <c r="T803" s="1420">
        <f>base[[#This Row],[Data de liquidação]]</f>
        <v>46060.582662037035</v>
      </c>
    </row>
    <row r="804" spans="2:20" ht="15" customHeight="1">
      <c r="B804" s="739" t="s">
        <v>927</v>
      </c>
      <c r="C804" s="911" t="s">
        <v>3556</v>
      </c>
      <c r="D804" s="1302">
        <v>46060.583333333336</v>
      </c>
      <c r="E804" s="832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4" t="e">
        <f>LEFT(base[[#This Row],[Evento / Mercado]],FIND("/",base[[#This Row],[Evento / Mercado]])-2)</f>
        <v>#VALUE!</v>
      </c>
      <c r="T804" s="1420">
        <f>base[[#This Row],[Data de liquidação]]</f>
        <v>46060.583333333336</v>
      </c>
    </row>
    <row r="805" spans="2:20" ht="15" customHeight="1">
      <c r="B805" s="739" t="s">
        <v>926</v>
      </c>
      <c r="C805" s="911" t="s">
        <v>3556</v>
      </c>
      <c r="D805" s="1302">
        <v>46060.583854166667</v>
      </c>
      <c r="E805" s="832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391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1201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4" t="e">
        <f>LEFT(base[[#This Row],[Evento / Mercado]],FIND("/",base[[#This Row],[Evento / Mercado]])-2)</f>
        <v>#VALUE!</v>
      </c>
      <c r="T805" s="1420">
        <f>base[[#This Row],[Data de liquidação]]</f>
        <v>46060.583854166667</v>
      </c>
    </row>
    <row r="806" spans="2:20" ht="15" customHeight="1">
      <c r="B806" s="739" t="s">
        <v>925</v>
      </c>
      <c r="C806" s="911" t="s">
        <v>3556</v>
      </c>
      <c r="D806" s="1302">
        <v>46060.591736111113</v>
      </c>
      <c r="E806" s="832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628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1202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4" t="e">
        <f>LEFT(base[[#This Row],[Evento / Mercado]],FIND("/",base[[#This Row],[Evento / Mercado]])-2)</f>
        <v>#VALUE!</v>
      </c>
      <c r="T806" s="1420">
        <f>base[[#This Row],[Data de liquidação]]</f>
        <v>46060.591736111113</v>
      </c>
    </row>
    <row r="807" spans="2:20" ht="15" customHeight="1">
      <c r="B807" s="739" t="s">
        <v>924</v>
      </c>
      <c r="C807" s="911" t="s">
        <v>3556</v>
      </c>
      <c r="D807" s="1302">
        <v>46060.592986111114</v>
      </c>
      <c r="E807" s="832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4" t="e">
        <f>LEFT(base[[#This Row],[Evento / Mercado]],FIND("/",base[[#This Row],[Evento / Mercado]])-2)</f>
        <v>#VALUE!</v>
      </c>
      <c r="T807" s="1420">
        <f>base[[#This Row],[Data de liquidação]]</f>
        <v>46060.592986111114</v>
      </c>
    </row>
    <row r="808" spans="2:20" ht="15" customHeight="1">
      <c r="B808" s="739" t="s">
        <v>923</v>
      </c>
      <c r="C808" s="911" t="s">
        <v>3556</v>
      </c>
      <c r="D808" s="1302">
        <v>46060.620833333334</v>
      </c>
      <c r="E808" s="832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4" t="e">
        <f>LEFT(base[[#This Row],[Evento / Mercado]],FIND("/",base[[#This Row],[Evento / Mercado]])-2)</f>
        <v>#VALUE!</v>
      </c>
      <c r="T808" s="1420">
        <f>base[[#This Row],[Data de liquidação]]</f>
        <v>46060.620833333334</v>
      </c>
    </row>
    <row r="809" spans="2:20" ht="15" customHeight="1">
      <c r="B809" s="739" t="s">
        <v>922</v>
      </c>
      <c r="C809" s="911" t="s">
        <v>3556</v>
      </c>
      <c r="D809" s="1302">
        <v>46060.621296296296</v>
      </c>
      <c r="E809" s="832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4" t="e">
        <f>LEFT(base[[#This Row],[Evento / Mercado]],FIND("/",base[[#This Row],[Evento / Mercado]])-2)</f>
        <v>#VALUE!</v>
      </c>
      <c r="T809" s="1420">
        <f>base[[#This Row],[Data de liquidação]]</f>
        <v>46060.621296296296</v>
      </c>
    </row>
    <row r="810" spans="2:20" ht="15" customHeight="1">
      <c r="B810" s="739" t="s">
        <v>922</v>
      </c>
      <c r="C810" s="911" t="s">
        <v>3556</v>
      </c>
      <c r="D810" s="1302">
        <v>46060.621400462966</v>
      </c>
      <c r="E810" s="832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392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1208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4" t="e">
        <f>LEFT(base[[#This Row],[Evento / Mercado]],FIND("/",base[[#This Row],[Evento / Mercado]])-2)</f>
        <v>#VALUE!</v>
      </c>
      <c r="T810" s="1420">
        <f>base[[#This Row],[Data de liquidação]]</f>
        <v>46060.621400462966</v>
      </c>
    </row>
    <row r="811" spans="2:20" ht="15" customHeight="1">
      <c r="B811" s="739" t="s">
        <v>921</v>
      </c>
      <c r="C811" s="911" t="s">
        <v>3556</v>
      </c>
      <c r="D811" s="1302">
        <v>46060.625659722224</v>
      </c>
      <c r="E811" s="832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4" t="e">
        <f>LEFT(base[[#This Row],[Evento / Mercado]],FIND("/",base[[#This Row],[Evento / Mercado]])-2)</f>
        <v>#VALUE!</v>
      </c>
      <c r="T811" s="1420">
        <f>base[[#This Row],[Data de liquidação]]</f>
        <v>46060.625659722224</v>
      </c>
    </row>
    <row r="812" spans="2:20" ht="15" customHeight="1">
      <c r="B812" s="739" t="s">
        <v>920</v>
      </c>
      <c r="C812" s="911" t="s">
        <v>3556</v>
      </c>
      <c r="D812" s="1302">
        <v>46060.626562500001</v>
      </c>
      <c r="E812" s="832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4" t="e">
        <f>LEFT(base[[#This Row],[Evento / Mercado]],FIND("/",base[[#This Row],[Evento / Mercado]])-2)</f>
        <v>#VALUE!</v>
      </c>
      <c r="T812" s="1420">
        <f>base[[#This Row],[Data de liquidação]]</f>
        <v>46060.626562500001</v>
      </c>
    </row>
    <row r="813" spans="2:20" ht="15" customHeight="1">
      <c r="B813" s="739" t="s">
        <v>919</v>
      </c>
      <c r="C813" s="911" t="s">
        <v>3556</v>
      </c>
      <c r="D813" s="1302">
        <v>46060.626655092594</v>
      </c>
      <c r="E813" s="832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392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1200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4" t="e">
        <f>LEFT(base[[#This Row],[Evento / Mercado]],FIND("/",base[[#This Row],[Evento / Mercado]])-2)</f>
        <v>#VALUE!</v>
      </c>
      <c r="T813" s="1420">
        <f>base[[#This Row],[Data de liquidação]]</f>
        <v>46060.626655092594</v>
      </c>
    </row>
    <row r="814" spans="2:20" ht="15" customHeight="1">
      <c r="B814" s="739" t="s">
        <v>918</v>
      </c>
      <c r="C814" s="911" t="s">
        <v>3556</v>
      </c>
      <c r="D814" s="1302">
        <v>46060.634976851848</v>
      </c>
      <c r="E814" s="832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4" t="e">
        <f>LEFT(base[[#This Row],[Evento / Mercado]],FIND("/",base[[#This Row],[Evento / Mercado]])-2)</f>
        <v>#VALUE!</v>
      </c>
      <c r="T814" s="1420">
        <f>base[[#This Row],[Data de liquidação]]</f>
        <v>46060.634976851848</v>
      </c>
    </row>
    <row r="815" spans="2:20" ht="15" customHeight="1">
      <c r="B815" s="739" t="s">
        <v>917</v>
      </c>
      <c r="C815" s="911" t="s">
        <v>3556</v>
      </c>
      <c r="D815" s="1302">
        <v>46060.63722222222</v>
      </c>
      <c r="E815" s="832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4" t="e">
        <f>LEFT(base[[#This Row],[Evento / Mercado]],FIND("/",base[[#This Row],[Evento / Mercado]])-2)</f>
        <v>#VALUE!</v>
      </c>
      <c r="T815" s="1420">
        <f>base[[#This Row],[Data de liquidação]]</f>
        <v>46060.63722222222</v>
      </c>
    </row>
    <row r="816" spans="2:20" ht="15" customHeight="1">
      <c r="B816" s="739" t="s">
        <v>916</v>
      </c>
      <c r="C816" s="911" t="s">
        <v>3556</v>
      </c>
      <c r="D816" s="1302">
        <v>46060.682476851849</v>
      </c>
      <c r="E816" s="832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4" t="e">
        <f>LEFT(base[[#This Row],[Evento / Mercado]],FIND("/",base[[#This Row],[Evento / Mercado]])-2)</f>
        <v>#VALUE!</v>
      </c>
      <c r="T816" s="1420">
        <f>base[[#This Row],[Data de liquidação]]</f>
        <v>46060.682476851849</v>
      </c>
    </row>
    <row r="817" spans="2:22" ht="15" customHeight="1">
      <c r="B817" s="739" t="s">
        <v>916</v>
      </c>
      <c r="C817" s="911" t="s">
        <v>3556</v>
      </c>
      <c r="D817" s="1302">
        <v>46060.682523148149</v>
      </c>
      <c r="E817" s="832">
        <v>34.1</v>
      </c>
      <c r="F817" s="80">
        <v>4.4999999999999998E-2</v>
      </c>
      <c r="G817" s="234">
        <f t="shared" si="13"/>
        <v>35.706806282722518</v>
      </c>
      <c r="H817" s="234" t="s">
        <v>179</v>
      </c>
      <c r="I817" s="232" t="s">
        <v>392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1211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4" t="e">
        <f>LEFT(base[[#This Row],[Evento / Mercado]],FIND("/",base[[#This Row],[Evento / Mercado]])-2)</f>
        <v>#VALUE!</v>
      </c>
      <c r="T817" s="1420">
        <f>base[[#This Row],[Data de liquidação]]</f>
        <v>46060.682523148149</v>
      </c>
    </row>
    <row r="818" spans="2:22" ht="15" customHeight="1">
      <c r="B818" s="739" t="s">
        <v>915</v>
      </c>
      <c r="C818" s="911" t="s">
        <v>3556</v>
      </c>
      <c r="D818" s="1302">
        <v>46060.693159722221</v>
      </c>
      <c r="E818" s="832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4" t="e">
        <f>LEFT(base[[#This Row],[Evento / Mercado]],FIND("/",base[[#This Row],[Evento / Mercado]])-2)</f>
        <v>#VALUE!</v>
      </c>
      <c r="T818" s="1420">
        <f>base[[#This Row],[Data de liquidação]]</f>
        <v>46060.693159722221</v>
      </c>
    </row>
    <row r="819" spans="2:22" ht="15" customHeight="1">
      <c r="B819" s="739" t="s">
        <v>914</v>
      </c>
      <c r="C819" s="911" t="s">
        <v>3556</v>
      </c>
      <c r="D819" s="1302">
        <v>46060.701701388891</v>
      </c>
      <c r="E819" s="832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4" t="e">
        <f>LEFT(base[[#This Row],[Evento / Mercado]],FIND("/",base[[#This Row],[Evento / Mercado]])-2)</f>
        <v>#VALUE!</v>
      </c>
      <c r="T819" s="1420">
        <f>base[[#This Row],[Data de liquidação]]</f>
        <v>46060.701701388891</v>
      </c>
    </row>
    <row r="820" spans="2:22" ht="15" customHeight="1">
      <c r="B820" s="739" t="s">
        <v>913</v>
      </c>
      <c r="C820" s="911" t="s">
        <v>3556</v>
      </c>
      <c r="D820" s="1302">
        <v>46060.744039351855</v>
      </c>
      <c r="E820" s="832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4" t="e">
        <f>LEFT(base[[#This Row],[Evento / Mercado]],FIND("/",base[[#This Row],[Evento / Mercado]])-2)</f>
        <v>#VALUE!</v>
      </c>
      <c r="T820" s="1420">
        <f>base[[#This Row],[Data de liquidação]]</f>
        <v>46060.744039351855</v>
      </c>
    </row>
    <row r="821" spans="2:22" ht="15" customHeight="1">
      <c r="B821" s="739" t="s">
        <v>912</v>
      </c>
      <c r="C821" s="911" t="s">
        <v>3556</v>
      </c>
      <c r="D821" s="1302">
        <v>46060.744756944441</v>
      </c>
      <c r="E821" s="832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4" t="e">
        <f>LEFT(base[[#This Row],[Evento / Mercado]],FIND("/",base[[#This Row],[Evento / Mercado]])-2)</f>
        <v>#VALUE!</v>
      </c>
      <c r="T821" s="142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739" t="s">
        <v>912</v>
      </c>
      <c r="C822" s="911" t="s">
        <v>3556</v>
      </c>
      <c r="D822" s="1302">
        <v>46060.744756944441</v>
      </c>
      <c r="E822" s="832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4" t="e">
        <f>LEFT(base[[#This Row],[Evento / Mercado]],FIND("/",base[[#This Row],[Evento / Mercado]])-2)</f>
        <v>#VALUE!</v>
      </c>
      <c r="T822" s="142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739" t="s">
        <v>911</v>
      </c>
      <c r="C823" s="911" t="s">
        <v>3556</v>
      </c>
      <c r="D823" s="1302">
        <v>46060.745416666665</v>
      </c>
      <c r="E823" s="832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4" t="e">
        <f>LEFT(base[[#This Row],[Evento / Mercado]],FIND("/",base[[#This Row],[Evento / Mercado]])-2)</f>
        <v>#VALUE!</v>
      </c>
      <c r="T823" s="1420">
        <f>base[[#This Row],[Data de liquidação]]</f>
        <v>46060.745416666665</v>
      </c>
    </row>
    <row r="824" spans="2:22" ht="15" customHeight="1">
      <c r="B824" s="739" t="s">
        <v>910</v>
      </c>
      <c r="C824" s="911" t="s">
        <v>3556</v>
      </c>
      <c r="D824" s="1302">
        <v>46060.750185185185</v>
      </c>
      <c r="E824" s="832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4" t="e">
        <f>LEFT(base[[#This Row],[Evento / Mercado]],FIND("/",base[[#This Row],[Evento / Mercado]])-2)</f>
        <v>#VALUE!</v>
      </c>
      <c r="T824" s="1420">
        <f>base[[#This Row],[Data de liquidação]]</f>
        <v>46060.750185185185</v>
      </c>
    </row>
    <row r="825" spans="2:22" ht="15" customHeight="1">
      <c r="B825" s="739" t="s">
        <v>909</v>
      </c>
      <c r="C825" s="911" t="s">
        <v>3556</v>
      </c>
      <c r="D825" s="1302">
        <v>46060.780034722222</v>
      </c>
      <c r="E825" s="832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4" t="e">
        <f>LEFT(base[[#This Row],[Evento / Mercado]],FIND("/",base[[#This Row],[Evento / Mercado]])-2)</f>
        <v>#VALUE!</v>
      </c>
      <c r="T825" s="1420">
        <f>base[[#This Row],[Data de liquidação]]</f>
        <v>46060.780034722222</v>
      </c>
    </row>
    <row r="826" spans="2:22" ht="15" customHeight="1">
      <c r="B826" s="739" t="s">
        <v>908</v>
      </c>
      <c r="C826" s="911" t="s">
        <v>3556</v>
      </c>
      <c r="D826" s="1302">
        <v>46060.790138888886</v>
      </c>
      <c r="E826" s="832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4" t="e">
        <f>LEFT(base[[#This Row],[Evento / Mercado]],FIND("/",base[[#This Row],[Evento / Mercado]])-2)</f>
        <v>#VALUE!</v>
      </c>
      <c r="T826" s="142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739" t="s">
        <v>908</v>
      </c>
      <c r="C827" s="911" t="s">
        <v>3556</v>
      </c>
      <c r="D827" s="1302">
        <v>46060.790138888886</v>
      </c>
      <c r="E827" s="832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4" t="e">
        <f>LEFT(base[[#This Row],[Evento / Mercado]],FIND("/",base[[#This Row],[Evento / Mercado]])-2)</f>
        <v>#VALUE!</v>
      </c>
      <c r="T827" s="142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739" t="s">
        <v>907</v>
      </c>
      <c r="C828" s="911" t="s">
        <v>3556</v>
      </c>
      <c r="D828" s="1302">
        <v>46060.794525462959</v>
      </c>
      <c r="E828" s="832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4" t="e">
        <f>LEFT(base[[#This Row],[Evento / Mercado]],FIND("/",base[[#This Row],[Evento / Mercado]])-2)</f>
        <v>#VALUE!</v>
      </c>
      <c r="T828" s="1420">
        <f>base[[#This Row],[Data de liquidação]]</f>
        <v>46060.794525462959</v>
      </c>
    </row>
    <row r="829" spans="2:22" ht="15" customHeight="1">
      <c r="B829" s="739" t="s">
        <v>906</v>
      </c>
      <c r="C829" s="911" t="s">
        <v>3556</v>
      </c>
      <c r="D829" s="1302">
        <v>46060.841956018521</v>
      </c>
      <c r="E829" s="832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4" t="e">
        <f>LEFT(base[[#This Row],[Evento / Mercado]],FIND("/",base[[#This Row],[Evento / Mercado]])-2)</f>
        <v>#VALUE!</v>
      </c>
      <c r="T829" s="1420">
        <f>base[[#This Row],[Data de liquidação]]</f>
        <v>46060.841956018521</v>
      </c>
    </row>
    <row r="830" spans="2:22" ht="15" customHeight="1">
      <c r="B830" s="739" t="s">
        <v>905</v>
      </c>
      <c r="C830" s="911" t="s">
        <v>3556</v>
      </c>
      <c r="D830" s="1302">
        <v>46061.422974537039</v>
      </c>
      <c r="E830" s="832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4" t="e">
        <f>LEFT(base[[#This Row],[Evento / Mercado]],FIND("/",base[[#This Row],[Evento / Mercado]])-2)</f>
        <v>#VALUE!</v>
      </c>
      <c r="T830" s="1420">
        <f>base[[#This Row],[Data de liquidação]]</f>
        <v>46061.422974537039</v>
      </c>
    </row>
    <row r="831" spans="2:22" ht="15" customHeight="1">
      <c r="B831" s="739" t="s">
        <v>904</v>
      </c>
      <c r="C831" s="911" t="s">
        <v>3556</v>
      </c>
      <c r="D831" s="1302">
        <v>46061.423402777778</v>
      </c>
      <c r="E831" s="832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4" t="e">
        <f>LEFT(base[[#This Row],[Evento / Mercado]],FIND("/",base[[#This Row],[Evento / Mercado]])-2)</f>
        <v>#VALUE!</v>
      </c>
      <c r="T831" s="1420">
        <f>base[[#This Row],[Data de liquidação]]</f>
        <v>46061.423402777778</v>
      </c>
    </row>
    <row r="832" spans="2:22" ht="15" customHeight="1">
      <c r="B832" s="739" t="s">
        <v>903</v>
      </c>
      <c r="C832" s="911" t="s">
        <v>3556</v>
      </c>
      <c r="D832" s="1302">
        <v>46061.438518518517</v>
      </c>
      <c r="E832" s="832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4" t="e">
        <f>LEFT(base[[#This Row],[Evento / Mercado]],FIND("/",base[[#This Row],[Evento / Mercado]])-2)</f>
        <v>#VALUE!</v>
      </c>
      <c r="T832" s="1420">
        <f>base[[#This Row],[Data de liquidação]]</f>
        <v>46061.438518518517</v>
      </c>
    </row>
    <row r="833" spans="2:22" ht="15" customHeight="1">
      <c r="B833" s="739" t="s">
        <v>902</v>
      </c>
      <c r="C833" s="911" t="s">
        <v>3556</v>
      </c>
      <c r="D833" s="1302">
        <v>46061.45989583333</v>
      </c>
      <c r="E833" s="832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4" t="e">
        <f>LEFT(base[[#This Row],[Evento / Mercado]],FIND("/",base[[#This Row],[Evento / Mercado]])-2)</f>
        <v>#VALUE!</v>
      </c>
      <c r="T833" s="1420">
        <f>base[[#This Row],[Data de liquidação]]</f>
        <v>46061.45989583333</v>
      </c>
    </row>
    <row r="834" spans="2:22" ht="15" customHeight="1">
      <c r="B834" s="739" t="s">
        <v>901</v>
      </c>
      <c r="C834" s="911" t="s">
        <v>3556</v>
      </c>
      <c r="D834" s="1302">
        <v>46061.516469907408</v>
      </c>
      <c r="E834" s="832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4" t="e">
        <f>LEFT(base[[#This Row],[Evento / Mercado]],FIND("/",base[[#This Row],[Evento / Mercado]])-2)</f>
        <v>#VALUE!</v>
      </c>
      <c r="T834" s="1420">
        <f>base[[#This Row],[Data de liquidação]]</f>
        <v>46061.516469907408</v>
      </c>
    </row>
    <row r="835" spans="2:22" ht="15" customHeight="1">
      <c r="B835" s="739" t="s">
        <v>900</v>
      </c>
      <c r="C835" s="911" t="s">
        <v>3556</v>
      </c>
      <c r="D835" s="1302">
        <v>46061.519513888888</v>
      </c>
      <c r="E835" s="832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4" t="e">
        <f>LEFT(base[[#This Row],[Evento / Mercado]],FIND("/",base[[#This Row],[Evento / Mercado]])-2)</f>
        <v>#VALUE!</v>
      </c>
      <c r="T835" s="1420">
        <f>base[[#This Row],[Data de liquidação]]</f>
        <v>46061.519513888888</v>
      </c>
    </row>
    <row r="836" spans="2:22" ht="15" customHeight="1">
      <c r="B836" s="739" t="s">
        <v>899</v>
      </c>
      <c r="C836" s="911" t="s">
        <v>3556</v>
      </c>
      <c r="D836" s="1302">
        <v>46061.527233796296</v>
      </c>
      <c r="E836" s="832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4" t="e">
        <f>LEFT(base[[#This Row],[Evento / Mercado]],FIND("/",base[[#This Row],[Evento / Mercado]])-2)</f>
        <v>#VALUE!</v>
      </c>
      <c r="T836" s="142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739" t="s">
        <v>899</v>
      </c>
      <c r="C837" s="911" t="s">
        <v>3556</v>
      </c>
      <c r="D837" s="1302">
        <v>46061.527233796296</v>
      </c>
      <c r="E837" s="832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4" t="e">
        <f>LEFT(base[[#This Row],[Evento / Mercado]],FIND("/",base[[#This Row],[Evento / Mercado]])-2)</f>
        <v>#VALUE!</v>
      </c>
      <c r="T837" s="142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739" t="s">
        <v>899</v>
      </c>
      <c r="C838" s="911" t="s">
        <v>3556</v>
      </c>
      <c r="D838" s="1302">
        <v>46061.527268518519</v>
      </c>
      <c r="E838" s="832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4" t="e">
        <f>LEFT(base[[#This Row],[Evento / Mercado]],FIND("/",base[[#This Row],[Evento / Mercado]])-2)</f>
        <v>#VALUE!</v>
      </c>
      <c r="T838" s="1420">
        <f>base[[#This Row],[Data de liquidação]]</f>
        <v>46061.527268518519</v>
      </c>
    </row>
    <row r="839" spans="2:22" ht="15" customHeight="1">
      <c r="B839" s="739" t="s">
        <v>898</v>
      </c>
      <c r="C839" s="911" t="s">
        <v>3556</v>
      </c>
      <c r="D839" s="1302">
        <v>46061.537361111114</v>
      </c>
      <c r="E839" s="832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4" t="e">
        <f>LEFT(base[[#This Row],[Evento / Mercado]],FIND("/",base[[#This Row],[Evento / Mercado]])-2)</f>
        <v>#VALUE!</v>
      </c>
      <c r="T839" s="1420">
        <f>base[[#This Row],[Data de liquidação]]</f>
        <v>46061.537361111114</v>
      </c>
    </row>
    <row r="840" spans="2:22" ht="15" customHeight="1">
      <c r="B840" s="739" t="s">
        <v>897</v>
      </c>
      <c r="C840" s="911" t="s">
        <v>3556</v>
      </c>
      <c r="D840" s="1302">
        <v>46061.538888888892</v>
      </c>
      <c r="E840" s="832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391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1204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4" t="e">
        <f>LEFT(base[[#This Row],[Evento / Mercado]],FIND("/",base[[#This Row],[Evento / Mercado]])-2)</f>
        <v>#VALUE!</v>
      </c>
      <c r="T840" s="1420">
        <f>base[[#This Row],[Data de liquidação]]</f>
        <v>46061.538888888892</v>
      </c>
    </row>
    <row r="841" spans="2:22" ht="15" customHeight="1">
      <c r="B841" s="739" t="s">
        <v>896</v>
      </c>
      <c r="C841" s="911" t="s">
        <v>3556</v>
      </c>
      <c r="D841" s="1302">
        <v>46061.539618055554</v>
      </c>
      <c r="E841" s="832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4" t="e">
        <f>LEFT(base[[#This Row],[Evento / Mercado]],FIND("/",base[[#This Row],[Evento / Mercado]])-2)</f>
        <v>#VALUE!</v>
      </c>
      <c r="T841" s="1420">
        <f>base[[#This Row],[Data de liquidação]]</f>
        <v>46061.539618055554</v>
      </c>
    </row>
    <row r="842" spans="2:22" ht="15" customHeight="1">
      <c r="B842" s="739" t="s">
        <v>895</v>
      </c>
      <c r="C842" s="911" t="s">
        <v>3556</v>
      </c>
      <c r="D842" s="1302">
        <v>46061.556539351855</v>
      </c>
      <c r="E842" s="832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4" t="e">
        <f>LEFT(base[[#This Row],[Evento / Mercado]],FIND("/",base[[#This Row],[Evento / Mercado]])-2)</f>
        <v>#VALUE!</v>
      </c>
      <c r="T842" s="1420">
        <f>base[[#This Row],[Data de liquidação]]</f>
        <v>46061.556539351855</v>
      </c>
    </row>
    <row r="843" spans="2:22" ht="15" customHeight="1">
      <c r="B843" s="739" t="s">
        <v>894</v>
      </c>
      <c r="C843" s="911" t="s">
        <v>3556</v>
      </c>
      <c r="D843" s="1302">
        <v>46061.570844907408</v>
      </c>
      <c r="E843" s="832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4" t="e">
        <f>LEFT(base[[#This Row],[Evento / Mercado]],FIND("/",base[[#This Row],[Evento / Mercado]])-2)</f>
        <v>#VALUE!</v>
      </c>
      <c r="T843" s="1420">
        <f>base[[#This Row],[Data de liquidação]]</f>
        <v>46061.570844907408</v>
      </c>
    </row>
    <row r="844" spans="2:22" ht="15" customHeight="1">
      <c r="B844" s="739" t="s">
        <v>893</v>
      </c>
      <c r="C844" s="911" t="s">
        <v>3556</v>
      </c>
      <c r="D844" s="1302">
        <v>46061.57540509259</v>
      </c>
      <c r="E844" s="832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4" t="e">
        <f>LEFT(base[[#This Row],[Evento / Mercado]],FIND("/",base[[#This Row],[Evento / Mercado]])-2)</f>
        <v>#VALUE!</v>
      </c>
      <c r="T844" s="142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739" t="s">
        <v>893</v>
      </c>
      <c r="C845" s="911" t="s">
        <v>3556</v>
      </c>
      <c r="D845" s="1302">
        <v>46061.57540509259</v>
      </c>
      <c r="E845" s="832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4" t="e">
        <f>LEFT(base[[#This Row],[Evento / Mercado]],FIND("/",base[[#This Row],[Evento / Mercado]])-2)</f>
        <v>#VALUE!</v>
      </c>
      <c r="T845" s="142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739" t="s">
        <v>892</v>
      </c>
      <c r="C846" s="911" t="s">
        <v>3556</v>
      </c>
      <c r="D846" s="1302">
        <v>46061.579479166663</v>
      </c>
      <c r="E846" s="832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4" t="e">
        <f>LEFT(base[[#This Row],[Evento / Mercado]],FIND("/",base[[#This Row],[Evento / Mercado]])-2)</f>
        <v>#VALUE!</v>
      </c>
      <c r="T846" s="1420">
        <f>base[[#This Row],[Data de liquidação]]</f>
        <v>46061.579479166663</v>
      </c>
    </row>
    <row r="847" spans="2:22" ht="15" customHeight="1">
      <c r="B847" s="739" t="s">
        <v>891</v>
      </c>
      <c r="C847" s="911" t="s">
        <v>3556</v>
      </c>
      <c r="D847" s="1302">
        <v>46061.587916666664</v>
      </c>
      <c r="E847" s="832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4" t="e">
        <f>LEFT(base[[#This Row],[Evento / Mercado]],FIND("/",base[[#This Row],[Evento / Mercado]])-2)</f>
        <v>#VALUE!</v>
      </c>
      <c r="T847" s="1420">
        <f>base[[#This Row],[Data de liquidação]]</f>
        <v>46061.587916666664</v>
      </c>
    </row>
    <row r="848" spans="2:22" ht="15" customHeight="1">
      <c r="B848" s="739" t="s">
        <v>890</v>
      </c>
      <c r="C848" s="911" t="s">
        <v>3556</v>
      </c>
      <c r="D848" s="1302">
        <v>46061.595081018517</v>
      </c>
      <c r="E848" s="832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4" t="e">
        <f>LEFT(base[[#This Row],[Evento / Mercado]],FIND("/",base[[#This Row],[Evento / Mercado]])-2)</f>
        <v>#VALUE!</v>
      </c>
      <c r="T848" s="1420">
        <f>base[[#This Row],[Data de liquidação]]</f>
        <v>46061.595081018517</v>
      </c>
    </row>
    <row r="849" spans="2:22" ht="15" customHeight="1">
      <c r="B849" s="739" t="s">
        <v>889</v>
      </c>
      <c r="C849" s="911" t="s">
        <v>3556</v>
      </c>
      <c r="D849" s="1302">
        <v>46061.669039351851</v>
      </c>
      <c r="E849" s="832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4" t="e">
        <f>LEFT(base[[#This Row],[Evento / Mercado]],FIND("/",base[[#This Row],[Evento / Mercado]])-2)</f>
        <v>#VALUE!</v>
      </c>
      <c r="T849" s="1420">
        <f>base[[#This Row],[Data de liquidação]]</f>
        <v>46061.669039351851</v>
      </c>
    </row>
    <row r="850" spans="2:22" ht="15" customHeight="1">
      <c r="B850" s="739" t="s">
        <v>888</v>
      </c>
      <c r="C850" s="911" t="s">
        <v>3556</v>
      </c>
      <c r="D850" s="1302">
        <v>46061.669803240744</v>
      </c>
      <c r="E850" s="832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4" t="e">
        <f>LEFT(base[[#This Row],[Evento / Mercado]],FIND("/",base[[#This Row],[Evento / Mercado]])-2)</f>
        <v>#VALUE!</v>
      </c>
      <c r="T850" s="1420">
        <f>base[[#This Row],[Data de liquidação]]</f>
        <v>46061.669803240744</v>
      </c>
    </row>
    <row r="851" spans="2:22" ht="15" customHeight="1">
      <c r="B851" s="739" t="s">
        <v>887</v>
      </c>
      <c r="C851" s="911" t="s">
        <v>3556</v>
      </c>
      <c r="D851" s="1302">
        <v>46061.683298611111</v>
      </c>
      <c r="E851" s="832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4" t="e">
        <f>LEFT(base[[#This Row],[Evento / Mercado]],FIND("/",base[[#This Row],[Evento / Mercado]])-2)</f>
        <v>#VALUE!</v>
      </c>
      <c r="T851" s="1420">
        <f>base[[#This Row],[Data de liquidação]]</f>
        <v>46061.683298611111</v>
      </c>
    </row>
    <row r="852" spans="2:22" ht="15" customHeight="1">
      <c r="B852" s="739" t="s">
        <v>886</v>
      </c>
      <c r="C852" s="911" t="s">
        <v>3556</v>
      </c>
      <c r="D852" s="1302">
        <v>46061.685208333336</v>
      </c>
      <c r="E852" s="832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627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1202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4" t="e">
        <f>LEFT(base[[#This Row],[Evento / Mercado]],FIND("/",base[[#This Row],[Evento / Mercado]])-2)</f>
        <v>#VALUE!</v>
      </c>
      <c r="T852" s="1420">
        <f>base[[#This Row],[Data de liquidação]]</f>
        <v>46061.685208333336</v>
      </c>
    </row>
    <row r="853" spans="2:22" ht="15" customHeight="1">
      <c r="B853" s="739" t="s">
        <v>886</v>
      </c>
      <c r="C853" s="911" t="s">
        <v>3556</v>
      </c>
      <c r="D853" s="1302">
        <v>46061.685208333336</v>
      </c>
      <c r="E853" s="832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4" t="e">
        <f>LEFT(base[[#This Row],[Evento / Mercado]],FIND("/",base[[#This Row],[Evento / Mercado]])-2)</f>
        <v>#VALUE!</v>
      </c>
      <c r="T853" s="1420">
        <f>base[[#This Row],[Data de liquidação]]</f>
        <v>46061.685208333336</v>
      </c>
    </row>
    <row r="854" spans="2:22" ht="15" customHeight="1">
      <c r="B854" s="739" t="s">
        <v>886</v>
      </c>
      <c r="C854" s="911" t="s">
        <v>3556</v>
      </c>
      <c r="D854" s="1302">
        <v>46061.685277777775</v>
      </c>
      <c r="E854" s="832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392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1202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4" t="e">
        <f>LEFT(base[[#This Row],[Evento / Mercado]],FIND("/",base[[#This Row],[Evento / Mercado]])-2)</f>
        <v>#VALUE!</v>
      </c>
      <c r="T854" s="1420">
        <f>base[[#This Row],[Data de liquidação]]</f>
        <v>46061.685277777775</v>
      </c>
    </row>
    <row r="855" spans="2:22" ht="15" customHeight="1">
      <c r="B855" s="739" t="s">
        <v>885</v>
      </c>
      <c r="C855" s="911" t="s">
        <v>3556</v>
      </c>
      <c r="D855" s="1302">
        <v>46061.764803240738</v>
      </c>
      <c r="E855" s="832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4" t="e">
        <f>LEFT(base[[#This Row],[Evento / Mercado]],FIND("/",base[[#This Row],[Evento / Mercado]])-2)</f>
        <v>#VALUE!</v>
      </c>
      <c r="T855" s="1420">
        <f>base[[#This Row],[Data de liquidação]]</f>
        <v>46061.764803240738</v>
      </c>
    </row>
    <row r="856" spans="2:22" ht="15" customHeight="1">
      <c r="B856" s="739" t="s">
        <v>495</v>
      </c>
      <c r="C856" s="911" t="s">
        <v>3556</v>
      </c>
      <c r="D856" s="1302">
        <v>46061.776550925926</v>
      </c>
      <c r="E856" s="832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4" t="e">
        <f>LEFT(base[[#This Row],[Evento / Mercado]],FIND("/",base[[#This Row],[Evento / Mercado]])-2)</f>
        <v>#VALUE!</v>
      </c>
      <c r="T856" s="1420">
        <f>base[[#This Row],[Data de liquidação]]</f>
        <v>46061.776550925926</v>
      </c>
    </row>
    <row r="857" spans="2:22" ht="15" customHeight="1">
      <c r="B857" s="739" t="s">
        <v>884</v>
      </c>
      <c r="C857" s="911" t="s">
        <v>3556</v>
      </c>
      <c r="D857" s="1302">
        <v>46061.780509259261</v>
      </c>
      <c r="E857" s="832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4" t="e">
        <f>LEFT(base[[#This Row],[Evento / Mercado]],FIND("/",base[[#This Row],[Evento / Mercado]])-2)</f>
        <v>#VALUE!</v>
      </c>
      <c r="T857" s="1420">
        <f>base[[#This Row],[Data de liquidação]]</f>
        <v>46061.780509259261</v>
      </c>
    </row>
    <row r="858" spans="2:22" ht="15" customHeight="1">
      <c r="B858" s="739" t="s">
        <v>883</v>
      </c>
      <c r="C858" s="911" t="s">
        <v>3556</v>
      </c>
      <c r="D858" s="1302">
        <v>46061.78701388889</v>
      </c>
      <c r="E858" s="832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694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1202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4" t="e">
        <f>LEFT(base[[#This Row],[Evento / Mercado]],FIND("/",base[[#This Row],[Evento / Mercado]])-2)</f>
        <v>#VALUE!</v>
      </c>
      <c r="T858" s="1420">
        <f>base[[#This Row],[Data de liquidação]]</f>
        <v>46061.78701388889</v>
      </c>
    </row>
    <row r="859" spans="2:22" ht="15" customHeight="1">
      <c r="B859" s="739" t="s">
        <v>883</v>
      </c>
      <c r="C859" s="911" t="s">
        <v>3556</v>
      </c>
      <c r="D859" s="1302">
        <v>46061.787557870368</v>
      </c>
      <c r="E859" s="832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4" t="e">
        <f>LEFT(base[[#This Row],[Evento / Mercado]],FIND("/",base[[#This Row],[Evento / Mercado]])-2)</f>
        <v>#VALUE!</v>
      </c>
      <c r="T859" s="1420">
        <f>base[[#This Row],[Data de liquidação]]</f>
        <v>46061.787557870368</v>
      </c>
    </row>
    <row r="860" spans="2:22" ht="15" customHeight="1">
      <c r="B860" s="739" t="s">
        <v>882</v>
      </c>
      <c r="C860" s="911" t="s">
        <v>3556</v>
      </c>
      <c r="D860" s="1302">
        <v>46061.793032407404</v>
      </c>
      <c r="E860" s="832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4" t="e">
        <f>LEFT(base[[#This Row],[Evento / Mercado]],FIND("/",base[[#This Row],[Evento / Mercado]])-2)</f>
        <v>#VALUE!</v>
      </c>
      <c r="T860" s="142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739" t="s">
        <v>882</v>
      </c>
      <c r="C861" s="911" t="s">
        <v>3556</v>
      </c>
      <c r="D861" s="1302">
        <v>46061.793032407404</v>
      </c>
      <c r="E861" s="832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4" t="e">
        <f>LEFT(base[[#This Row],[Evento / Mercado]],FIND("/",base[[#This Row],[Evento / Mercado]])-2)</f>
        <v>#VALUE!</v>
      </c>
      <c r="T861" s="142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739" t="s">
        <v>985</v>
      </c>
      <c r="C862" s="911" t="s">
        <v>3556</v>
      </c>
      <c r="D862" s="1302">
        <v>46062.663368055553</v>
      </c>
      <c r="E862" s="832">
        <v>17.690000000000001</v>
      </c>
      <c r="F862" s="235">
        <v>4.4999999999999998E-2</v>
      </c>
      <c r="G862" s="234">
        <f t="shared" si="14"/>
        <v>18.523560209424087</v>
      </c>
      <c r="H862" s="234" t="s">
        <v>179</v>
      </c>
      <c r="I862" s="232" t="s">
        <v>392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1204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4" t="e">
        <f>LEFT(base[[#This Row],[Evento / Mercado]],FIND("/",base[[#This Row],[Evento / Mercado]])-2)</f>
        <v>#VALUE!</v>
      </c>
      <c r="T862" s="1420">
        <f>base[[#This Row],[Data de liquidação]]</f>
        <v>46062.663368055553</v>
      </c>
    </row>
    <row r="863" spans="2:22" ht="15" customHeight="1">
      <c r="B863" s="739" t="s">
        <v>984</v>
      </c>
      <c r="C863" s="911" t="s">
        <v>3556</v>
      </c>
      <c r="D863" s="1302">
        <v>46062.683611111112</v>
      </c>
      <c r="E863" s="832">
        <v>26.53</v>
      </c>
      <c r="F863" s="235">
        <v>4.4999999999999998E-2</v>
      </c>
      <c r="G863" s="234">
        <f t="shared" si="14"/>
        <v>27.780104712041886</v>
      </c>
      <c r="H863" s="234" t="s">
        <v>179</v>
      </c>
      <c r="I863" s="232" t="s">
        <v>392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1207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4" t="e">
        <f>LEFT(base[[#This Row],[Evento / Mercado]],FIND("/",base[[#This Row],[Evento / Mercado]])-2)</f>
        <v>#VALUE!</v>
      </c>
      <c r="T863" s="1420">
        <f>base[[#This Row],[Data de liquidação]]</f>
        <v>46062.683611111112</v>
      </c>
    </row>
    <row r="864" spans="2:22" ht="15" customHeight="1">
      <c r="B864" s="739" t="s">
        <v>983</v>
      </c>
      <c r="C864" s="911" t="s">
        <v>3556</v>
      </c>
      <c r="D864" s="1302">
        <v>46062.726724537039</v>
      </c>
      <c r="E864" s="832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4" t="e">
        <f>LEFT(base[[#This Row],[Evento / Mercado]],FIND("/",base[[#This Row],[Evento / Mercado]])-2)</f>
        <v>#VALUE!</v>
      </c>
      <c r="T864" s="1420">
        <f>base[[#This Row],[Data de liquidação]]</f>
        <v>46062.726724537039</v>
      </c>
    </row>
    <row r="865" spans="2:22" ht="15" customHeight="1">
      <c r="B865" s="739" t="s">
        <v>982</v>
      </c>
      <c r="C865" s="911" t="s">
        <v>3556</v>
      </c>
      <c r="D865" s="1302">
        <v>46062.737951388888</v>
      </c>
      <c r="E865" s="832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4" t="e">
        <f>LEFT(base[[#This Row],[Evento / Mercado]],FIND("/",base[[#This Row],[Evento / Mercado]])-2)</f>
        <v>#VALUE!</v>
      </c>
      <c r="T865" s="1420">
        <f>base[[#This Row],[Data de liquidação]]</f>
        <v>46062.737951388888</v>
      </c>
    </row>
    <row r="866" spans="2:22" ht="15" customHeight="1">
      <c r="B866" s="739" t="s">
        <v>981</v>
      </c>
      <c r="C866" s="911" t="s">
        <v>3556</v>
      </c>
      <c r="D866" s="1302">
        <v>46062.745324074072</v>
      </c>
      <c r="E866" s="832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4" t="e">
        <f>LEFT(base[[#This Row],[Evento / Mercado]],FIND("/",base[[#This Row],[Evento / Mercado]])-2)</f>
        <v>#VALUE!</v>
      </c>
      <c r="T866" s="1420">
        <f>base[[#This Row],[Data de liquidação]]</f>
        <v>46062.745324074072</v>
      </c>
    </row>
    <row r="867" spans="2:22" ht="15" customHeight="1">
      <c r="B867" s="739" t="s">
        <v>980</v>
      </c>
      <c r="C867" s="911" t="s">
        <v>3556</v>
      </c>
      <c r="D867" s="1302">
        <v>46062.751817129632</v>
      </c>
      <c r="E867" s="832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4" t="e">
        <f>LEFT(base[[#This Row],[Evento / Mercado]],FIND("/",base[[#This Row],[Evento / Mercado]])-2)</f>
        <v>#VALUE!</v>
      </c>
      <c r="T867" s="1420">
        <f>base[[#This Row],[Data de liquidação]]</f>
        <v>46062.751817129632</v>
      </c>
    </row>
    <row r="868" spans="2:22" ht="15" customHeight="1">
      <c r="B868" s="739" t="s">
        <v>979</v>
      </c>
      <c r="C868" s="911" t="s">
        <v>3556</v>
      </c>
      <c r="D868" s="1302">
        <v>46062.770416666666</v>
      </c>
      <c r="E868" s="832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4" t="e">
        <f>LEFT(base[[#This Row],[Evento / Mercado]],FIND("/",base[[#This Row],[Evento / Mercado]])-2)</f>
        <v>#VALUE!</v>
      </c>
      <c r="T868" s="1420">
        <f>base[[#This Row],[Data de liquidação]]</f>
        <v>46062.770416666666</v>
      </c>
    </row>
    <row r="869" spans="2:22" ht="15" customHeight="1">
      <c r="B869" s="739" t="s">
        <v>979</v>
      </c>
      <c r="C869" s="911" t="s">
        <v>3556</v>
      </c>
      <c r="D869" s="1302">
        <v>46062.770486111112</v>
      </c>
      <c r="E869" s="832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4" t="e">
        <f>LEFT(base[[#This Row],[Evento / Mercado]],FIND("/",base[[#This Row],[Evento / Mercado]])-2)</f>
        <v>#VALUE!</v>
      </c>
      <c r="T869" s="142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739" t="s">
        <v>979</v>
      </c>
      <c r="C870" s="911" t="s">
        <v>3556</v>
      </c>
      <c r="D870" s="1302">
        <v>46062.770486111112</v>
      </c>
      <c r="E870" s="832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627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1202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4" t="e">
        <f>LEFT(base[[#This Row],[Evento / Mercado]],FIND("/",base[[#This Row],[Evento / Mercado]])-2)</f>
        <v>#VALUE!</v>
      </c>
      <c r="T870" s="142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739" t="s">
        <v>978</v>
      </c>
      <c r="C871" s="911" t="s">
        <v>3556</v>
      </c>
      <c r="D871" s="1302">
        <v>46062.776250000003</v>
      </c>
      <c r="E871" s="832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4" t="e">
        <f>LEFT(base[[#This Row],[Evento / Mercado]],FIND("/",base[[#This Row],[Evento / Mercado]])-2)</f>
        <v>#VALUE!</v>
      </c>
      <c r="T871" s="1420">
        <f>base[[#This Row],[Data de liquidação]]</f>
        <v>46062.776250000003</v>
      </c>
    </row>
    <row r="872" spans="2:22" ht="15" customHeight="1">
      <c r="B872" s="739" t="s">
        <v>978</v>
      </c>
      <c r="C872" s="911" t="s">
        <v>3556</v>
      </c>
      <c r="D872" s="1302">
        <v>46062.776296296295</v>
      </c>
      <c r="E872" s="832">
        <v>30.61</v>
      </c>
      <c r="F872" s="235">
        <v>4.4999999999999998E-2</v>
      </c>
      <c r="G872" s="234">
        <f t="shared" si="14"/>
        <v>32.052356020942412</v>
      </c>
      <c r="H872" s="234" t="s">
        <v>179</v>
      </c>
      <c r="I872" s="232" t="s">
        <v>392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1207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4" t="e">
        <f>LEFT(base[[#This Row],[Evento / Mercado]],FIND("/",base[[#This Row],[Evento / Mercado]])-2)</f>
        <v>#VALUE!</v>
      </c>
      <c r="T872" s="1420">
        <f>base[[#This Row],[Data de liquidação]]</f>
        <v>46062.776296296295</v>
      </c>
    </row>
    <row r="873" spans="2:22" ht="15" customHeight="1">
      <c r="B873" s="739" t="s">
        <v>976</v>
      </c>
      <c r="C873" s="911" t="s">
        <v>3556</v>
      </c>
      <c r="D873" s="1302">
        <v>46062.786111111112</v>
      </c>
      <c r="E873" s="832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4" t="e">
        <f>LEFT(base[[#This Row],[Evento / Mercado]],FIND("/",base[[#This Row],[Evento / Mercado]])-2)</f>
        <v>#VALUE!</v>
      </c>
      <c r="T873" s="1420">
        <f>base[[#This Row],[Data de liquidação]]</f>
        <v>46062.786111111112</v>
      </c>
    </row>
    <row r="874" spans="2:22" ht="15" customHeight="1">
      <c r="B874" s="739" t="s">
        <v>977</v>
      </c>
      <c r="C874" s="911" t="s">
        <v>3556</v>
      </c>
      <c r="D874" s="1302">
        <v>46062.786157407405</v>
      </c>
      <c r="E874" s="832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4" t="e">
        <f>LEFT(base[[#This Row],[Evento / Mercado]],FIND("/",base[[#This Row],[Evento / Mercado]])-2)</f>
        <v>#VALUE!</v>
      </c>
      <c r="T874" s="1420">
        <f>base[[#This Row],[Data de liquidação]]</f>
        <v>46062.786157407405</v>
      </c>
    </row>
    <row r="875" spans="2:22" ht="15" customHeight="1">
      <c r="B875" s="739" t="s">
        <v>976</v>
      </c>
      <c r="C875" s="911" t="s">
        <v>3556</v>
      </c>
      <c r="D875" s="1302">
        <v>46062.791724537034</v>
      </c>
      <c r="E875" s="832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4" t="e">
        <f>LEFT(base[[#This Row],[Evento / Mercado]],FIND("/",base[[#This Row],[Evento / Mercado]])-2)</f>
        <v>#VALUE!</v>
      </c>
      <c r="T875" s="1420">
        <f>base[[#This Row],[Data de liquidação]]</f>
        <v>46062.791724537034</v>
      </c>
    </row>
    <row r="876" spans="2:22" ht="15" customHeight="1">
      <c r="B876" s="739" t="s">
        <v>975</v>
      </c>
      <c r="C876" s="911" t="s">
        <v>3556</v>
      </c>
      <c r="D876" s="1302">
        <v>46062.827291666668</v>
      </c>
      <c r="E876" s="832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4" t="e">
        <f>LEFT(base[[#This Row],[Evento / Mercado]],FIND("/",base[[#This Row],[Evento / Mercado]])-2)</f>
        <v>#VALUE!</v>
      </c>
      <c r="T876" s="1420">
        <f>base[[#This Row],[Data de liquidação]]</f>
        <v>46062.827291666668</v>
      </c>
    </row>
    <row r="877" spans="2:22" ht="15" customHeight="1">
      <c r="B877" s="739" t="s">
        <v>974</v>
      </c>
      <c r="C877" s="911" t="s">
        <v>3556</v>
      </c>
      <c r="D877" s="1302">
        <v>46062.828506944446</v>
      </c>
      <c r="E877" s="832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4" t="e">
        <f>LEFT(base[[#This Row],[Evento / Mercado]],FIND("/",base[[#This Row],[Evento / Mercado]])-2)</f>
        <v>#VALUE!</v>
      </c>
      <c r="T877" s="1420">
        <f>base[[#This Row],[Data de liquidação]]</f>
        <v>46062.828506944446</v>
      </c>
    </row>
    <row r="878" spans="2:22" ht="15" customHeight="1">
      <c r="B878" s="739" t="s">
        <v>986</v>
      </c>
      <c r="C878" s="911" t="s">
        <v>3556</v>
      </c>
      <c r="D878" s="1302">
        <v>46062.829074074078</v>
      </c>
      <c r="E878" s="832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4" t="e">
        <f>LEFT(base[[#This Row],[Evento / Mercado]],FIND("/",base[[#This Row],[Evento / Mercado]])-2)</f>
        <v>#VALUE!</v>
      </c>
      <c r="T878" s="1420">
        <f>base[[#This Row],[Data de liquidação]]</f>
        <v>46062.829074074078</v>
      </c>
    </row>
    <row r="879" spans="2:22" ht="15" customHeight="1">
      <c r="B879" s="740" t="s">
        <v>998</v>
      </c>
      <c r="C879" s="911" t="s">
        <v>3556</v>
      </c>
      <c r="D879" s="1303">
        <v>46063.7184837963</v>
      </c>
      <c r="E879" s="833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4" t="e">
        <f>LEFT(base[[#This Row],[Evento / Mercado]],FIND("/",base[[#This Row],[Evento / Mercado]])-2)</f>
        <v>#VALUE!</v>
      </c>
      <c r="T879" s="1420">
        <f>base[[#This Row],[Data de liquidação]]</f>
        <v>46063.7184837963</v>
      </c>
    </row>
    <row r="880" spans="2:22" ht="15" customHeight="1">
      <c r="B880" s="740" t="s">
        <v>997</v>
      </c>
      <c r="C880" s="911" t="s">
        <v>3556</v>
      </c>
      <c r="D880" s="1303">
        <v>46063.744571759256</v>
      </c>
      <c r="E880" s="833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4" t="e">
        <f>LEFT(base[[#This Row],[Evento / Mercado]],FIND("/",base[[#This Row],[Evento / Mercado]])-2)</f>
        <v>#VALUE!</v>
      </c>
      <c r="T880" s="1420">
        <f>base[[#This Row],[Data de liquidação]]</f>
        <v>46063.744571759256</v>
      </c>
    </row>
    <row r="881" spans="2:22" ht="15" customHeight="1">
      <c r="B881" s="740" t="s">
        <v>996</v>
      </c>
      <c r="C881" s="911" t="s">
        <v>3556</v>
      </c>
      <c r="D881" s="1303">
        <v>46063.747337962966</v>
      </c>
      <c r="E881" s="833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4" t="e">
        <f>LEFT(base[[#This Row],[Evento / Mercado]],FIND("/",base[[#This Row],[Evento / Mercado]])-2)</f>
        <v>#VALUE!</v>
      </c>
      <c r="T881" s="142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740" t="s">
        <v>996</v>
      </c>
      <c r="C882" s="911" t="s">
        <v>3556</v>
      </c>
      <c r="D882" s="1303">
        <v>46063.747337962966</v>
      </c>
      <c r="E882" s="833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4" t="e">
        <f>LEFT(base[[#This Row],[Evento / Mercado]],FIND("/",base[[#This Row],[Evento / Mercado]])-2)</f>
        <v>#VALUE!</v>
      </c>
      <c r="T882" s="142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740" t="s">
        <v>996</v>
      </c>
      <c r="C883" s="911" t="s">
        <v>3556</v>
      </c>
      <c r="D883" s="1303">
        <v>46063.747361111113</v>
      </c>
      <c r="E883" s="833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4" t="e">
        <f>LEFT(base[[#This Row],[Evento / Mercado]],FIND("/",base[[#This Row],[Evento / Mercado]])-2)</f>
        <v>#VALUE!</v>
      </c>
      <c r="T883" s="1420">
        <f>base[[#This Row],[Data de liquidação]]</f>
        <v>46063.747361111113</v>
      </c>
    </row>
    <row r="884" spans="2:22" ht="15" customHeight="1">
      <c r="B884" s="740" t="s">
        <v>995</v>
      </c>
      <c r="C884" s="911" t="s">
        <v>3556</v>
      </c>
      <c r="D884" s="1303">
        <v>46063.748368055552</v>
      </c>
      <c r="E884" s="833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4" t="e">
        <f>LEFT(base[[#This Row],[Evento / Mercado]],FIND("/",base[[#This Row],[Evento / Mercado]])-2)</f>
        <v>#VALUE!</v>
      </c>
      <c r="T884" s="1420">
        <f>base[[#This Row],[Data de liquidação]]</f>
        <v>46063.748368055552</v>
      </c>
    </row>
    <row r="885" spans="2:22" ht="15" customHeight="1">
      <c r="B885" s="740" t="s">
        <v>995</v>
      </c>
      <c r="C885" s="911" t="s">
        <v>3556</v>
      </c>
      <c r="D885" s="1303">
        <v>46063.769525462965</v>
      </c>
      <c r="E885" s="833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4" t="e">
        <f>LEFT(base[[#This Row],[Evento / Mercado]],FIND("/",base[[#This Row],[Evento / Mercado]])-2)</f>
        <v>#VALUE!</v>
      </c>
      <c r="T885" s="142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740" t="s">
        <v>995</v>
      </c>
      <c r="C886" s="911" t="s">
        <v>3556</v>
      </c>
      <c r="D886" s="1303">
        <v>46063.769525462965</v>
      </c>
      <c r="E886" s="833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4" t="e">
        <f>LEFT(base[[#This Row],[Evento / Mercado]],FIND("/",base[[#This Row],[Evento / Mercado]])-2)</f>
        <v>#VALUE!</v>
      </c>
      <c r="T886" s="142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740" t="s">
        <v>995</v>
      </c>
      <c r="C887" s="911" t="s">
        <v>3556</v>
      </c>
      <c r="D887" s="1303">
        <v>46063.769629629627</v>
      </c>
      <c r="E887" s="833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392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1201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4" t="e">
        <f>LEFT(base[[#This Row],[Evento / Mercado]],FIND("/",base[[#This Row],[Evento / Mercado]])-2)</f>
        <v>#VALUE!</v>
      </c>
      <c r="T887" s="1420">
        <f>base[[#This Row],[Data de liquidação]]</f>
        <v>46063.769629629627</v>
      </c>
    </row>
    <row r="888" spans="2:22" ht="15" customHeight="1">
      <c r="B888" s="740" t="s">
        <v>994</v>
      </c>
      <c r="C888" s="911" t="s">
        <v>3556</v>
      </c>
      <c r="D888" s="1303">
        <v>46063.770405092589</v>
      </c>
      <c r="E888" s="833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4" t="e">
        <f>LEFT(base[[#This Row],[Evento / Mercado]],FIND("/",base[[#This Row],[Evento / Mercado]])-2)</f>
        <v>#VALUE!</v>
      </c>
      <c r="T888" s="1420">
        <f>base[[#This Row],[Data de liquidação]]</f>
        <v>46063.770405092589</v>
      </c>
    </row>
    <row r="889" spans="2:22" ht="15" customHeight="1">
      <c r="B889" s="740" t="s">
        <v>993</v>
      </c>
      <c r="C889" s="911" t="s">
        <v>3556</v>
      </c>
      <c r="D889" s="1303">
        <v>46063.77684027778</v>
      </c>
      <c r="E889" s="833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4" t="e">
        <f>LEFT(base[[#This Row],[Evento / Mercado]],FIND("/",base[[#This Row],[Evento / Mercado]])-2)</f>
        <v>#VALUE!</v>
      </c>
      <c r="T889" s="1420">
        <f>base[[#This Row],[Data de liquidação]]</f>
        <v>46063.77684027778</v>
      </c>
    </row>
    <row r="890" spans="2:22" ht="15" customHeight="1">
      <c r="B890" s="740" t="s">
        <v>992</v>
      </c>
      <c r="C890" s="911" t="s">
        <v>3556</v>
      </c>
      <c r="D890" s="1303">
        <v>46063.785520833335</v>
      </c>
      <c r="E890" s="833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4" t="e">
        <f>LEFT(base[[#This Row],[Evento / Mercado]],FIND("/",base[[#This Row],[Evento / Mercado]])-2)</f>
        <v>#VALUE!</v>
      </c>
      <c r="T890" s="1420">
        <f>base[[#This Row],[Data de liquidação]]</f>
        <v>46063.785520833335</v>
      </c>
    </row>
    <row r="891" spans="2:22" ht="15" customHeight="1">
      <c r="B891" s="740" t="s">
        <v>992</v>
      </c>
      <c r="C891" s="911" t="s">
        <v>3556</v>
      </c>
      <c r="D891" s="1303">
        <v>46063.785567129627</v>
      </c>
      <c r="E891" s="833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392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1219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4" t="e">
        <f>LEFT(base[[#This Row],[Evento / Mercado]],FIND("/",base[[#This Row],[Evento / Mercado]])-2)</f>
        <v>#VALUE!</v>
      </c>
      <c r="T891" s="1420">
        <f>base[[#This Row],[Data de liquidação]]</f>
        <v>46063.785567129627</v>
      </c>
    </row>
    <row r="892" spans="2:22" ht="15" customHeight="1">
      <c r="B892" s="740" t="s">
        <v>991</v>
      </c>
      <c r="C892" s="911" t="s">
        <v>3556</v>
      </c>
      <c r="D892" s="1303">
        <v>46063.789907407408</v>
      </c>
      <c r="E892" s="833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392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1206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4" t="e">
        <f>LEFT(base[[#This Row],[Evento / Mercado]],FIND("/",base[[#This Row],[Evento / Mercado]])-2)</f>
        <v>#VALUE!</v>
      </c>
      <c r="T892" s="1420">
        <f>base[[#This Row],[Data de liquidação]]</f>
        <v>46063.789907407408</v>
      </c>
    </row>
    <row r="893" spans="2:22" ht="15" customHeight="1">
      <c r="B893" s="741" t="s">
        <v>1015</v>
      </c>
      <c r="C893" s="911" t="s">
        <v>3556</v>
      </c>
      <c r="D893" s="1304">
        <v>46064.695405092592</v>
      </c>
      <c r="E893" s="834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4" t="e">
        <f>LEFT(base[[#This Row],[Evento / Mercado]],FIND("/",base[[#This Row],[Evento / Mercado]])-2)</f>
        <v>#VALUE!</v>
      </c>
      <c r="T893" s="1420">
        <f>base[[#This Row],[Data de liquidação]]</f>
        <v>46064.695405092592</v>
      </c>
    </row>
    <row r="894" spans="2:22" ht="15" customHeight="1">
      <c r="B894" s="741" t="s">
        <v>1014</v>
      </c>
      <c r="C894" s="911" t="s">
        <v>3556</v>
      </c>
      <c r="D894" s="1304">
        <v>46064.705914351849</v>
      </c>
      <c r="E894" s="834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4" t="e">
        <f>LEFT(base[[#This Row],[Evento / Mercado]],FIND("/",base[[#This Row],[Evento / Mercado]])-2)</f>
        <v>#VALUE!</v>
      </c>
      <c r="T894" s="1420">
        <f>base[[#This Row],[Data de liquidação]]</f>
        <v>46064.705914351849</v>
      </c>
    </row>
    <row r="895" spans="2:22" ht="15" customHeight="1">
      <c r="B895" s="741" t="s">
        <v>1005</v>
      </c>
      <c r="C895" s="911" t="s">
        <v>3556</v>
      </c>
      <c r="D895" s="1304">
        <v>46064.756666666668</v>
      </c>
      <c r="E895" s="834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4" t="e">
        <f>LEFT(base[[#This Row],[Evento / Mercado]],FIND("/",base[[#This Row],[Evento / Mercado]])-2)</f>
        <v>#VALUE!</v>
      </c>
      <c r="T895" s="1420">
        <f>base[[#This Row],[Data de liquidação]]</f>
        <v>46064.756666666668</v>
      </c>
    </row>
    <row r="896" spans="2:22" ht="15" customHeight="1">
      <c r="B896" s="741" t="s">
        <v>1013</v>
      </c>
      <c r="C896" s="911" t="s">
        <v>3556</v>
      </c>
      <c r="D896" s="1304">
        <v>46064.763923611114</v>
      </c>
      <c r="E896" s="834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4" t="e">
        <f>LEFT(base[[#This Row],[Evento / Mercado]],FIND("/",base[[#This Row],[Evento / Mercado]])-2)</f>
        <v>#VALUE!</v>
      </c>
      <c r="T896" s="142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741" t="s">
        <v>1013</v>
      </c>
      <c r="C897" s="911" t="s">
        <v>3556</v>
      </c>
      <c r="D897" s="1304">
        <v>46064.763923611114</v>
      </c>
      <c r="E897" s="834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4" t="e">
        <f>LEFT(base[[#This Row],[Evento / Mercado]],FIND("/",base[[#This Row],[Evento / Mercado]])-2)</f>
        <v>#VALUE!</v>
      </c>
      <c r="T897" s="142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741" t="s">
        <v>1012</v>
      </c>
      <c r="C898" s="911" t="s">
        <v>3556</v>
      </c>
      <c r="D898" s="1304">
        <v>46064.765405092592</v>
      </c>
      <c r="E898" s="834">
        <v>29.12</v>
      </c>
      <c r="F898" s="235">
        <v>4.4999999999999998E-2</v>
      </c>
      <c r="G898" s="242">
        <f t="shared" si="14"/>
        <v>30.492146596858642</v>
      </c>
      <c r="H898" s="239" t="s">
        <v>179</v>
      </c>
      <c r="I898" s="237" t="s">
        <v>392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1201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4" t="e">
        <f>LEFT(base[[#This Row],[Evento / Mercado]],FIND("/",base[[#This Row],[Evento / Mercado]])-2)</f>
        <v>#VALUE!</v>
      </c>
      <c r="T898" s="1420">
        <f>base[[#This Row],[Data de liquidação]]</f>
        <v>46064.765405092592</v>
      </c>
    </row>
    <row r="899" spans="2:22" ht="15" customHeight="1">
      <c r="B899" s="741" t="s">
        <v>1012</v>
      </c>
      <c r="C899" s="911" t="s">
        <v>3556</v>
      </c>
      <c r="D899" s="1304">
        <v>46064.765555555554</v>
      </c>
      <c r="E899" s="834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4" t="e">
        <f>LEFT(base[[#This Row],[Evento / Mercado]],FIND("/",base[[#This Row],[Evento / Mercado]])-2)</f>
        <v>#VALUE!</v>
      </c>
      <c r="T899" s="1420">
        <f>base[[#This Row],[Data de liquidação]]</f>
        <v>46064.765555555554</v>
      </c>
    </row>
    <row r="900" spans="2:22" ht="15" customHeight="1">
      <c r="B900" s="741" t="s">
        <v>1011</v>
      </c>
      <c r="C900" s="911" t="s">
        <v>3556</v>
      </c>
      <c r="D900" s="1304">
        <v>46064.767534722225</v>
      </c>
      <c r="E900" s="834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4" t="e">
        <f>LEFT(base[[#This Row],[Evento / Mercado]],FIND("/",base[[#This Row],[Evento / Mercado]])-2)</f>
        <v>#VALUE!</v>
      </c>
      <c r="T900" s="1420">
        <f>base[[#This Row],[Data de liquidação]]</f>
        <v>46064.767534722225</v>
      </c>
    </row>
    <row r="901" spans="2:22" ht="15" customHeight="1">
      <c r="B901" s="741" t="s">
        <v>1010</v>
      </c>
      <c r="C901" s="911" t="s">
        <v>3556</v>
      </c>
      <c r="D901" s="1304">
        <v>46064.767939814818</v>
      </c>
      <c r="E901" s="834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627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1201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4" t="e">
        <f>LEFT(base[[#This Row],[Evento / Mercado]],FIND("/",base[[#This Row],[Evento / Mercado]])-2)</f>
        <v>#VALUE!</v>
      </c>
      <c r="T901" s="1420">
        <f>base[[#This Row],[Data de liquidação]]</f>
        <v>46064.767939814818</v>
      </c>
    </row>
    <row r="902" spans="2:22" ht="15" customHeight="1">
      <c r="B902" s="741" t="s">
        <v>1010</v>
      </c>
      <c r="C902" s="911" t="s">
        <v>3556</v>
      </c>
      <c r="D902" s="1304">
        <v>46064.768101851849</v>
      </c>
      <c r="E902" s="834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4" t="e">
        <f>LEFT(base[[#This Row],[Evento / Mercado]],FIND("/",base[[#This Row],[Evento / Mercado]])-2)</f>
        <v>#VALUE!</v>
      </c>
      <c r="T902" s="1420">
        <f>base[[#This Row],[Data de liquidação]]</f>
        <v>46064.768101851849</v>
      </c>
    </row>
    <row r="903" spans="2:22" ht="15" customHeight="1">
      <c r="B903" s="741" t="s">
        <v>1009</v>
      </c>
      <c r="C903" s="911" t="s">
        <v>3556</v>
      </c>
      <c r="D903" s="1304">
        <v>46064.773784722223</v>
      </c>
      <c r="E903" s="834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4" t="e">
        <f>LEFT(base[[#This Row],[Evento / Mercado]],FIND("/",base[[#This Row],[Evento / Mercado]])-2)</f>
        <v>#VALUE!</v>
      </c>
      <c r="T903" s="1420">
        <f>base[[#This Row],[Data de liquidação]]</f>
        <v>46064.773784722223</v>
      </c>
    </row>
    <row r="904" spans="2:22" ht="15" customHeight="1">
      <c r="B904" s="741" t="s">
        <v>1008</v>
      </c>
      <c r="C904" s="911" t="s">
        <v>3556</v>
      </c>
      <c r="D904" s="1304">
        <v>46064.776435185187</v>
      </c>
      <c r="E904" s="834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4" t="e">
        <f>LEFT(base[[#This Row],[Evento / Mercado]],FIND("/",base[[#This Row],[Evento / Mercado]])-2)</f>
        <v>#VALUE!</v>
      </c>
      <c r="T904" s="142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741" t="s">
        <v>1008</v>
      </c>
      <c r="C905" s="911" t="s">
        <v>3556</v>
      </c>
      <c r="D905" s="1304">
        <v>46064.776435185187</v>
      </c>
      <c r="E905" s="834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4" t="e">
        <f>LEFT(base[[#This Row],[Evento / Mercado]],FIND("/",base[[#This Row],[Evento / Mercado]])-2)</f>
        <v>#VALUE!</v>
      </c>
      <c r="T905" s="142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741" t="s">
        <v>1007</v>
      </c>
      <c r="C906" s="911" t="s">
        <v>3556</v>
      </c>
      <c r="D906" s="1304">
        <v>46064.77679398148</v>
      </c>
      <c r="E906" s="834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4" t="e">
        <f>LEFT(base[[#This Row],[Evento / Mercado]],FIND("/",base[[#This Row],[Evento / Mercado]])-2)</f>
        <v>#VALUE!</v>
      </c>
      <c r="T906" s="1420">
        <f>base[[#This Row],[Data de liquidação]]</f>
        <v>46064.77679398148</v>
      </c>
    </row>
    <row r="907" spans="2:22" ht="15" customHeight="1">
      <c r="B907" s="741" t="s">
        <v>1006</v>
      </c>
      <c r="C907" s="911" t="s">
        <v>3556</v>
      </c>
      <c r="D907" s="1304">
        <v>46064.781875000001</v>
      </c>
      <c r="E907" s="834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4" t="e">
        <f>LEFT(base[[#This Row],[Evento / Mercado]],FIND("/",base[[#This Row],[Evento / Mercado]])-2)</f>
        <v>#VALUE!</v>
      </c>
      <c r="T907" s="1420">
        <f>base[[#This Row],[Data de liquidação]]</f>
        <v>46064.781875000001</v>
      </c>
    </row>
    <row r="908" spans="2:22" ht="15" customHeight="1">
      <c r="B908" s="741" t="s">
        <v>1005</v>
      </c>
      <c r="C908" s="911" t="s">
        <v>3556</v>
      </c>
      <c r="D908" s="1304">
        <v>46064.78974537037</v>
      </c>
      <c r="E908" s="834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4" t="e">
        <f>LEFT(base[[#This Row],[Evento / Mercado]],FIND("/",base[[#This Row],[Evento / Mercado]])-2)</f>
        <v>#VALUE!</v>
      </c>
      <c r="T908" s="1420">
        <f>base[[#This Row],[Data de liquidação]]</f>
        <v>46064.78974537037</v>
      </c>
    </row>
    <row r="909" spans="2:22" ht="15" customHeight="1">
      <c r="B909" s="741" t="s">
        <v>1005</v>
      </c>
      <c r="C909" s="911" t="s">
        <v>3556</v>
      </c>
      <c r="D909" s="1304">
        <v>46064.789780092593</v>
      </c>
      <c r="E909" s="834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392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1205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4" t="e">
        <f>LEFT(base[[#This Row],[Evento / Mercado]],FIND("/",base[[#This Row],[Evento / Mercado]])-2)</f>
        <v>#VALUE!</v>
      </c>
      <c r="T909" s="1420">
        <f>base[[#This Row],[Data de liquidação]]</f>
        <v>46064.789780092593</v>
      </c>
      <c r="V909" s="11">
        <f>-250+169</f>
        <v>-81</v>
      </c>
    </row>
    <row r="910" spans="2:22" ht="15" customHeight="1">
      <c r="B910" s="741" t="s">
        <v>1004</v>
      </c>
      <c r="C910" s="911" t="s">
        <v>3556</v>
      </c>
      <c r="D910" s="1304">
        <v>46064.791388888887</v>
      </c>
      <c r="E910" s="834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4" t="e">
        <f>LEFT(base[[#This Row],[Evento / Mercado]],FIND("/",base[[#This Row],[Evento / Mercado]])-2)</f>
        <v>#VALUE!</v>
      </c>
      <c r="T910" s="1420">
        <f>base[[#This Row],[Data de liquidação]]</f>
        <v>46064.791388888887</v>
      </c>
      <c r="V910" s="11"/>
    </row>
    <row r="911" spans="2:22" ht="15" customHeight="1">
      <c r="B911" s="741" t="s">
        <v>1003</v>
      </c>
      <c r="C911" s="911" t="s">
        <v>3556</v>
      </c>
      <c r="D911" s="1304">
        <v>46064.791527777779</v>
      </c>
      <c r="E911" s="834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4" t="e">
        <f>LEFT(base[[#This Row],[Evento / Mercado]],FIND("/",base[[#This Row],[Evento / Mercado]])-2)</f>
        <v>#VALUE!</v>
      </c>
      <c r="T911" s="142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741" t="s">
        <v>1003</v>
      </c>
      <c r="C912" s="911" t="s">
        <v>3556</v>
      </c>
      <c r="D912" s="1304">
        <v>46064.791527777779</v>
      </c>
      <c r="E912" s="834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4" t="e">
        <f>LEFT(base[[#This Row],[Evento / Mercado]],FIND("/",base[[#This Row],[Evento / Mercado]])-2)</f>
        <v>#VALUE!</v>
      </c>
      <c r="T912" s="142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741" t="s">
        <v>1002</v>
      </c>
      <c r="C913" s="911" t="s">
        <v>3556</v>
      </c>
      <c r="D913" s="1304">
        <v>46064.982523148145</v>
      </c>
      <c r="E913" s="834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4" t="e">
        <f>LEFT(base[[#This Row],[Evento / Mercado]],FIND("/",base[[#This Row],[Evento / Mercado]])-2)</f>
        <v>#VALUE!</v>
      </c>
      <c r="T913" s="1420">
        <f>base[[#This Row],[Data de liquidação]]</f>
        <v>46064.982523148145</v>
      </c>
      <c r="V913" s="11"/>
    </row>
    <row r="914" spans="2:22" ht="15" customHeight="1">
      <c r="B914" s="742" t="s">
        <v>1029</v>
      </c>
      <c r="C914" s="911" t="s">
        <v>3556</v>
      </c>
      <c r="D914" s="1305">
        <v>46065.67659722222</v>
      </c>
      <c r="E914" s="835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4" t="e">
        <f>LEFT(base[[#This Row],[Evento / Mercado]],FIND("/",base[[#This Row],[Evento / Mercado]])-2)</f>
        <v>#VALUE!</v>
      </c>
      <c r="T914" s="1420">
        <f>base[[#This Row],[Data de liquidação]]</f>
        <v>46065.67659722222</v>
      </c>
      <c r="V914" s="11"/>
    </row>
    <row r="915" spans="2:22" ht="15" customHeight="1">
      <c r="B915" s="742" t="s">
        <v>1028</v>
      </c>
      <c r="C915" s="911" t="s">
        <v>3556</v>
      </c>
      <c r="D915" s="1305">
        <v>46065.685474537036</v>
      </c>
      <c r="E915" s="835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627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1211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4" t="e">
        <f>LEFT(base[[#This Row],[Evento / Mercado]],FIND("/",base[[#This Row],[Evento / Mercado]])-2)</f>
        <v>#VALUE!</v>
      </c>
      <c r="T915" s="1420">
        <f>base[[#This Row],[Data de liquidação]]</f>
        <v>46065.685474537036</v>
      </c>
      <c r="V915" s="11"/>
    </row>
    <row r="916" spans="2:22" ht="15" customHeight="1">
      <c r="B916" s="742" t="s">
        <v>1028</v>
      </c>
      <c r="C916" s="911" t="s">
        <v>3556</v>
      </c>
      <c r="D916" s="1305">
        <v>46065.685578703706</v>
      </c>
      <c r="E916" s="835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4" t="e">
        <f>LEFT(base[[#This Row],[Evento / Mercado]],FIND("/",base[[#This Row],[Evento / Mercado]])-2)</f>
        <v>#VALUE!</v>
      </c>
      <c r="T916" s="1420">
        <f>base[[#This Row],[Data de liquidação]]</f>
        <v>46065.685578703706</v>
      </c>
      <c r="V916" s="11"/>
    </row>
    <row r="917" spans="2:22" ht="15" customHeight="1">
      <c r="B917" s="742" t="s">
        <v>1028</v>
      </c>
      <c r="C917" s="911" t="s">
        <v>3556</v>
      </c>
      <c r="D917" s="1305">
        <v>46065.685578703706</v>
      </c>
      <c r="E917" s="835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4" t="e">
        <f>LEFT(base[[#This Row],[Evento / Mercado]],FIND("/",base[[#This Row],[Evento / Mercado]])-2)</f>
        <v>#VALUE!</v>
      </c>
      <c r="T917" s="1420">
        <f>base[[#This Row],[Data de liquidação]]</f>
        <v>46065.685578703706</v>
      </c>
      <c r="V917" s="11"/>
    </row>
    <row r="918" spans="2:22" ht="15" customHeight="1">
      <c r="B918" s="742" t="s">
        <v>1027</v>
      </c>
      <c r="C918" s="911" t="s">
        <v>3556</v>
      </c>
      <c r="D918" s="1305">
        <v>46065.701192129629</v>
      </c>
      <c r="E918" s="835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4" t="e">
        <f>LEFT(base[[#This Row],[Evento / Mercado]],FIND("/",base[[#This Row],[Evento / Mercado]])-2)</f>
        <v>#VALUE!</v>
      </c>
      <c r="T918" s="1420">
        <f>base[[#This Row],[Data de liquidação]]</f>
        <v>46065.701192129629</v>
      </c>
      <c r="V918" s="11"/>
    </row>
    <row r="919" spans="2:22" ht="15" customHeight="1">
      <c r="B919" s="742" t="s">
        <v>1027</v>
      </c>
      <c r="C919" s="911" t="s">
        <v>3556</v>
      </c>
      <c r="D919" s="1305">
        <v>46065.738206018519</v>
      </c>
      <c r="E919" s="835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4" t="e">
        <f>LEFT(base[[#This Row],[Evento / Mercado]],FIND("/",base[[#This Row],[Evento / Mercado]])-2)</f>
        <v>#VALUE!</v>
      </c>
      <c r="T919" s="1420">
        <f>base[[#This Row],[Data de liquidação]]</f>
        <v>46065.738206018519</v>
      </c>
      <c r="V919" s="11"/>
    </row>
    <row r="920" spans="2:22" ht="15" customHeight="1">
      <c r="B920" s="742" t="s">
        <v>1026</v>
      </c>
      <c r="C920" s="911" t="s">
        <v>3556</v>
      </c>
      <c r="D920" s="1305">
        <v>46065.766087962962</v>
      </c>
      <c r="E920" s="835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4" t="e">
        <f>LEFT(base[[#This Row],[Evento / Mercado]],FIND("/",base[[#This Row],[Evento / Mercado]])-2)</f>
        <v>#VALUE!</v>
      </c>
      <c r="T920" s="1420">
        <f>base[[#This Row],[Data de liquidação]]</f>
        <v>46065.766087962962</v>
      </c>
      <c r="V920" s="11"/>
    </row>
    <row r="921" spans="2:22" ht="15" customHeight="1">
      <c r="B921" s="742" t="s">
        <v>1025</v>
      </c>
      <c r="C921" s="911" t="s">
        <v>3556</v>
      </c>
      <c r="D921" s="1305">
        <v>46065.771412037036</v>
      </c>
      <c r="E921" s="835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4" t="e">
        <f>LEFT(base[[#This Row],[Evento / Mercado]],FIND("/",base[[#This Row],[Evento / Mercado]])-2)</f>
        <v>#VALUE!</v>
      </c>
      <c r="T921" s="1420">
        <f>base[[#This Row],[Data de liquidação]]</f>
        <v>46065.771412037036</v>
      </c>
      <c r="V921" s="11"/>
    </row>
    <row r="922" spans="2:22" ht="15" customHeight="1">
      <c r="B922" s="742" t="s">
        <v>1024</v>
      </c>
      <c r="C922" s="911" t="s">
        <v>3556</v>
      </c>
      <c r="D922" s="1305">
        <v>46066.620532407411</v>
      </c>
      <c r="E922" s="835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4" t="e">
        <f>LEFT(base[[#This Row],[Evento / Mercado]],FIND("/",base[[#This Row],[Evento / Mercado]])-2)</f>
        <v>#VALUE!</v>
      </c>
      <c r="T922" s="1420">
        <f>base[[#This Row],[Data de liquidação]]</f>
        <v>46066.620532407411</v>
      </c>
      <c r="V922" s="11"/>
    </row>
    <row r="923" spans="2:22" ht="15" customHeight="1">
      <c r="B923" s="742" t="s">
        <v>1023</v>
      </c>
      <c r="C923" s="911" t="s">
        <v>3556</v>
      </c>
      <c r="D923" s="1305">
        <v>46066.633206018516</v>
      </c>
      <c r="E923" s="835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4" t="e">
        <f>LEFT(base[[#This Row],[Evento / Mercado]],FIND("/",base[[#This Row],[Evento / Mercado]])-2)</f>
        <v>#VALUE!</v>
      </c>
      <c r="T923" s="1420">
        <f>base[[#This Row],[Data de liquidação]]</f>
        <v>46066.633206018516</v>
      </c>
      <c r="V923" s="11"/>
    </row>
    <row r="924" spans="2:22" ht="15" customHeight="1">
      <c r="B924" s="742" t="s">
        <v>1114</v>
      </c>
      <c r="C924" s="911" t="s">
        <v>3556</v>
      </c>
      <c r="D924" s="1305">
        <v>46066.666319444441</v>
      </c>
      <c r="E924" s="835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4" t="e">
        <f>LEFT(base[[#This Row],[Evento / Mercado]],FIND("/",base[[#This Row],[Evento / Mercado]])-2)</f>
        <v>#VALUE!</v>
      </c>
      <c r="T924" s="1420">
        <f>base[[#This Row],[Data de liquidação]]</f>
        <v>46066.666319444441</v>
      </c>
      <c r="V924" s="11"/>
    </row>
    <row r="925" spans="2:22" ht="15" customHeight="1">
      <c r="B925" s="742" t="s">
        <v>1113</v>
      </c>
      <c r="C925" s="911" t="s">
        <v>3556</v>
      </c>
      <c r="D925" s="1305">
        <v>46066.682581018518</v>
      </c>
      <c r="E925" s="835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4" t="e">
        <f>LEFT(base[[#This Row],[Evento / Mercado]],FIND("/",base[[#This Row],[Evento / Mercado]])-2)</f>
        <v>#VALUE!</v>
      </c>
      <c r="T925" s="1420">
        <f>base[[#This Row],[Data de liquidação]]</f>
        <v>46066.682581018518</v>
      </c>
      <c r="V925" s="11"/>
    </row>
    <row r="926" spans="2:22" ht="15" customHeight="1">
      <c r="B926" s="742" t="s">
        <v>1023</v>
      </c>
      <c r="C926" s="911" t="s">
        <v>3556</v>
      </c>
      <c r="D926" s="1305">
        <v>46066.682789351849</v>
      </c>
      <c r="E926" s="835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4" t="e">
        <f>LEFT(base[[#This Row],[Evento / Mercado]],FIND("/",base[[#This Row],[Evento / Mercado]])-2)</f>
        <v>#VALUE!</v>
      </c>
      <c r="T926" s="1420">
        <f>base[[#This Row],[Data de liquidação]]</f>
        <v>46066.682789351849</v>
      </c>
      <c r="V926" s="11"/>
    </row>
    <row r="927" spans="2:22" ht="15" customHeight="1">
      <c r="B927" s="742" t="s">
        <v>1112</v>
      </c>
      <c r="C927" s="911" t="s">
        <v>3556</v>
      </c>
      <c r="D927" s="1305">
        <v>46066.699108796296</v>
      </c>
      <c r="E927" s="835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4" t="e">
        <f>LEFT(base[[#This Row],[Evento / Mercado]],FIND("/",base[[#This Row],[Evento / Mercado]])-2)</f>
        <v>#VALUE!</v>
      </c>
      <c r="T927" s="1420">
        <f>base[[#This Row],[Data de liquidação]]</f>
        <v>46066.699108796296</v>
      </c>
      <c r="V927" s="11"/>
    </row>
    <row r="928" spans="2:22" ht="15" customHeight="1">
      <c r="B928" s="742" t="s">
        <v>1111</v>
      </c>
      <c r="C928" s="911" t="s">
        <v>3556</v>
      </c>
      <c r="D928" s="1305">
        <v>46066.704398148147</v>
      </c>
      <c r="E928" s="835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4" t="e">
        <f>LEFT(base[[#This Row],[Evento / Mercado]],FIND("/",base[[#This Row],[Evento / Mercado]])-2)</f>
        <v>#VALUE!</v>
      </c>
      <c r="T928" s="142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742" t="s">
        <v>1111</v>
      </c>
      <c r="C929" s="911" t="s">
        <v>3556</v>
      </c>
      <c r="D929" s="1305">
        <v>46066.704398148147</v>
      </c>
      <c r="E929" s="835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4" t="e">
        <f>LEFT(base[[#This Row],[Evento / Mercado]],FIND("/",base[[#This Row],[Evento / Mercado]])-2)</f>
        <v>#VALUE!</v>
      </c>
      <c r="T929" s="142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742" t="s">
        <v>1110</v>
      </c>
      <c r="C930" s="911" t="s">
        <v>3556</v>
      </c>
      <c r="D930" s="1305">
        <v>46066.74690972222</v>
      </c>
      <c r="E930" s="835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4" t="e">
        <f>LEFT(base[[#This Row],[Evento / Mercado]],FIND("/",base[[#This Row],[Evento / Mercado]])-2)</f>
        <v>#VALUE!</v>
      </c>
      <c r="T930" s="1420">
        <f>base[[#This Row],[Data de liquidação]]</f>
        <v>46066.74690972222</v>
      </c>
      <c r="V930" s="11"/>
    </row>
    <row r="931" spans="2:22" ht="15" customHeight="1">
      <c r="B931" s="742" t="s">
        <v>1109</v>
      </c>
      <c r="C931" s="911" t="s">
        <v>3556</v>
      </c>
      <c r="D931" s="1305">
        <v>46066.766759259262</v>
      </c>
      <c r="E931" s="835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4" t="e">
        <f>LEFT(base[[#This Row],[Evento / Mercado]],FIND("/",base[[#This Row],[Evento / Mercado]])-2)</f>
        <v>#VALUE!</v>
      </c>
      <c r="T931" s="142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742" t="s">
        <v>1109</v>
      </c>
      <c r="C932" s="911" t="s">
        <v>3556</v>
      </c>
      <c r="D932" s="1305">
        <v>46066.766759259262</v>
      </c>
      <c r="E932" s="835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627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1200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4" t="e">
        <f>LEFT(base[[#This Row],[Evento / Mercado]],FIND("/",base[[#This Row],[Evento / Mercado]])-2)</f>
        <v>#VALUE!</v>
      </c>
      <c r="T932" s="142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742" t="s">
        <v>1109</v>
      </c>
      <c r="C933" s="911" t="s">
        <v>3556</v>
      </c>
      <c r="D933" s="1305">
        <v>46066.766886574071</v>
      </c>
      <c r="E933" s="835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4" t="e">
        <f>LEFT(base[[#This Row],[Evento / Mercado]],FIND("/",base[[#This Row],[Evento / Mercado]])-2)</f>
        <v>#VALUE!</v>
      </c>
      <c r="T933" s="1420">
        <f>base[[#This Row],[Data de liquidação]]</f>
        <v>46066.766886574071</v>
      </c>
      <c r="V933" s="11"/>
    </row>
    <row r="934" spans="2:22" ht="15" customHeight="1">
      <c r="B934" s="742" t="s">
        <v>1108</v>
      </c>
      <c r="C934" s="911" t="s">
        <v>3556</v>
      </c>
      <c r="D934" s="1305">
        <v>46066.768703703703</v>
      </c>
      <c r="E934" s="835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627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1215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4" t="e">
        <f>LEFT(base[[#This Row],[Evento / Mercado]],FIND("/",base[[#This Row],[Evento / Mercado]])-2)</f>
        <v>#VALUE!</v>
      </c>
      <c r="T934" s="142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742" t="s">
        <v>1108</v>
      </c>
      <c r="C935" s="911" t="s">
        <v>3556</v>
      </c>
      <c r="D935" s="1305">
        <v>46066.768703703703</v>
      </c>
      <c r="E935" s="835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4" t="e">
        <f>LEFT(base[[#This Row],[Evento / Mercado]],FIND("/",base[[#This Row],[Evento / Mercado]])-2)</f>
        <v>#VALUE!</v>
      </c>
      <c r="T935" s="142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742" t="s">
        <v>1107</v>
      </c>
      <c r="C936" s="911" t="s">
        <v>3556</v>
      </c>
      <c r="D936" s="1305">
        <v>46066.775347222225</v>
      </c>
      <c r="E936" s="835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4" t="e">
        <f>LEFT(base[[#This Row],[Evento / Mercado]],FIND("/",base[[#This Row],[Evento / Mercado]])-2)</f>
        <v>#VALUE!</v>
      </c>
      <c r="T936" s="1420">
        <f>base[[#This Row],[Data de liquidação]]</f>
        <v>46066.775347222225</v>
      </c>
      <c r="V936" s="11"/>
    </row>
    <row r="937" spans="2:22" ht="15" customHeight="1">
      <c r="B937" s="742" t="s">
        <v>1106</v>
      </c>
      <c r="C937" s="911" t="s">
        <v>3556</v>
      </c>
      <c r="D937" s="1305">
        <v>46066.782037037039</v>
      </c>
      <c r="E937" s="835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4" t="e">
        <f>LEFT(base[[#This Row],[Evento / Mercado]],FIND("/",base[[#This Row],[Evento / Mercado]])-2)</f>
        <v>#VALUE!</v>
      </c>
      <c r="T937" s="1420">
        <f>base[[#This Row],[Data de liquidação]]</f>
        <v>46066.782037037039</v>
      </c>
      <c r="V937" s="11"/>
    </row>
    <row r="938" spans="2:22" ht="15" customHeight="1">
      <c r="B938" s="742" t="s">
        <v>1105</v>
      </c>
      <c r="C938" s="911" t="s">
        <v>3556</v>
      </c>
      <c r="D938" s="1305">
        <v>46066.786979166667</v>
      </c>
      <c r="E938" s="835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4" t="e">
        <f>LEFT(base[[#This Row],[Evento / Mercado]],FIND("/",base[[#This Row],[Evento / Mercado]])-2)</f>
        <v>#VALUE!</v>
      </c>
      <c r="T938" s="1420">
        <f>base[[#This Row],[Data de liquidação]]</f>
        <v>46066.786979166667</v>
      </c>
      <c r="V938" s="11"/>
    </row>
    <row r="939" spans="2:22" ht="15" customHeight="1">
      <c r="B939" s="742" t="s">
        <v>1104</v>
      </c>
      <c r="C939" s="911" t="s">
        <v>3556</v>
      </c>
      <c r="D939" s="1305">
        <v>46066.793530092589</v>
      </c>
      <c r="E939" s="835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4" t="e">
        <f>LEFT(base[[#This Row],[Evento / Mercado]],FIND("/",base[[#This Row],[Evento / Mercado]])-2)</f>
        <v>#VALUE!</v>
      </c>
      <c r="T939" s="1420">
        <f>base[[#This Row],[Data de liquidação]]</f>
        <v>46066.793530092589</v>
      </c>
      <c r="V939" s="11"/>
    </row>
    <row r="940" spans="2:22" ht="15" customHeight="1">
      <c r="B940" s="742" t="s">
        <v>1103</v>
      </c>
      <c r="C940" s="911" t="s">
        <v>3556</v>
      </c>
      <c r="D940" s="1305">
        <v>46067.42696759259</v>
      </c>
      <c r="E940" s="835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4" t="e">
        <f>LEFT(base[[#This Row],[Evento / Mercado]],FIND("/",base[[#This Row],[Evento / Mercado]])-2)</f>
        <v>#VALUE!</v>
      </c>
      <c r="T940" s="1420">
        <f>base[[#This Row],[Data de liquidação]]</f>
        <v>46067.42696759259</v>
      </c>
      <c r="V940" s="11"/>
    </row>
    <row r="941" spans="2:22" ht="15" customHeight="1">
      <c r="B941" s="742" t="s">
        <v>1102</v>
      </c>
      <c r="C941" s="911" t="s">
        <v>3556</v>
      </c>
      <c r="D941" s="1305">
        <v>46067.455370370371</v>
      </c>
      <c r="E941" s="835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627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1212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4" t="e">
        <f>LEFT(base[[#This Row],[Evento / Mercado]],FIND("/",base[[#This Row],[Evento / Mercado]])-2)</f>
        <v>#VALUE!</v>
      </c>
      <c r="T941" s="1420">
        <f>base[[#This Row],[Data de liquidação]]</f>
        <v>46067.455370370371</v>
      </c>
      <c r="V941" s="11"/>
    </row>
    <row r="942" spans="2:22" ht="15" customHeight="1">
      <c r="B942" s="742" t="s">
        <v>1101</v>
      </c>
      <c r="C942" s="911" t="s">
        <v>3556</v>
      </c>
      <c r="D942" s="1305">
        <v>46067.462106481478</v>
      </c>
      <c r="E942" s="835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4" t="e">
        <f>LEFT(base[[#This Row],[Evento / Mercado]],FIND("/",base[[#This Row],[Evento / Mercado]])-2)</f>
        <v>#VALUE!</v>
      </c>
      <c r="T942" s="1420">
        <f>base[[#This Row],[Data de liquidação]]</f>
        <v>46067.462106481478</v>
      </c>
      <c r="V942" s="11"/>
    </row>
    <row r="943" spans="2:22" ht="15" customHeight="1">
      <c r="B943" s="742" t="s">
        <v>1100</v>
      </c>
      <c r="C943" s="911" t="s">
        <v>3556</v>
      </c>
      <c r="D943" s="1305">
        <v>46067.470706018517</v>
      </c>
      <c r="E943" s="835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4" t="e">
        <f>LEFT(base[[#This Row],[Evento / Mercado]],FIND("/",base[[#This Row],[Evento / Mercado]])-2)</f>
        <v>#VALUE!</v>
      </c>
      <c r="T943" s="1420">
        <f>base[[#This Row],[Data de liquidação]]</f>
        <v>46067.470706018517</v>
      </c>
      <c r="V943" s="11"/>
    </row>
    <row r="944" spans="2:22" ht="15" customHeight="1">
      <c r="B944" s="742" t="s">
        <v>1099</v>
      </c>
      <c r="C944" s="911" t="s">
        <v>3556</v>
      </c>
      <c r="D944" s="1305">
        <v>46067.525543981479</v>
      </c>
      <c r="E944" s="835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4" t="e">
        <f>LEFT(base[[#This Row],[Evento / Mercado]],FIND("/",base[[#This Row],[Evento / Mercado]])-2)</f>
        <v>#VALUE!</v>
      </c>
      <c r="T944" s="1420">
        <f>base[[#This Row],[Data de liquidação]]</f>
        <v>46067.525543981479</v>
      </c>
      <c r="V944" s="11"/>
    </row>
    <row r="945" spans="2:22" ht="15" customHeight="1">
      <c r="B945" s="742" t="s">
        <v>1098</v>
      </c>
      <c r="C945" s="911" t="s">
        <v>3556</v>
      </c>
      <c r="D945" s="1305">
        <v>46067.556643518517</v>
      </c>
      <c r="E945" s="835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627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1200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4" t="e">
        <f>LEFT(base[[#This Row],[Evento / Mercado]],FIND("/",base[[#This Row],[Evento / Mercado]])-2)</f>
        <v>#VALUE!</v>
      </c>
      <c r="T945" s="1420">
        <f>base[[#This Row],[Data de liquidação]]</f>
        <v>46067.556643518517</v>
      </c>
      <c r="V945" s="11"/>
    </row>
    <row r="946" spans="2:22" ht="15" customHeight="1">
      <c r="B946" s="742" t="s">
        <v>1098</v>
      </c>
      <c r="C946" s="911" t="s">
        <v>3556</v>
      </c>
      <c r="D946" s="1305">
        <v>46067.557025462964</v>
      </c>
      <c r="E946" s="835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392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1200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4" t="e">
        <f>LEFT(base[[#This Row],[Evento / Mercado]],FIND("/",base[[#This Row],[Evento / Mercado]])-2)</f>
        <v>#VALUE!</v>
      </c>
      <c r="T946" s="1420">
        <f>base[[#This Row],[Data de liquidação]]</f>
        <v>46067.557025462964</v>
      </c>
      <c r="V946" s="11"/>
    </row>
    <row r="947" spans="2:22" ht="15" customHeight="1">
      <c r="B947" s="742" t="s">
        <v>1097</v>
      </c>
      <c r="C947" s="911" t="s">
        <v>3556</v>
      </c>
      <c r="D947" s="1305">
        <v>46067.55982638889</v>
      </c>
      <c r="E947" s="835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4" t="e">
        <f>LEFT(base[[#This Row],[Evento / Mercado]],FIND("/",base[[#This Row],[Evento / Mercado]])-2)</f>
        <v>#VALUE!</v>
      </c>
      <c r="T947" s="1420">
        <f>base[[#This Row],[Data de liquidação]]</f>
        <v>46067.55982638889</v>
      </c>
      <c r="V947" s="11"/>
    </row>
    <row r="948" spans="2:22" ht="15" customHeight="1">
      <c r="B948" s="742" t="s">
        <v>1097</v>
      </c>
      <c r="C948" s="911" t="s">
        <v>3556</v>
      </c>
      <c r="D948" s="1305">
        <v>46067.561076388891</v>
      </c>
      <c r="E948" s="835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627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1200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4" t="e">
        <f>LEFT(base[[#This Row],[Evento / Mercado]],FIND("/",base[[#This Row],[Evento / Mercado]])-2)</f>
        <v>#VALUE!</v>
      </c>
      <c r="T948" s="1420">
        <f>base[[#This Row],[Data de liquidação]]</f>
        <v>46067.561076388891</v>
      </c>
      <c r="V948" s="11"/>
    </row>
    <row r="949" spans="2:22" ht="15" customHeight="1">
      <c r="B949" s="742" t="s">
        <v>1096</v>
      </c>
      <c r="C949" s="911" t="s">
        <v>3556</v>
      </c>
      <c r="D949" s="1305">
        <v>46067.561516203707</v>
      </c>
      <c r="E949" s="835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693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1200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4" t="e">
        <f>LEFT(base[[#This Row],[Evento / Mercado]],FIND("/",base[[#This Row],[Evento / Mercado]])-2)</f>
        <v>#VALUE!</v>
      </c>
      <c r="T949" s="1420">
        <f>base[[#This Row],[Data de liquidação]]</f>
        <v>46067.561516203707</v>
      </c>
      <c r="V949" s="11"/>
    </row>
    <row r="950" spans="2:22" ht="15" customHeight="1">
      <c r="B950" s="742" t="s">
        <v>1096</v>
      </c>
      <c r="C950" s="911" t="s">
        <v>3556</v>
      </c>
      <c r="D950" s="1305">
        <v>46067.561597222222</v>
      </c>
      <c r="E950" s="835">
        <v>23.88</v>
      </c>
      <c r="F950" s="235">
        <v>4.4999999999999998E-2</v>
      </c>
      <c r="G950" s="246">
        <f t="shared" si="15"/>
        <v>25.005235602094242</v>
      </c>
      <c r="H950" s="246" t="s">
        <v>179</v>
      </c>
      <c r="I950" s="244" t="s">
        <v>391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1200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4" t="e">
        <f>LEFT(base[[#This Row],[Evento / Mercado]],FIND("/",base[[#This Row],[Evento / Mercado]])-2)</f>
        <v>#VALUE!</v>
      </c>
      <c r="T950" s="1420">
        <f>base[[#This Row],[Data de liquidação]]</f>
        <v>46067.561597222222</v>
      </c>
      <c r="V950" s="11"/>
    </row>
    <row r="951" spans="2:22" ht="15" customHeight="1">
      <c r="B951" s="742" t="s">
        <v>1095</v>
      </c>
      <c r="C951" s="911" t="s">
        <v>3556</v>
      </c>
      <c r="D951" s="1305">
        <v>46067.605451388888</v>
      </c>
      <c r="E951" s="835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4" t="e">
        <f>LEFT(base[[#This Row],[Evento / Mercado]],FIND("/",base[[#This Row],[Evento / Mercado]])-2)</f>
        <v>#VALUE!</v>
      </c>
      <c r="T951" s="1420">
        <f>base[[#This Row],[Data de liquidação]]</f>
        <v>46067.605451388888</v>
      </c>
      <c r="V951" s="11"/>
    </row>
    <row r="952" spans="2:22" ht="15" customHeight="1">
      <c r="B952" s="742" t="s">
        <v>1094</v>
      </c>
      <c r="C952" s="911" t="s">
        <v>3556</v>
      </c>
      <c r="D952" s="1305">
        <v>46067.68986111111</v>
      </c>
      <c r="E952" s="835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4" t="e">
        <f>LEFT(base[[#This Row],[Evento / Mercado]],FIND("/",base[[#This Row],[Evento / Mercado]])-2)</f>
        <v>#VALUE!</v>
      </c>
      <c r="T952" s="1420">
        <f>base[[#This Row],[Data de liquidação]]</f>
        <v>46067.68986111111</v>
      </c>
      <c r="V952" s="11"/>
    </row>
    <row r="953" spans="2:22" ht="15" customHeight="1">
      <c r="B953" s="742" t="s">
        <v>1093</v>
      </c>
      <c r="C953" s="911" t="s">
        <v>3556</v>
      </c>
      <c r="D953" s="1305">
        <v>46067.725381944445</v>
      </c>
      <c r="E953" s="835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4" t="e">
        <f>LEFT(base[[#This Row],[Evento / Mercado]],FIND("/",base[[#This Row],[Evento / Mercado]])-2)</f>
        <v>#VALUE!</v>
      </c>
      <c r="T953" s="1420">
        <f>base[[#This Row],[Data de liquidação]]</f>
        <v>46067.725381944445</v>
      </c>
      <c r="V953" s="11"/>
    </row>
    <row r="954" spans="2:22" ht="15" customHeight="1">
      <c r="B954" s="742" t="s">
        <v>1092</v>
      </c>
      <c r="C954" s="911" t="s">
        <v>3556</v>
      </c>
      <c r="D954" s="1305">
        <v>46067.742256944446</v>
      </c>
      <c r="E954" s="835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4" t="e">
        <f>LEFT(base[[#This Row],[Evento / Mercado]],FIND("/",base[[#This Row],[Evento / Mercado]])-2)</f>
        <v>#VALUE!</v>
      </c>
      <c r="T954" s="1420">
        <f>base[[#This Row],[Data de liquidação]]</f>
        <v>46067.742256944446</v>
      </c>
      <c r="V954" s="11"/>
    </row>
    <row r="955" spans="2:22" ht="15" customHeight="1">
      <c r="B955" s="742" t="s">
        <v>1088</v>
      </c>
      <c r="C955" s="911" t="s">
        <v>3556</v>
      </c>
      <c r="D955" s="1305">
        <v>46068.461122685185</v>
      </c>
      <c r="E955" s="835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4" t="e">
        <f>LEFT(base[[#This Row],[Evento / Mercado]],FIND("/",base[[#This Row],[Evento / Mercado]])-2)</f>
        <v>#VALUE!</v>
      </c>
      <c r="T955" s="1420">
        <f>base[[#This Row],[Data de liquidação]]</f>
        <v>46068.461122685185</v>
      </c>
      <c r="V955" s="11"/>
    </row>
    <row r="956" spans="2:22" ht="15" customHeight="1">
      <c r="B956" s="742" t="s">
        <v>1091</v>
      </c>
      <c r="C956" s="911" t="s">
        <v>3556</v>
      </c>
      <c r="D956" s="1305">
        <v>46068.47693287037</v>
      </c>
      <c r="E956" s="835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4" t="e">
        <f>LEFT(base[[#This Row],[Evento / Mercado]],FIND("/",base[[#This Row],[Evento / Mercado]])-2)</f>
        <v>#VALUE!</v>
      </c>
      <c r="T956" s="1420">
        <f>base[[#This Row],[Data de liquidação]]</f>
        <v>46068.47693287037</v>
      </c>
      <c r="V956" s="11"/>
    </row>
    <row r="957" spans="2:22" ht="15" customHeight="1">
      <c r="B957" s="742" t="s">
        <v>1090</v>
      </c>
      <c r="C957" s="911" t="s">
        <v>3556</v>
      </c>
      <c r="D957" s="1305">
        <v>46068.47855324074</v>
      </c>
      <c r="E957" s="835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627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1213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4" t="e">
        <f>LEFT(base[[#This Row],[Evento / Mercado]],FIND("/",base[[#This Row],[Evento / Mercado]])-2)</f>
        <v>#VALUE!</v>
      </c>
      <c r="T957" s="1420">
        <f>base[[#This Row],[Data de liquidação]]</f>
        <v>46068.47855324074</v>
      </c>
      <c r="V957" s="11"/>
    </row>
    <row r="958" spans="2:22" ht="15" customHeight="1">
      <c r="B958" s="742" t="s">
        <v>1089</v>
      </c>
      <c r="C958" s="911" t="s">
        <v>3556</v>
      </c>
      <c r="D958" s="1305">
        <v>46068.515925925924</v>
      </c>
      <c r="E958" s="835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4" t="e">
        <f>LEFT(base[[#This Row],[Evento / Mercado]],FIND("/",base[[#This Row],[Evento / Mercado]])-2)</f>
        <v>#VALUE!</v>
      </c>
      <c r="T958" s="1420">
        <f>base[[#This Row],[Data de liquidação]]</f>
        <v>46068.515925925924</v>
      </c>
      <c r="V958" s="11"/>
    </row>
    <row r="959" spans="2:22" ht="15" customHeight="1">
      <c r="B959" s="742" t="s">
        <v>1088</v>
      </c>
      <c r="C959" s="911" t="s">
        <v>3556</v>
      </c>
      <c r="D959" s="1305">
        <v>46068.517476851855</v>
      </c>
      <c r="E959" s="835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4" t="e">
        <f>LEFT(base[[#This Row],[Evento / Mercado]],FIND("/",base[[#This Row],[Evento / Mercado]])-2)</f>
        <v>#VALUE!</v>
      </c>
      <c r="T959" s="1420">
        <f>base[[#This Row],[Data de liquidação]]</f>
        <v>46068.517476851855</v>
      </c>
      <c r="V959" s="11"/>
    </row>
    <row r="960" spans="2:22" ht="15" customHeight="1">
      <c r="B960" s="742" t="s">
        <v>1087</v>
      </c>
      <c r="C960" s="911" t="s">
        <v>3556</v>
      </c>
      <c r="D960" s="1305">
        <v>46068.52716435185</v>
      </c>
      <c r="E960" s="835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4" t="e">
        <f>LEFT(base[[#This Row],[Evento / Mercado]],FIND("/",base[[#This Row],[Evento / Mercado]])-2)</f>
        <v>#VALUE!</v>
      </c>
      <c r="T960" s="1420">
        <f>base[[#This Row],[Data de liquidação]]</f>
        <v>46068.52716435185</v>
      </c>
      <c r="V960" s="11"/>
    </row>
    <row r="961" spans="2:22" ht="15" customHeight="1">
      <c r="B961" s="742" t="s">
        <v>1086</v>
      </c>
      <c r="C961" s="911" t="s">
        <v>3556</v>
      </c>
      <c r="D961" s="1305">
        <v>46068.535532407404</v>
      </c>
      <c r="E961" s="835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4" t="e">
        <f>LEFT(base[[#This Row],[Evento / Mercado]],FIND("/",base[[#This Row],[Evento / Mercado]])-2)</f>
        <v>#VALUE!</v>
      </c>
      <c r="T961" s="1420">
        <f>base[[#This Row],[Data de liquidação]]</f>
        <v>46068.535532407404</v>
      </c>
      <c r="V961" s="11"/>
    </row>
    <row r="962" spans="2:22" ht="15" customHeight="1">
      <c r="B962" s="742" t="s">
        <v>1085</v>
      </c>
      <c r="C962" s="911" t="s">
        <v>3556</v>
      </c>
      <c r="D962" s="1305">
        <v>46068.538657407407</v>
      </c>
      <c r="E962" s="835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4" t="e">
        <f>LEFT(base[[#This Row],[Evento / Mercado]],FIND("/",base[[#This Row],[Evento / Mercado]])-2)</f>
        <v>#VALUE!</v>
      </c>
      <c r="T962" s="1420">
        <f>base[[#This Row],[Data de liquidação]]</f>
        <v>46068.538657407407</v>
      </c>
      <c r="V962" s="11"/>
    </row>
    <row r="963" spans="2:22" ht="15" customHeight="1">
      <c r="B963" s="742" t="s">
        <v>1084</v>
      </c>
      <c r="C963" s="911" t="s">
        <v>3556</v>
      </c>
      <c r="D963" s="1305">
        <v>46068.542048611111</v>
      </c>
      <c r="E963" s="835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4" t="e">
        <f>LEFT(base[[#This Row],[Evento / Mercado]],FIND("/",base[[#This Row],[Evento / Mercado]])-2)</f>
        <v>#VALUE!</v>
      </c>
      <c r="T963" s="1420">
        <f>base[[#This Row],[Data de liquidação]]</f>
        <v>46068.542048611111</v>
      </c>
      <c r="V963" s="11"/>
    </row>
    <row r="964" spans="2:22" ht="15" customHeight="1">
      <c r="B964" s="742" t="s">
        <v>1083</v>
      </c>
      <c r="C964" s="911" t="s">
        <v>3556</v>
      </c>
      <c r="D964" s="1305">
        <v>46068.556493055556</v>
      </c>
      <c r="E964" s="835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4" t="e">
        <f>LEFT(base[[#This Row],[Evento / Mercado]],FIND("/",base[[#This Row],[Evento / Mercado]])-2)</f>
        <v>#VALUE!</v>
      </c>
      <c r="T964" s="142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742" t="s">
        <v>1083</v>
      </c>
      <c r="C965" s="911" t="s">
        <v>3556</v>
      </c>
      <c r="D965" s="1305">
        <v>46068.556493055556</v>
      </c>
      <c r="E965" s="835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4" t="e">
        <f>LEFT(base[[#This Row],[Evento / Mercado]],FIND("/",base[[#This Row],[Evento / Mercado]])-2)</f>
        <v>#VALUE!</v>
      </c>
      <c r="T965" s="142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742" t="s">
        <v>1082</v>
      </c>
      <c r="C966" s="911" t="s">
        <v>3556</v>
      </c>
      <c r="D966" s="1305">
        <v>46068.598807870374</v>
      </c>
      <c r="E966" s="835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4" t="e">
        <f>LEFT(base[[#This Row],[Evento / Mercado]],FIND("/",base[[#This Row],[Evento / Mercado]])-2)</f>
        <v>#VALUE!</v>
      </c>
      <c r="T966" s="1420">
        <f>base[[#This Row],[Data de liquidação]]</f>
        <v>46068.598807870374</v>
      </c>
      <c r="V966" s="11"/>
    </row>
    <row r="967" spans="2:22" ht="15" customHeight="1">
      <c r="B967" s="742" t="s">
        <v>1081</v>
      </c>
      <c r="C967" s="911" t="s">
        <v>3556</v>
      </c>
      <c r="D967" s="1305">
        <v>46068.60560185185</v>
      </c>
      <c r="E967" s="835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4" t="e">
        <f>LEFT(base[[#This Row],[Evento / Mercado]],FIND("/",base[[#This Row],[Evento / Mercado]])-2)</f>
        <v>#VALUE!</v>
      </c>
      <c r="T967" s="1420">
        <f>base[[#This Row],[Data de liquidação]]</f>
        <v>46068.60560185185</v>
      </c>
      <c r="V967" s="11"/>
    </row>
    <row r="968" spans="2:22" ht="15" customHeight="1">
      <c r="B968" s="742" t="s">
        <v>1080</v>
      </c>
      <c r="C968" s="911" t="s">
        <v>3556</v>
      </c>
      <c r="D968" s="1305">
        <v>46068.641273148147</v>
      </c>
      <c r="E968" s="835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4" t="e">
        <f>LEFT(base[[#This Row],[Evento / Mercado]],FIND("/",base[[#This Row],[Evento / Mercado]])-2)</f>
        <v>#VALUE!</v>
      </c>
      <c r="T968" s="142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742" t="s">
        <v>1080</v>
      </c>
      <c r="C969" s="911" t="s">
        <v>3556</v>
      </c>
      <c r="D969" s="1305">
        <v>46068.641273148147</v>
      </c>
      <c r="E969" s="835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4" t="e">
        <f>LEFT(base[[#This Row],[Evento / Mercado]],FIND("/",base[[#This Row],[Evento / Mercado]])-2)</f>
        <v>#VALUE!</v>
      </c>
      <c r="T969" s="142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742" t="s">
        <v>1079</v>
      </c>
      <c r="C970" s="911" t="s">
        <v>3556</v>
      </c>
      <c r="D970" s="1305">
        <v>46068.643900462965</v>
      </c>
      <c r="E970" s="835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4" t="e">
        <f>LEFT(base[[#This Row],[Evento / Mercado]],FIND("/",base[[#This Row],[Evento / Mercado]])-2)</f>
        <v>#VALUE!</v>
      </c>
      <c r="T970" s="1420">
        <f>base[[#This Row],[Data de liquidação]]</f>
        <v>46068.643900462965</v>
      </c>
      <c r="V970" s="11"/>
    </row>
    <row r="971" spans="2:22" ht="15" customHeight="1">
      <c r="B971" s="742" t="s">
        <v>1079</v>
      </c>
      <c r="C971" s="911" t="s">
        <v>3556</v>
      </c>
      <c r="D971" s="1305">
        <v>46068.64398148148</v>
      </c>
      <c r="E971" s="835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392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1200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4" t="e">
        <f>LEFT(base[[#This Row],[Evento / Mercado]],FIND("/",base[[#This Row],[Evento / Mercado]])-2)</f>
        <v>#VALUE!</v>
      </c>
      <c r="T971" s="1420">
        <f>base[[#This Row],[Data de liquidação]]</f>
        <v>46068.64398148148</v>
      </c>
      <c r="V971" s="11"/>
    </row>
    <row r="972" spans="2:22" ht="15" customHeight="1">
      <c r="B972" s="742" t="s">
        <v>1078</v>
      </c>
      <c r="C972" s="911" t="s">
        <v>3556</v>
      </c>
      <c r="D972" s="1305">
        <v>46068.645254629628</v>
      </c>
      <c r="E972" s="835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4" t="e">
        <f>LEFT(base[[#This Row],[Evento / Mercado]],FIND("/",base[[#This Row],[Evento / Mercado]])-2)</f>
        <v>#VALUE!</v>
      </c>
      <c r="T972" s="1420">
        <f>base[[#This Row],[Data de liquidação]]</f>
        <v>46068.645254629628</v>
      </c>
      <c r="V972" s="11"/>
    </row>
    <row r="973" spans="2:22" ht="15" customHeight="1">
      <c r="B973" s="742" t="s">
        <v>1077</v>
      </c>
      <c r="C973" s="911" t="s">
        <v>3556</v>
      </c>
      <c r="D973" s="1305">
        <v>46068.65116898148</v>
      </c>
      <c r="E973" s="835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4" t="e">
        <f>LEFT(base[[#This Row],[Evento / Mercado]],FIND("/",base[[#This Row],[Evento / Mercado]])-2)</f>
        <v>#VALUE!</v>
      </c>
      <c r="T973" s="1420">
        <f>base[[#This Row],[Data de liquidação]]</f>
        <v>46068.65116898148</v>
      </c>
      <c r="V973" s="11"/>
    </row>
    <row r="974" spans="2:22" ht="15" customHeight="1">
      <c r="B974" s="742" t="s">
        <v>1076</v>
      </c>
      <c r="C974" s="911" t="s">
        <v>3556</v>
      </c>
      <c r="D974" s="1305">
        <v>46068.694131944445</v>
      </c>
      <c r="E974" s="835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4" t="e">
        <f>LEFT(base[[#This Row],[Evento / Mercado]],FIND("/",base[[#This Row],[Evento / Mercado]])-2)</f>
        <v>#VALUE!</v>
      </c>
      <c r="T974" s="1420">
        <f>base[[#This Row],[Data de liquidação]]</f>
        <v>46068.694131944445</v>
      </c>
      <c r="V974" s="11"/>
    </row>
    <row r="975" spans="2:22" ht="15" customHeight="1">
      <c r="B975" s="742" t="s">
        <v>1075</v>
      </c>
      <c r="C975" s="911" t="s">
        <v>3556</v>
      </c>
      <c r="D975" s="1305">
        <v>46068.729375000003</v>
      </c>
      <c r="E975" s="835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4" t="e">
        <f>LEFT(base[[#This Row],[Evento / Mercado]],FIND("/",base[[#This Row],[Evento / Mercado]])-2)</f>
        <v>#VALUE!</v>
      </c>
      <c r="T975" s="1420">
        <f>base[[#This Row],[Data de liquidação]]</f>
        <v>46068.729375000003</v>
      </c>
      <c r="V975" s="11"/>
    </row>
    <row r="976" spans="2:22" ht="15" customHeight="1">
      <c r="B976" s="742" t="s">
        <v>1074</v>
      </c>
      <c r="C976" s="911" t="s">
        <v>3556</v>
      </c>
      <c r="D976" s="1305">
        <v>46068.749722222223</v>
      </c>
      <c r="E976" s="835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4" t="e">
        <f>LEFT(base[[#This Row],[Evento / Mercado]],FIND("/",base[[#This Row],[Evento / Mercado]])-2)</f>
        <v>#VALUE!</v>
      </c>
      <c r="T976" s="1420">
        <f>base[[#This Row],[Data de liquidação]]</f>
        <v>46068.749722222223</v>
      </c>
      <c r="V976" s="11"/>
    </row>
    <row r="977" spans="2:22" ht="15" customHeight="1">
      <c r="B977" s="742" t="s">
        <v>1073</v>
      </c>
      <c r="C977" s="911" t="s">
        <v>3556</v>
      </c>
      <c r="D977" s="1305">
        <v>46068.783067129632</v>
      </c>
      <c r="E977" s="835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4" t="e">
        <f>LEFT(base[[#This Row],[Evento / Mercado]],FIND("/",base[[#This Row],[Evento / Mercado]])-2)</f>
        <v>#VALUE!</v>
      </c>
      <c r="T977" s="142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742" t="s">
        <v>1073</v>
      </c>
      <c r="C978" s="911" t="s">
        <v>3556</v>
      </c>
      <c r="D978" s="1305">
        <v>46068.783067129632</v>
      </c>
      <c r="E978" s="835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4" t="e">
        <f>LEFT(base[[#This Row],[Evento / Mercado]],FIND("/",base[[#This Row],[Evento / Mercado]])-2)</f>
        <v>#VALUE!</v>
      </c>
      <c r="T978" s="142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742" t="s">
        <v>1072</v>
      </c>
      <c r="C979" s="911" t="s">
        <v>3556</v>
      </c>
      <c r="D979" s="1305">
        <v>46068.787569444445</v>
      </c>
      <c r="E979" s="835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4" t="e">
        <f>LEFT(base[[#This Row],[Evento / Mercado]],FIND("/",base[[#This Row],[Evento / Mercado]])-2)</f>
        <v>#VALUE!</v>
      </c>
      <c r="T979" s="1420">
        <f>base[[#This Row],[Data de liquidação]]</f>
        <v>46068.787569444445</v>
      </c>
      <c r="V979" s="11"/>
    </row>
    <row r="980" spans="2:22" ht="15" customHeight="1">
      <c r="B980" s="742" t="s">
        <v>1072</v>
      </c>
      <c r="C980" s="911" t="s">
        <v>3556</v>
      </c>
      <c r="D980" s="1305">
        <v>46068.787592592591</v>
      </c>
      <c r="E980" s="835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4" t="e">
        <f>LEFT(base[[#This Row],[Evento / Mercado]],FIND("/",base[[#This Row],[Evento / Mercado]])-2)</f>
        <v>#VALUE!</v>
      </c>
      <c r="T980" s="142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742" t="s">
        <v>1072</v>
      </c>
      <c r="C981" s="911" t="s">
        <v>3556</v>
      </c>
      <c r="D981" s="1305">
        <v>46068.787592592591</v>
      </c>
      <c r="E981" s="835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4" t="e">
        <f>LEFT(base[[#This Row],[Evento / Mercado]],FIND("/",base[[#This Row],[Evento / Mercado]])-2)</f>
        <v>#VALUE!</v>
      </c>
      <c r="T981" s="142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742" t="s">
        <v>1071</v>
      </c>
      <c r="C982" s="911" t="s">
        <v>3556</v>
      </c>
      <c r="D982" s="1305">
        <v>46068.891747685186</v>
      </c>
      <c r="E982" s="835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4" t="e">
        <f>LEFT(base[[#This Row],[Evento / Mercado]],FIND("/",base[[#This Row],[Evento / Mercado]])-2)</f>
        <v>#VALUE!</v>
      </c>
      <c r="T982" s="1420">
        <f>base[[#This Row],[Data de liquidação]]</f>
        <v>46068.891747685186</v>
      </c>
      <c r="V982" s="11"/>
    </row>
    <row r="983" spans="2:22" ht="15" customHeight="1">
      <c r="B983" s="742" t="s">
        <v>1070</v>
      </c>
      <c r="C983" s="911" t="s">
        <v>3556</v>
      </c>
      <c r="D983" s="1305">
        <v>46069.62358796296</v>
      </c>
      <c r="E983" s="835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4" t="e">
        <f>LEFT(base[[#This Row],[Evento / Mercado]],FIND("/",base[[#This Row],[Evento / Mercado]])-2)</f>
        <v>#VALUE!</v>
      </c>
      <c r="T983" s="1420">
        <f>base[[#This Row],[Data de liquidação]]</f>
        <v>46069.62358796296</v>
      </c>
      <c r="V983" s="11"/>
    </row>
    <row r="984" spans="2:22" ht="15" customHeight="1">
      <c r="B984" s="742" t="s">
        <v>1069</v>
      </c>
      <c r="C984" s="911" t="s">
        <v>3556</v>
      </c>
      <c r="D984" s="1305">
        <v>46069.716168981482</v>
      </c>
      <c r="E984" s="835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4" t="e">
        <f>LEFT(base[[#This Row],[Evento / Mercado]],FIND("/",base[[#This Row],[Evento / Mercado]])-2)</f>
        <v>#VALUE!</v>
      </c>
      <c r="T984" s="1420">
        <f>base[[#This Row],[Data de liquidação]]</f>
        <v>46069.716168981482</v>
      </c>
      <c r="V984" s="11"/>
    </row>
    <row r="985" spans="2:22" ht="15" customHeight="1">
      <c r="B985" s="742" t="s">
        <v>1068</v>
      </c>
      <c r="C985" s="911" t="s">
        <v>3556</v>
      </c>
      <c r="D985" s="1305">
        <v>46069.74763888889</v>
      </c>
      <c r="E985" s="835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4" t="e">
        <f>LEFT(base[[#This Row],[Evento / Mercado]],FIND("/",base[[#This Row],[Evento / Mercado]])-2)</f>
        <v>#VALUE!</v>
      </c>
      <c r="T985" s="1420">
        <f>base[[#This Row],[Data de liquidação]]</f>
        <v>46069.74763888889</v>
      </c>
      <c r="V985" s="11"/>
    </row>
    <row r="986" spans="2:22" ht="15" customHeight="1">
      <c r="B986" s="742" t="s">
        <v>1067</v>
      </c>
      <c r="C986" s="911" t="s">
        <v>3556</v>
      </c>
      <c r="D986" s="1305">
        <v>46069.769074074073</v>
      </c>
      <c r="E986" s="835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4" t="e">
        <f>LEFT(base[[#This Row],[Evento / Mercado]],FIND("/",base[[#This Row],[Evento / Mercado]])-2)</f>
        <v>#VALUE!</v>
      </c>
      <c r="T986" s="1420">
        <f>base[[#This Row],[Data de liquidação]]</f>
        <v>46069.769074074073</v>
      </c>
      <c r="V986" s="11"/>
    </row>
    <row r="987" spans="2:22" ht="15" customHeight="1">
      <c r="B987" s="742" t="s">
        <v>1066</v>
      </c>
      <c r="C987" s="911" t="s">
        <v>3556</v>
      </c>
      <c r="D987" s="1305">
        <v>46069.790694444448</v>
      </c>
      <c r="E987" s="835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693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1202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4" t="e">
        <f>LEFT(base[[#This Row],[Evento / Mercado]],FIND("/",base[[#This Row],[Evento / Mercado]])-2)</f>
        <v>#VALUE!</v>
      </c>
      <c r="T987" s="1420">
        <f>base[[#This Row],[Data de liquidação]]</f>
        <v>46069.790694444448</v>
      </c>
      <c r="V987" s="11"/>
    </row>
    <row r="988" spans="2:22" ht="15" customHeight="1">
      <c r="B988" s="742" t="s">
        <v>1066</v>
      </c>
      <c r="C988" s="911" t="s">
        <v>3556</v>
      </c>
      <c r="D988" s="1305">
        <v>46069.790844907409</v>
      </c>
      <c r="E988" s="835">
        <v>-8.92</v>
      </c>
      <c r="F988" s="235">
        <v>4.4999999999999998E-2</v>
      </c>
      <c r="G988" s="246">
        <f t="shared" si="16"/>
        <v>-8.92</v>
      </c>
      <c r="H988" s="246" t="s">
        <v>179</v>
      </c>
      <c r="I988" s="244" t="s">
        <v>391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1202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4" t="e">
        <f>LEFT(base[[#This Row],[Evento / Mercado]],FIND("/",base[[#This Row],[Evento / Mercado]])-2)</f>
        <v>#VALUE!</v>
      </c>
      <c r="T988" s="1420">
        <f>base[[#This Row],[Data de liquidação]]</f>
        <v>46069.790844907409</v>
      </c>
      <c r="V988" s="11">
        <f>-250+9</f>
        <v>-241</v>
      </c>
    </row>
    <row r="989" spans="2:22" ht="15" customHeight="1">
      <c r="B989" s="742" t="s">
        <v>1065</v>
      </c>
      <c r="C989" s="911" t="s">
        <v>3556</v>
      </c>
      <c r="D989" s="1305">
        <v>46070.793645833335</v>
      </c>
      <c r="E989" s="835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694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1203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4" t="e">
        <f>LEFT(base[[#This Row],[Evento / Mercado]],FIND("/",base[[#This Row],[Evento / Mercado]])-2)</f>
        <v>#VALUE!</v>
      </c>
      <c r="T989" s="1420">
        <f>base[[#This Row],[Data de liquidação]]</f>
        <v>46070.793645833335</v>
      </c>
      <c r="V989" s="11"/>
    </row>
    <row r="990" spans="2:22" ht="15" customHeight="1">
      <c r="B990" s="742" t="s">
        <v>1064</v>
      </c>
      <c r="C990" s="911" t="s">
        <v>3556</v>
      </c>
      <c r="D990" s="1305">
        <v>46070.796018518522</v>
      </c>
      <c r="E990" s="835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627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1200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4" t="e">
        <f>LEFT(base[[#This Row],[Evento / Mercado]],FIND("/",base[[#This Row],[Evento / Mercado]])-2)</f>
        <v>#VALUE!</v>
      </c>
      <c r="T990" s="1420">
        <f>base[[#This Row],[Data de liquidação]]</f>
        <v>46070.796018518522</v>
      </c>
      <c r="V990" s="11"/>
    </row>
    <row r="991" spans="2:22" ht="15" customHeight="1">
      <c r="B991" s="742" t="s">
        <v>1063</v>
      </c>
      <c r="C991" s="911" t="s">
        <v>3556</v>
      </c>
      <c r="D991" s="1305">
        <v>46071.746354166666</v>
      </c>
      <c r="E991" s="835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694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1202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4" t="e">
        <f>LEFT(base[[#This Row],[Evento / Mercado]],FIND("/",base[[#This Row],[Evento / Mercado]])-2)</f>
        <v>#VALUE!</v>
      </c>
      <c r="T991" s="1420">
        <f>base[[#This Row],[Data de liquidação]]</f>
        <v>46071.746354166666</v>
      </c>
      <c r="V991" s="11"/>
    </row>
    <row r="992" spans="2:22" ht="15" customHeight="1">
      <c r="B992" s="742" t="s">
        <v>1062</v>
      </c>
      <c r="C992" s="911" t="s">
        <v>3556</v>
      </c>
      <c r="D992" s="1305">
        <v>46071.760092592594</v>
      </c>
      <c r="E992" s="835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4" t="e">
        <f>LEFT(base[[#This Row],[Evento / Mercado]],FIND("/",base[[#This Row],[Evento / Mercado]])-2)</f>
        <v>#VALUE!</v>
      </c>
      <c r="T992" s="1420">
        <f>base[[#This Row],[Data de liquidação]]</f>
        <v>46071.760092592594</v>
      </c>
      <c r="V992" s="11"/>
    </row>
    <row r="993" spans="2:22" ht="15" customHeight="1">
      <c r="B993" s="742" t="s">
        <v>1061</v>
      </c>
      <c r="C993" s="911" t="s">
        <v>3556</v>
      </c>
      <c r="D993" s="1305">
        <v>46071.7653125</v>
      </c>
      <c r="E993" s="835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4" t="e">
        <f>LEFT(base[[#This Row],[Evento / Mercado]],FIND("/",base[[#This Row],[Evento / Mercado]])-2)</f>
        <v>#VALUE!</v>
      </c>
      <c r="T993" s="1420">
        <f>base[[#This Row],[Data de liquidação]]</f>
        <v>46071.7653125</v>
      </c>
      <c r="V993" s="11"/>
    </row>
    <row r="994" spans="2:22" ht="15" customHeight="1">
      <c r="B994" s="742" t="s">
        <v>1060</v>
      </c>
      <c r="C994" s="911" t="s">
        <v>3556</v>
      </c>
      <c r="D994" s="1305">
        <v>46071.779293981483</v>
      </c>
      <c r="E994" s="835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4" t="e">
        <f>LEFT(base[[#This Row],[Evento / Mercado]],FIND("/",base[[#This Row],[Evento / Mercado]])-2)</f>
        <v>#VALUE!</v>
      </c>
      <c r="T994" s="1420">
        <f>base[[#This Row],[Data de liquidação]]</f>
        <v>46071.779293981483</v>
      </c>
      <c r="V994" s="11"/>
    </row>
    <row r="995" spans="2:22" ht="15" customHeight="1">
      <c r="B995" s="742" t="s">
        <v>1059</v>
      </c>
      <c r="C995" s="911" t="s">
        <v>3556</v>
      </c>
      <c r="D995" s="1305">
        <v>46072.693865740737</v>
      </c>
      <c r="E995" s="835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4" t="e">
        <f>LEFT(base[[#This Row],[Evento / Mercado]],FIND("/",base[[#This Row],[Evento / Mercado]])-2)</f>
        <v>#VALUE!</v>
      </c>
      <c r="T995" s="1420">
        <f>base[[#This Row],[Data de liquidação]]</f>
        <v>46072.693865740737</v>
      </c>
      <c r="V995" s="11"/>
    </row>
    <row r="996" spans="2:22" ht="15" customHeight="1">
      <c r="B996" s="742" t="s">
        <v>1058</v>
      </c>
      <c r="C996" s="911" t="s">
        <v>3556</v>
      </c>
      <c r="D996" s="1305">
        <v>46072.788761574076</v>
      </c>
      <c r="E996" s="835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4" t="e">
        <f>LEFT(base[[#This Row],[Evento / Mercado]],FIND("/",base[[#This Row],[Evento / Mercado]])-2)</f>
        <v>#VALUE!</v>
      </c>
      <c r="T996" s="142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742" t="s">
        <v>1058</v>
      </c>
      <c r="C997" s="911" t="s">
        <v>3556</v>
      </c>
      <c r="D997" s="1305">
        <v>46072.788761574076</v>
      </c>
      <c r="E997" s="835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4" t="e">
        <f>LEFT(base[[#This Row],[Evento / Mercado]],FIND("/",base[[#This Row],[Evento / Mercado]])-2)</f>
        <v>#VALUE!</v>
      </c>
      <c r="T997" s="142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742" t="s">
        <v>1057</v>
      </c>
      <c r="C998" s="911" t="s">
        <v>3556</v>
      </c>
      <c r="D998" s="1305">
        <v>46073.612060185187</v>
      </c>
      <c r="E998" s="835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4" t="e">
        <f>LEFT(base[[#This Row],[Evento / Mercado]],FIND("/",base[[#This Row],[Evento / Mercado]])-2)</f>
        <v>#VALUE!</v>
      </c>
      <c r="T998" s="1420">
        <f>base[[#This Row],[Data de liquidação]]</f>
        <v>46073.612060185187</v>
      </c>
      <c r="V998" s="11"/>
    </row>
    <row r="999" spans="2:22" ht="15" customHeight="1">
      <c r="B999" s="742" t="s">
        <v>1056</v>
      </c>
      <c r="C999" s="911" t="s">
        <v>3556</v>
      </c>
      <c r="D999" s="1305">
        <v>46073.661909722221</v>
      </c>
      <c r="E999" s="835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4" t="e">
        <f>LEFT(base[[#This Row],[Evento / Mercado]],FIND("/",base[[#This Row],[Evento / Mercado]])-2)</f>
        <v>#VALUE!</v>
      </c>
      <c r="T999" s="142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742" t="s">
        <v>1056</v>
      </c>
      <c r="C1000" s="911" t="s">
        <v>3556</v>
      </c>
      <c r="D1000" s="1305">
        <v>46073.661909722221</v>
      </c>
      <c r="E1000" s="835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4" t="e">
        <f>LEFT(base[[#This Row],[Evento / Mercado]],FIND("/",base[[#This Row],[Evento / Mercado]])-2)</f>
        <v>#VALUE!</v>
      </c>
      <c r="T1000" s="142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742" t="s">
        <v>1053</v>
      </c>
      <c r="C1001" s="911" t="s">
        <v>3556</v>
      </c>
      <c r="D1001" s="1305">
        <v>46073.679756944446</v>
      </c>
      <c r="E1001" s="835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4" t="e">
        <f>LEFT(base[[#This Row],[Evento / Mercado]],FIND("/",base[[#This Row],[Evento / Mercado]])-2)</f>
        <v>#VALUE!</v>
      </c>
      <c r="T1001" s="1420">
        <f>base[[#This Row],[Data de liquidação]]</f>
        <v>46073.679756944446</v>
      </c>
      <c r="V1001" s="11"/>
    </row>
    <row r="1002" spans="2:22" ht="15" customHeight="1">
      <c r="B1002" s="742" t="s">
        <v>1055</v>
      </c>
      <c r="C1002" s="911" t="s">
        <v>3556</v>
      </c>
      <c r="D1002" s="1305">
        <v>46073.701921296299</v>
      </c>
      <c r="E1002" s="835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4" t="e">
        <f>LEFT(base[[#This Row],[Evento / Mercado]],FIND("/",base[[#This Row],[Evento / Mercado]])-2)</f>
        <v>#VALUE!</v>
      </c>
      <c r="T1002" s="1420">
        <f>base[[#This Row],[Data de liquidação]]</f>
        <v>46073.701921296299</v>
      </c>
      <c r="V1002" s="11"/>
    </row>
    <row r="1003" spans="2:22" ht="15" customHeight="1">
      <c r="B1003" s="742" t="s">
        <v>1054</v>
      </c>
      <c r="C1003" s="911" t="s">
        <v>3556</v>
      </c>
      <c r="D1003" s="1305">
        <v>46073.736087962963</v>
      </c>
      <c r="E1003" s="835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4" t="e">
        <f>LEFT(base[[#This Row],[Evento / Mercado]],FIND("/",base[[#This Row],[Evento / Mercado]])-2)</f>
        <v>#VALUE!</v>
      </c>
      <c r="T1003" s="1420">
        <f>base[[#This Row],[Data de liquidação]]</f>
        <v>46073.736087962963</v>
      </c>
      <c r="V1003" s="11"/>
    </row>
    <row r="1004" spans="2:22" ht="15" customHeight="1">
      <c r="B1004" s="742" t="s">
        <v>1053</v>
      </c>
      <c r="C1004" s="911" t="s">
        <v>3556</v>
      </c>
      <c r="D1004" s="1305">
        <v>46073.746446759258</v>
      </c>
      <c r="E1004" s="835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4" t="e">
        <f>LEFT(base[[#This Row],[Evento / Mercado]],FIND("/",base[[#This Row],[Evento / Mercado]])-2)</f>
        <v>#VALUE!</v>
      </c>
      <c r="T1004" s="1420">
        <f>base[[#This Row],[Data de liquidação]]</f>
        <v>46073.746446759258</v>
      </c>
      <c r="V1004" s="11"/>
    </row>
    <row r="1005" spans="2:22" ht="15" customHeight="1">
      <c r="B1005" s="742" t="s">
        <v>1052</v>
      </c>
      <c r="C1005" s="911" t="s">
        <v>3556</v>
      </c>
      <c r="D1005" s="1305">
        <v>46073.747152777774</v>
      </c>
      <c r="E1005" s="835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4" t="e">
        <f>LEFT(base[[#This Row],[Evento / Mercado]],FIND("/",base[[#This Row],[Evento / Mercado]])-2)</f>
        <v>#VALUE!</v>
      </c>
      <c r="T1005" s="1420">
        <f>base[[#This Row],[Data de liquidação]]</f>
        <v>46073.747152777774</v>
      </c>
      <c r="V1005" s="11"/>
    </row>
    <row r="1006" spans="2:22" ht="15" customHeight="1">
      <c r="B1006" s="742" t="s">
        <v>1051</v>
      </c>
      <c r="C1006" s="911" t="s">
        <v>3556</v>
      </c>
      <c r="D1006" s="1305">
        <v>46073.747523148151</v>
      </c>
      <c r="E1006" s="835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4" t="e">
        <f>LEFT(base[[#This Row],[Evento / Mercado]],FIND("/",base[[#This Row],[Evento / Mercado]])-2)</f>
        <v>#VALUE!</v>
      </c>
      <c r="T1006" s="1420">
        <f>base[[#This Row],[Data de liquidação]]</f>
        <v>46073.747523148151</v>
      </c>
      <c r="V1006" s="11"/>
    </row>
    <row r="1007" spans="2:22" ht="15" customHeight="1">
      <c r="B1007" s="742" t="s">
        <v>1050</v>
      </c>
      <c r="C1007" s="911" t="s">
        <v>3556</v>
      </c>
      <c r="D1007" s="1305">
        <v>46073.767129629632</v>
      </c>
      <c r="E1007" s="835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392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1209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4" t="e">
        <f>LEFT(base[[#This Row],[Evento / Mercado]],FIND("/",base[[#This Row],[Evento / Mercado]])-2)</f>
        <v>#VALUE!</v>
      </c>
      <c r="T1007" s="1420">
        <f>base[[#This Row],[Data de liquidação]]</f>
        <v>46073.767129629632</v>
      </c>
      <c r="V1007" s="11"/>
    </row>
    <row r="1008" spans="2:22" ht="15" customHeight="1">
      <c r="B1008" s="742" t="s">
        <v>1050</v>
      </c>
      <c r="C1008" s="911" t="s">
        <v>3556</v>
      </c>
      <c r="D1008" s="1305">
        <v>46073.767152777778</v>
      </c>
      <c r="E1008" s="835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4" t="e">
        <f>LEFT(base[[#This Row],[Evento / Mercado]],FIND("/",base[[#This Row],[Evento / Mercado]])-2)</f>
        <v>#VALUE!</v>
      </c>
      <c r="T1008" s="1420">
        <f>base[[#This Row],[Data de liquidação]]</f>
        <v>46073.767152777778</v>
      </c>
      <c r="V1008" s="11"/>
    </row>
    <row r="1009" spans="2:22" ht="15" customHeight="1">
      <c r="B1009" s="742" t="s">
        <v>1049</v>
      </c>
      <c r="C1009" s="911" t="s">
        <v>3556</v>
      </c>
      <c r="D1009" s="1305">
        <v>46073.769467592596</v>
      </c>
      <c r="E1009" s="835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4" t="e">
        <f>LEFT(base[[#This Row],[Evento / Mercado]],FIND("/",base[[#This Row],[Evento / Mercado]])-2)</f>
        <v>#VALUE!</v>
      </c>
      <c r="T1009" s="1420">
        <f>base[[#This Row],[Data de liquidação]]</f>
        <v>46073.769467592596</v>
      </c>
      <c r="V1009" s="11"/>
    </row>
    <row r="1010" spans="2:22" ht="15" customHeight="1">
      <c r="B1010" s="742" t="s">
        <v>1048</v>
      </c>
      <c r="C1010" s="911" t="s">
        <v>3556</v>
      </c>
      <c r="D1010" s="1305">
        <v>46073.775046296294</v>
      </c>
      <c r="E1010" s="835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4" t="e">
        <f>LEFT(base[[#This Row],[Evento / Mercado]],FIND("/",base[[#This Row],[Evento / Mercado]])-2)</f>
        <v>#VALUE!</v>
      </c>
      <c r="T1010" s="1420">
        <f>base[[#This Row],[Data de liquidação]]</f>
        <v>46073.775046296294</v>
      </c>
      <c r="V1010" s="11"/>
    </row>
    <row r="1011" spans="2:22" ht="15" customHeight="1">
      <c r="B1011" s="742" t="s">
        <v>1047</v>
      </c>
      <c r="C1011" s="911" t="s">
        <v>3556</v>
      </c>
      <c r="D1011" s="1305">
        <v>46073.775138888886</v>
      </c>
      <c r="E1011" s="835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4" t="e">
        <f>LEFT(base[[#This Row],[Evento / Mercado]],FIND("/",base[[#This Row],[Evento / Mercado]])-2)</f>
        <v>#VALUE!</v>
      </c>
      <c r="T1011" s="1420">
        <f>base[[#This Row],[Data de liquidação]]</f>
        <v>46073.775138888886</v>
      </c>
      <c r="V1011" s="11"/>
    </row>
    <row r="1012" spans="2:22" ht="15" customHeight="1">
      <c r="B1012" s="742" t="s">
        <v>1046</v>
      </c>
      <c r="C1012" s="911" t="s">
        <v>3556</v>
      </c>
      <c r="D1012" s="1305">
        <v>46073.790335648147</v>
      </c>
      <c r="E1012" s="835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4" t="e">
        <f>LEFT(base[[#This Row],[Evento / Mercado]],FIND("/",base[[#This Row],[Evento / Mercado]])-2)</f>
        <v>#VALUE!</v>
      </c>
      <c r="T1012" s="142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742" t="s">
        <v>1046</v>
      </c>
      <c r="C1013" s="911" t="s">
        <v>3556</v>
      </c>
      <c r="D1013" s="1305">
        <v>46073.790335648147</v>
      </c>
      <c r="E1013" s="835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4" t="e">
        <f>LEFT(base[[#This Row],[Evento / Mercado]],FIND("/",base[[#This Row],[Evento / Mercado]])-2)</f>
        <v>#VALUE!</v>
      </c>
      <c r="T1013" s="142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742" t="s">
        <v>1045</v>
      </c>
      <c r="C1014" s="911" t="s">
        <v>3556</v>
      </c>
      <c r="D1014" s="1305">
        <v>46073.834074074075</v>
      </c>
      <c r="E1014" s="835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4" t="e">
        <f>LEFT(base[[#This Row],[Evento / Mercado]],FIND("/",base[[#This Row],[Evento / Mercado]])-2)</f>
        <v>#VALUE!</v>
      </c>
      <c r="T1014" s="1420">
        <f>base[[#This Row],[Data de liquidação]]</f>
        <v>46073.834074074075</v>
      </c>
      <c r="V1014" s="11"/>
    </row>
    <row r="1015" spans="2:22" ht="15" customHeight="1">
      <c r="B1015" s="742" t="s">
        <v>1043</v>
      </c>
      <c r="C1015" s="911" t="s">
        <v>3556</v>
      </c>
      <c r="D1015" s="1305">
        <v>46074.399583333332</v>
      </c>
      <c r="E1015" s="835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4" t="e">
        <f>LEFT(base[[#This Row],[Evento / Mercado]],FIND("/",base[[#This Row],[Evento / Mercado]])-2)</f>
        <v>#VALUE!</v>
      </c>
      <c r="T1015" s="1420">
        <f>base[[#This Row],[Data de liquidação]]</f>
        <v>46074.399583333332</v>
      </c>
      <c r="V1015" s="11"/>
    </row>
    <row r="1016" spans="2:22" ht="15" customHeight="1">
      <c r="B1016" s="742" t="s">
        <v>1044</v>
      </c>
      <c r="C1016" s="911" t="s">
        <v>3556</v>
      </c>
      <c r="D1016" s="1305">
        <v>46074.419178240743</v>
      </c>
      <c r="E1016" s="835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4" t="e">
        <f>LEFT(base[[#This Row],[Evento / Mercado]],FIND("/",base[[#This Row],[Evento / Mercado]])-2)</f>
        <v>#VALUE!</v>
      </c>
      <c r="T1016" s="1420">
        <f>base[[#This Row],[Data de liquidação]]</f>
        <v>46074.419178240743</v>
      </c>
      <c r="V1016" s="11"/>
    </row>
    <row r="1017" spans="2:22" ht="15" customHeight="1">
      <c r="B1017" s="742" t="s">
        <v>1043</v>
      </c>
      <c r="C1017" s="911" t="s">
        <v>3556</v>
      </c>
      <c r="D1017" s="1305">
        <v>46074.455740740741</v>
      </c>
      <c r="E1017" s="835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627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1212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4" t="e">
        <f>LEFT(base[[#This Row],[Evento / Mercado]],FIND("/",base[[#This Row],[Evento / Mercado]])-2)</f>
        <v>#VALUE!</v>
      </c>
      <c r="T1017" s="1420">
        <f>base[[#This Row],[Data de liquidação]]</f>
        <v>46074.455740740741</v>
      </c>
      <c r="V1017" s="11"/>
    </row>
    <row r="1018" spans="2:22" ht="15" customHeight="1">
      <c r="B1018" s="742" t="s">
        <v>1043</v>
      </c>
      <c r="C1018" s="911" t="s">
        <v>3556</v>
      </c>
      <c r="D1018" s="1305">
        <v>46074.455763888887</v>
      </c>
      <c r="E1018" s="835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392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1212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4" t="e">
        <f>LEFT(base[[#This Row],[Evento / Mercado]],FIND("/",base[[#This Row],[Evento / Mercado]])-2)</f>
        <v>#VALUE!</v>
      </c>
      <c r="T1018" s="1420">
        <f>base[[#This Row],[Data de liquidação]]</f>
        <v>46074.455763888887</v>
      </c>
      <c r="V1018" s="11"/>
    </row>
    <row r="1019" spans="2:22" ht="15" customHeight="1">
      <c r="B1019" s="742" t="s">
        <v>1042</v>
      </c>
      <c r="C1019" s="911" t="s">
        <v>3556</v>
      </c>
      <c r="D1019" s="1305">
        <v>46074.458009259259</v>
      </c>
      <c r="E1019" s="835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627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1212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4" t="e">
        <f>LEFT(base[[#This Row],[Evento / Mercado]],FIND("/",base[[#This Row],[Evento / Mercado]])-2)</f>
        <v>#VALUE!</v>
      </c>
      <c r="T1019" s="1420">
        <f>base[[#This Row],[Data de liquidação]]</f>
        <v>46074.458009259259</v>
      </c>
      <c r="V1019" s="11"/>
    </row>
    <row r="1020" spans="2:22" ht="15" customHeight="1">
      <c r="B1020" s="742" t="s">
        <v>1041</v>
      </c>
      <c r="C1020" s="911" t="s">
        <v>3556</v>
      </c>
      <c r="D1020" s="1305">
        <v>46074.49728009259</v>
      </c>
      <c r="E1020" s="835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4" t="e">
        <f>LEFT(base[[#This Row],[Evento / Mercado]],FIND("/",base[[#This Row],[Evento / Mercado]])-2)</f>
        <v>#VALUE!</v>
      </c>
      <c r="T1020" s="1420">
        <f>base[[#This Row],[Data de liquidação]]</f>
        <v>46074.49728009259</v>
      </c>
      <c r="V1020" s="11"/>
    </row>
    <row r="1021" spans="2:22" ht="15" customHeight="1">
      <c r="B1021" s="742" t="s">
        <v>1040</v>
      </c>
      <c r="C1021" s="911" t="s">
        <v>3556</v>
      </c>
      <c r="D1021" s="1305">
        <v>46074.514039351852</v>
      </c>
      <c r="E1021" s="835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4" t="e">
        <f>LEFT(base[[#This Row],[Evento / Mercado]],FIND("/",base[[#This Row],[Evento / Mercado]])-2)</f>
        <v>#VALUE!</v>
      </c>
      <c r="T1021" s="1420">
        <f>base[[#This Row],[Data de liquidação]]</f>
        <v>46074.514039351852</v>
      </c>
      <c r="V1021" s="11"/>
    </row>
    <row r="1022" spans="2:22" ht="15" customHeight="1">
      <c r="B1022" s="742" t="s">
        <v>1039</v>
      </c>
      <c r="C1022" s="911" t="s">
        <v>3556</v>
      </c>
      <c r="D1022" s="1305">
        <v>46074.533993055556</v>
      </c>
      <c r="E1022" s="835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4" t="e">
        <f>LEFT(base[[#This Row],[Evento / Mercado]],FIND("/",base[[#This Row],[Evento / Mercado]])-2)</f>
        <v>#VALUE!</v>
      </c>
      <c r="T1022" s="1420">
        <f>base[[#This Row],[Data de liquidação]]</f>
        <v>46074.533993055556</v>
      </c>
      <c r="V1022" s="11"/>
    </row>
    <row r="1023" spans="2:22" ht="15" customHeight="1">
      <c r="B1023" s="742" t="s">
        <v>1038</v>
      </c>
      <c r="C1023" s="911" t="s">
        <v>3556</v>
      </c>
      <c r="D1023" s="1305">
        <v>46074.535509259258</v>
      </c>
      <c r="E1023" s="835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4" t="e">
        <f>LEFT(base[[#This Row],[Evento / Mercado]],FIND("/",base[[#This Row],[Evento / Mercado]])-2)</f>
        <v>#VALUE!</v>
      </c>
      <c r="T1023" s="1420">
        <f>base[[#This Row],[Data de liquidação]]</f>
        <v>46074.535509259258</v>
      </c>
      <c r="V1023" s="11"/>
    </row>
    <row r="1024" spans="2:22" ht="15" customHeight="1">
      <c r="B1024" s="742" t="s">
        <v>1037</v>
      </c>
      <c r="C1024" s="911" t="s">
        <v>3556</v>
      </c>
      <c r="D1024" s="1305">
        <v>46074.540393518517</v>
      </c>
      <c r="E1024" s="835">
        <v>-7</v>
      </c>
      <c r="F1024" s="235">
        <v>4.4999999999999998E-2</v>
      </c>
      <c r="G1024" s="246">
        <f t="shared" si="16"/>
        <v>-7</v>
      </c>
      <c r="H1024" s="246" t="s">
        <v>179</v>
      </c>
      <c r="I1024" s="244" t="s">
        <v>392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1209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4" t="e">
        <f>LEFT(base[[#This Row],[Evento / Mercado]],FIND("/",base[[#This Row],[Evento / Mercado]])-2)</f>
        <v>#VALUE!</v>
      </c>
      <c r="T1024" s="1420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742" t="s">
        <v>1036</v>
      </c>
      <c r="C1025" s="911" t="s">
        <v>3556</v>
      </c>
      <c r="D1025" s="1305">
        <v>46074.563067129631</v>
      </c>
      <c r="E1025" s="835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628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1200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4" t="e">
        <f>LEFT(base[[#This Row],[Evento / Mercado]],FIND("/",base[[#This Row],[Evento / Mercado]])-2)</f>
        <v>#VALUE!</v>
      </c>
      <c r="T1025" s="1420">
        <f>base[[#This Row],[Data de liquidação]]</f>
        <v>46074.563067129631</v>
      </c>
      <c r="V1025" s="11"/>
    </row>
    <row r="1026" spans="2:22" ht="15" customHeight="1">
      <c r="B1026" s="742" t="s">
        <v>1035</v>
      </c>
      <c r="C1026" s="911" t="s">
        <v>3556</v>
      </c>
      <c r="D1026" s="1305">
        <v>46074.579525462963</v>
      </c>
      <c r="E1026" s="835">
        <v>17.059999999999999</v>
      </c>
      <c r="F1026" s="235">
        <v>4.4999999999999998E-2</v>
      </c>
      <c r="G1026" s="246">
        <f t="shared" si="16"/>
        <v>17.863874345549739</v>
      </c>
      <c r="H1026" s="246" t="s">
        <v>179</v>
      </c>
      <c r="I1026" s="244" t="s">
        <v>392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1201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4" t="e">
        <f>LEFT(base[[#This Row],[Evento / Mercado]],FIND("/",base[[#This Row],[Evento / Mercado]])-2)</f>
        <v>#VALUE!</v>
      </c>
      <c r="T1026" s="1420">
        <f>base[[#This Row],[Data de liquidação]]</f>
        <v>46074.579525462963</v>
      </c>
      <c r="V1026" s="11"/>
    </row>
    <row r="1027" spans="2:22" ht="15" customHeight="1">
      <c r="B1027" s="742" t="s">
        <v>1034</v>
      </c>
      <c r="C1027" s="911" t="s">
        <v>3556</v>
      </c>
      <c r="D1027" s="1305">
        <v>46074.598217592589</v>
      </c>
      <c r="E1027" s="835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627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1202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4" t="e">
        <f>LEFT(base[[#This Row],[Evento / Mercado]],FIND("/",base[[#This Row],[Evento / Mercado]])-2)</f>
        <v>#VALUE!</v>
      </c>
      <c r="T1027" s="1420">
        <f>base[[#This Row],[Data de liquidação]]</f>
        <v>46074.598217592589</v>
      </c>
      <c r="V1027" s="11"/>
    </row>
    <row r="1028" spans="2:22" ht="15" customHeight="1">
      <c r="B1028" s="742" t="s">
        <v>1033</v>
      </c>
      <c r="C1028" s="911" t="s">
        <v>3556</v>
      </c>
      <c r="D1028" s="1305">
        <v>46074.623379629629</v>
      </c>
      <c r="E1028" s="835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392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1208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4" t="e">
        <f>LEFT(base[[#This Row],[Evento / Mercado]],FIND("/",base[[#This Row],[Evento / Mercado]])-2)</f>
        <v>#VALUE!</v>
      </c>
      <c r="T1028" s="1420">
        <f>base[[#This Row],[Data de liquidação]]</f>
        <v>46074.623379629629</v>
      </c>
      <c r="V1028" s="11">
        <f>-250+139</f>
        <v>-111</v>
      </c>
    </row>
    <row r="1029" spans="2:22" ht="15" customHeight="1">
      <c r="B1029" s="742" t="s">
        <v>1032</v>
      </c>
      <c r="C1029" s="911" t="s">
        <v>3556</v>
      </c>
      <c r="D1029" s="1305">
        <v>46074.6719212963</v>
      </c>
      <c r="E1029" s="835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4" t="e">
        <f>LEFT(base[[#This Row],[Evento / Mercado]],FIND("/",base[[#This Row],[Evento / Mercado]])-2)</f>
        <v>#VALUE!</v>
      </c>
      <c r="T1029" s="1420">
        <f>base[[#This Row],[Data de liquidação]]</f>
        <v>46074.6719212963</v>
      </c>
      <c r="V1029" s="11"/>
    </row>
    <row r="1030" spans="2:22" ht="15" customHeight="1">
      <c r="B1030" s="742" t="s">
        <v>1031</v>
      </c>
      <c r="C1030" s="911" t="s">
        <v>3556</v>
      </c>
      <c r="D1030" s="1305">
        <v>46074.686365740738</v>
      </c>
      <c r="E1030" s="835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628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1200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4" t="e">
        <f>LEFT(base[[#This Row],[Evento / Mercado]],FIND("/",base[[#This Row],[Evento / Mercado]])-2)</f>
        <v>#VALUE!</v>
      </c>
      <c r="T1030" s="1420">
        <f>base[[#This Row],[Data de liquidação]]</f>
        <v>46074.686365740738</v>
      </c>
      <c r="V1030" s="11"/>
    </row>
    <row r="1031" spans="2:22" ht="15" customHeight="1">
      <c r="B1031" s="742" t="s">
        <v>1030</v>
      </c>
      <c r="C1031" s="911" t="s">
        <v>3556</v>
      </c>
      <c r="D1031" s="1305">
        <v>46074.788668981484</v>
      </c>
      <c r="E1031" s="835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627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1201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4" t="e">
        <f>LEFT(base[[#This Row],[Evento / Mercado]],FIND("/",base[[#This Row],[Evento / Mercado]])-2)</f>
        <v>#VALUE!</v>
      </c>
      <c r="T1031" s="1420">
        <f>base[[#This Row],[Data de liquidação]]</f>
        <v>46074.788668981484</v>
      </c>
      <c r="V1031" s="11"/>
    </row>
    <row r="1032" spans="2:22" ht="15" customHeight="1">
      <c r="B1032" s="742" t="s">
        <v>1030</v>
      </c>
      <c r="C1032" s="911" t="s">
        <v>3556</v>
      </c>
      <c r="D1032" s="1305">
        <v>46074.788773148146</v>
      </c>
      <c r="E1032" s="835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392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1201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4" t="e">
        <f>LEFT(base[[#This Row],[Evento / Mercado]],FIND("/",base[[#This Row],[Evento / Mercado]])-2)</f>
        <v>#VALUE!</v>
      </c>
      <c r="T1032" s="1420">
        <f>base[[#This Row],[Data de liquidação]]</f>
        <v>46074.788773148146</v>
      </c>
      <c r="V1032" s="11"/>
    </row>
    <row r="1033" spans="2:22" ht="15" customHeight="1">
      <c r="B1033" s="742" t="s">
        <v>1139</v>
      </c>
      <c r="C1033" s="911" t="s">
        <v>3556</v>
      </c>
      <c r="D1033" s="1305">
        <v>46075.473587962966</v>
      </c>
      <c r="E1033" s="835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4" t="e">
        <f>LEFT(base[[#This Row],[Evento / Mercado]],FIND("/",base[[#This Row],[Evento / Mercado]])-2)</f>
        <v>#VALUE!</v>
      </c>
      <c r="T1033" s="1420">
        <f>base[[#This Row],[Data de liquidação]]</f>
        <v>46075.473587962966</v>
      </c>
      <c r="V1033" s="11"/>
    </row>
    <row r="1034" spans="2:22" ht="15" customHeight="1">
      <c r="B1034" s="742" t="s">
        <v>1138</v>
      </c>
      <c r="C1034" s="911" t="s">
        <v>3556</v>
      </c>
      <c r="D1034" s="1305">
        <v>46075.480798611112</v>
      </c>
      <c r="E1034" s="835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627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1212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4" t="e">
        <f>LEFT(base[[#This Row],[Evento / Mercado]],FIND("/",base[[#This Row],[Evento / Mercado]])-2)</f>
        <v>#VALUE!</v>
      </c>
      <c r="T1034" s="1420">
        <f>base[[#This Row],[Data de liquidação]]</f>
        <v>46075.480798611112</v>
      </c>
      <c r="V1034" s="11"/>
    </row>
    <row r="1035" spans="2:22" ht="15" customHeight="1">
      <c r="B1035" s="742" t="s">
        <v>1138</v>
      </c>
      <c r="C1035" s="911" t="s">
        <v>3556</v>
      </c>
      <c r="D1035" s="1305">
        <v>46075.480983796297</v>
      </c>
      <c r="E1035" s="835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4" t="e">
        <f>LEFT(base[[#This Row],[Evento / Mercado]],FIND("/",base[[#This Row],[Evento / Mercado]])-2)</f>
        <v>#VALUE!</v>
      </c>
      <c r="T1035" s="1420">
        <f>base[[#This Row],[Data de liquidação]]</f>
        <v>46075.480983796297</v>
      </c>
      <c r="V1035" s="11"/>
    </row>
    <row r="1036" spans="2:22" ht="15" customHeight="1">
      <c r="B1036" s="742" t="s">
        <v>1137</v>
      </c>
      <c r="C1036" s="911" t="s">
        <v>3556</v>
      </c>
      <c r="D1036" s="1305">
        <v>46075.527592592596</v>
      </c>
      <c r="E1036" s="835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4" t="e">
        <f>LEFT(base[[#This Row],[Evento / Mercado]],FIND("/",base[[#This Row],[Evento / Mercado]])-2)</f>
        <v>#VALUE!</v>
      </c>
      <c r="T1036" s="1420">
        <f>base[[#This Row],[Data de liquidação]]</f>
        <v>46075.527592592596</v>
      </c>
      <c r="V1036" s="11"/>
    </row>
    <row r="1037" spans="2:22" ht="15" customHeight="1">
      <c r="B1037" s="742" t="s">
        <v>1136</v>
      </c>
      <c r="C1037" s="911" t="s">
        <v>3556</v>
      </c>
      <c r="D1037" s="1305">
        <v>46075.580520833333</v>
      </c>
      <c r="E1037" s="835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627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1219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4" t="e">
        <f>LEFT(base[[#This Row],[Evento / Mercado]],FIND("/",base[[#This Row],[Evento / Mercado]])-2)</f>
        <v>#VALUE!</v>
      </c>
      <c r="T1037" s="1420">
        <f>base[[#This Row],[Data de liquidação]]</f>
        <v>46075.580520833333</v>
      </c>
      <c r="V1037" s="11"/>
    </row>
    <row r="1038" spans="2:22" ht="15" customHeight="1">
      <c r="B1038" s="742" t="s">
        <v>1135</v>
      </c>
      <c r="C1038" s="911" t="s">
        <v>3556</v>
      </c>
      <c r="D1038" s="1305">
        <v>46075.58252314815</v>
      </c>
      <c r="E1038" s="835">
        <v>-147.32</v>
      </c>
      <c r="F1038" s="235">
        <v>4.4999999999999998E-2</v>
      </c>
      <c r="G1038" s="246">
        <f t="shared" si="17"/>
        <v>-147.32</v>
      </c>
      <c r="H1038" s="246" t="s">
        <v>179</v>
      </c>
      <c r="I1038" s="244" t="s">
        <v>391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1219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4" t="e">
        <f>LEFT(base[[#This Row],[Evento / Mercado]],FIND("/",base[[#This Row],[Evento / Mercado]])-2)</f>
        <v>#VALUE!</v>
      </c>
      <c r="T1038" s="1420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742" t="s">
        <v>1134</v>
      </c>
      <c r="C1039" s="911" t="s">
        <v>3556</v>
      </c>
      <c r="D1039" s="1305">
        <v>46075.604131944441</v>
      </c>
      <c r="E1039" s="835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4" t="e">
        <f>LEFT(base[[#This Row],[Evento / Mercado]],FIND("/",base[[#This Row],[Evento / Mercado]])-2)</f>
        <v>#VALUE!</v>
      </c>
      <c r="T1039" s="1420">
        <f>base[[#This Row],[Data de liquidação]]</f>
        <v>46075.604131944441</v>
      </c>
      <c r="V1039" s="11"/>
    </row>
    <row r="1040" spans="2:22" ht="15" customHeight="1">
      <c r="B1040" s="742" t="s">
        <v>1133</v>
      </c>
      <c r="C1040" s="911" t="s">
        <v>3556</v>
      </c>
      <c r="D1040" s="1305">
        <v>46075.650983796295</v>
      </c>
      <c r="E1040" s="835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694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1201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4" t="e">
        <f>LEFT(base[[#This Row],[Evento / Mercado]],FIND("/",base[[#This Row],[Evento / Mercado]])-2)</f>
        <v>#VALUE!</v>
      </c>
      <c r="T1040" s="1420">
        <f>base[[#This Row],[Data de liquidação]]</f>
        <v>46075.650983796295</v>
      </c>
      <c r="V1040" s="11"/>
    </row>
    <row r="1041" spans="2:22" ht="15" customHeight="1">
      <c r="B1041" s="742" t="s">
        <v>1133</v>
      </c>
      <c r="C1041" s="911" t="s">
        <v>3556</v>
      </c>
      <c r="D1041" s="1305">
        <v>46075.651192129626</v>
      </c>
      <c r="E1041" s="835">
        <v>31.95</v>
      </c>
      <c r="F1041" s="235">
        <v>4.4999999999999998E-2</v>
      </c>
      <c r="G1041" s="246">
        <f t="shared" si="17"/>
        <v>33.455497382198956</v>
      </c>
      <c r="H1041" s="246" t="s">
        <v>179</v>
      </c>
      <c r="I1041" s="244" t="s">
        <v>391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1201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4" t="e">
        <f>LEFT(base[[#This Row],[Evento / Mercado]],FIND("/",base[[#This Row],[Evento / Mercado]])-2)</f>
        <v>#VALUE!</v>
      </c>
      <c r="T1041" s="1420">
        <f>base[[#This Row],[Data de liquidação]]</f>
        <v>46075.651192129626</v>
      </c>
      <c r="V1041" s="11"/>
    </row>
    <row r="1042" spans="2:22" ht="15" customHeight="1">
      <c r="B1042" s="742" t="s">
        <v>1132</v>
      </c>
      <c r="C1042" s="911" t="s">
        <v>3556</v>
      </c>
      <c r="D1042" s="1305">
        <v>46075.66233796296</v>
      </c>
      <c r="E1042" s="835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4" t="e">
        <f>LEFT(base[[#This Row],[Evento / Mercado]],FIND("/",base[[#This Row],[Evento / Mercado]])-2)</f>
        <v>#VALUE!</v>
      </c>
      <c r="T1042" s="1420">
        <f>base[[#This Row],[Data de liquidação]]</f>
        <v>46075.66233796296</v>
      </c>
      <c r="V1042" s="11"/>
    </row>
    <row r="1043" spans="2:22" ht="15" customHeight="1">
      <c r="B1043" s="742" t="s">
        <v>1131</v>
      </c>
      <c r="C1043" s="911" t="s">
        <v>3556</v>
      </c>
      <c r="D1043" s="1305">
        <v>46075.666608796295</v>
      </c>
      <c r="E1043" s="835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4" t="e">
        <f>LEFT(base[[#This Row],[Evento / Mercado]],FIND("/",base[[#This Row],[Evento / Mercado]])-2)</f>
        <v>#VALUE!</v>
      </c>
      <c r="T1043" s="1420">
        <f>base[[#This Row],[Data de liquidação]]</f>
        <v>46075.666608796295</v>
      </c>
      <c r="V1043" s="11"/>
    </row>
    <row r="1044" spans="2:22" ht="15" customHeight="1">
      <c r="B1044" s="742" t="s">
        <v>1130</v>
      </c>
      <c r="C1044" s="911" t="s">
        <v>3556</v>
      </c>
      <c r="D1044" s="1305">
        <v>46075.670474537037</v>
      </c>
      <c r="E1044" s="835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4" t="e">
        <f>LEFT(base[[#This Row],[Evento / Mercado]],FIND("/",base[[#This Row],[Evento / Mercado]])-2)</f>
        <v>#VALUE!</v>
      </c>
      <c r="T1044" s="1420">
        <f>base[[#This Row],[Data de liquidação]]</f>
        <v>46075.670474537037</v>
      </c>
      <c r="V1044" s="11"/>
    </row>
    <row r="1045" spans="2:22" ht="15" customHeight="1">
      <c r="B1045" s="742" t="s">
        <v>1129</v>
      </c>
      <c r="C1045" s="911" t="s">
        <v>3556</v>
      </c>
      <c r="D1045" s="1305">
        <v>46075.671006944445</v>
      </c>
      <c r="E1045" s="835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4" t="e">
        <f>LEFT(base[[#This Row],[Evento / Mercado]],FIND("/",base[[#This Row],[Evento / Mercado]])-2)</f>
        <v>#VALUE!</v>
      </c>
      <c r="T1045" s="1420">
        <f>base[[#This Row],[Data de liquidação]]</f>
        <v>46075.671006944445</v>
      </c>
      <c r="V1045" s="11"/>
    </row>
    <row r="1046" spans="2:22" ht="15" customHeight="1">
      <c r="B1046" s="742" t="s">
        <v>1128</v>
      </c>
      <c r="C1046" s="911" t="s">
        <v>3556</v>
      </c>
      <c r="D1046" s="1305">
        <v>46075.684629629628</v>
      </c>
      <c r="E1046" s="835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4" t="e">
        <f>LEFT(base[[#This Row],[Evento / Mercado]],FIND("/",base[[#This Row],[Evento / Mercado]])-2)</f>
        <v>#VALUE!</v>
      </c>
      <c r="T1046" s="1420">
        <f>base[[#This Row],[Data de liquidação]]</f>
        <v>46075.684629629628</v>
      </c>
      <c r="V1046" s="11"/>
    </row>
    <row r="1047" spans="2:22" ht="15" customHeight="1">
      <c r="B1047" s="742" t="s">
        <v>1127</v>
      </c>
      <c r="C1047" s="911" t="s">
        <v>3556</v>
      </c>
      <c r="D1047" s="1305">
        <v>46075.685289351852</v>
      </c>
      <c r="E1047" s="835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627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1215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4" t="e">
        <f>LEFT(base[[#This Row],[Evento / Mercado]],FIND("/",base[[#This Row],[Evento / Mercado]])-2)</f>
        <v>#VALUE!</v>
      </c>
      <c r="T1047" s="1420">
        <f>base[[#This Row],[Data de liquidação]]</f>
        <v>46075.685289351852</v>
      </c>
      <c r="V1047" s="11"/>
    </row>
    <row r="1048" spans="2:22" ht="15" customHeight="1">
      <c r="B1048" s="742" t="s">
        <v>1126</v>
      </c>
      <c r="C1048" s="911" t="s">
        <v>3556</v>
      </c>
      <c r="D1048" s="1305">
        <v>46075.68608796296</v>
      </c>
      <c r="E1048" s="835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4" t="e">
        <f>LEFT(base[[#This Row],[Evento / Mercado]],FIND("/",base[[#This Row],[Evento / Mercado]])-2)</f>
        <v>#VALUE!</v>
      </c>
      <c r="T1048" s="1420">
        <f>base[[#This Row],[Data de liquidação]]</f>
        <v>46075.68608796296</v>
      </c>
      <c r="V1048" s="11"/>
    </row>
    <row r="1049" spans="2:22" ht="15" customHeight="1">
      <c r="B1049" s="742" t="s">
        <v>1125</v>
      </c>
      <c r="C1049" s="911" t="s">
        <v>3556</v>
      </c>
      <c r="D1049" s="1305">
        <v>46075.707662037035</v>
      </c>
      <c r="E1049" s="835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4" t="e">
        <f>LEFT(base[[#This Row],[Evento / Mercado]],FIND("/",base[[#This Row],[Evento / Mercado]])-2)</f>
        <v>#VALUE!</v>
      </c>
      <c r="T1049" s="1420">
        <f>base[[#This Row],[Data de liquidação]]</f>
        <v>46075.707662037035</v>
      </c>
      <c r="V1049" s="11"/>
    </row>
    <row r="1050" spans="2:22" ht="15" customHeight="1">
      <c r="B1050" s="742" t="s">
        <v>1124</v>
      </c>
      <c r="C1050" s="911" t="s">
        <v>3556</v>
      </c>
      <c r="D1050" s="1305">
        <v>46075.727337962962</v>
      </c>
      <c r="E1050" s="835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4" t="e">
        <f>LEFT(base[[#This Row],[Evento / Mercado]],FIND("/",base[[#This Row],[Evento / Mercado]])-2)</f>
        <v>#VALUE!</v>
      </c>
      <c r="T1050" s="1420">
        <f>base[[#This Row],[Data de liquidação]]</f>
        <v>46075.727337962962</v>
      </c>
      <c r="V1050" s="11"/>
    </row>
    <row r="1051" spans="2:22" ht="15" customHeight="1">
      <c r="B1051" s="742" t="s">
        <v>1123</v>
      </c>
      <c r="C1051" s="911" t="s">
        <v>3556</v>
      </c>
      <c r="D1051" s="1305">
        <v>46075.728807870371</v>
      </c>
      <c r="E1051" s="835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694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1200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4" t="e">
        <f>LEFT(base[[#This Row],[Evento / Mercado]],FIND("/",base[[#This Row],[Evento / Mercado]])-2)</f>
        <v>#VALUE!</v>
      </c>
      <c r="T1051" s="1420">
        <f>base[[#This Row],[Data de liquidação]]</f>
        <v>46075.728807870371</v>
      </c>
      <c r="V1051" s="11"/>
    </row>
    <row r="1052" spans="2:22" ht="15" customHeight="1">
      <c r="B1052" s="742" t="s">
        <v>1122</v>
      </c>
      <c r="C1052" s="911" t="s">
        <v>3556</v>
      </c>
      <c r="D1052" s="1305">
        <v>46075.729259259257</v>
      </c>
      <c r="E1052" s="835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4" t="e">
        <f>LEFT(base[[#This Row],[Evento / Mercado]],FIND("/",base[[#This Row],[Evento / Mercado]])-2)</f>
        <v>#VALUE!</v>
      </c>
      <c r="T1052" s="1420">
        <f>base[[#This Row],[Data de liquidação]]</f>
        <v>46075.729259259257</v>
      </c>
      <c r="V1052" s="11"/>
    </row>
    <row r="1053" spans="2:22" ht="15" customHeight="1">
      <c r="B1053" s="742" t="s">
        <v>1121</v>
      </c>
      <c r="C1053" s="911" t="s">
        <v>3556</v>
      </c>
      <c r="D1053" s="1305">
        <v>46075.777685185189</v>
      </c>
      <c r="E1053" s="835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4" t="e">
        <f>LEFT(base[[#This Row],[Evento / Mercado]],FIND("/",base[[#This Row],[Evento / Mercado]])-2)</f>
        <v>#VALUE!</v>
      </c>
      <c r="T1053" s="1420">
        <f>base[[#This Row],[Data de liquidação]]</f>
        <v>46075.777685185189</v>
      </c>
      <c r="V1053" s="11"/>
    </row>
    <row r="1054" spans="2:22" ht="15" customHeight="1">
      <c r="B1054" s="742" t="s">
        <v>1121</v>
      </c>
      <c r="C1054" s="911" t="s">
        <v>3556</v>
      </c>
      <c r="D1054" s="1305">
        <v>46075.777731481481</v>
      </c>
      <c r="E1054" s="835">
        <v>19.7</v>
      </c>
      <c r="F1054" s="235">
        <v>4.4999999999999998E-2</v>
      </c>
      <c r="G1054" s="246">
        <f t="shared" si="17"/>
        <v>20.6282722513089</v>
      </c>
      <c r="H1054" s="246" t="s">
        <v>179</v>
      </c>
      <c r="I1054" s="244" t="s">
        <v>392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1207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4" t="e">
        <f>LEFT(base[[#This Row],[Evento / Mercado]],FIND("/",base[[#This Row],[Evento / Mercado]])-2)</f>
        <v>#VALUE!</v>
      </c>
      <c r="T1054" s="1420">
        <f>base[[#This Row],[Data de liquidação]]</f>
        <v>46075.777731481481</v>
      </c>
      <c r="V1054" s="11"/>
    </row>
    <row r="1055" spans="2:22" ht="15" customHeight="1">
      <c r="B1055" s="742" t="s">
        <v>1120</v>
      </c>
      <c r="C1055" s="911" t="s">
        <v>3556</v>
      </c>
      <c r="D1055" s="1305">
        <v>46075.787175925929</v>
      </c>
      <c r="E1055" s="835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4" t="e">
        <f>LEFT(base[[#This Row],[Evento / Mercado]],FIND("/",base[[#This Row],[Evento / Mercado]])-2)</f>
        <v>#VALUE!</v>
      </c>
      <c r="T1055" s="1420">
        <f>base[[#This Row],[Data de liquidação]]</f>
        <v>46075.787175925929</v>
      </c>
      <c r="V1055" s="11"/>
    </row>
    <row r="1056" spans="2:22" ht="15" customHeight="1">
      <c r="B1056" s="742" t="s">
        <v>1119</v>
      </c>
      <c r="C1056" s="911" t="s">
        <v>3556</v>
      </c>
      <c r="D1056" s="1305">
        <v>46075.79210648148</v>
      </c>
      <c r="E1056" s="835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4" t="e">
        <f>LEFT(base[[#This Row],[Evento / Mercado]],FIND("/",base[[#This Row],[Evento / Mercado]])-2)</f>
        <v>#VALUE!</v>
      </c>
      <c r="T1056" s="1420">
        <f>base[[#This Row],[Data de liquidação]]</f>
        <v>46075.79210648148</v>
      </c>
      <c r="V1056" s="11"/>
    </row>
    <row r="1057" spans="2:22" ht="15" customHeight="1">
      <c r="B1057" s="742" t="s">
        <v>1119</v>
      </c>
      <c r="C1057" s="911" t="s">
        <v>3556</v>
      </c>
      <c r="D1057" s="1305">
        <v>46075.792164351849</v>
      </c>
      <c r="E1057" s="835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392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1202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4" t="e">
        <f>LEFT(base[[#This Row],[Evento / Mercado]],FIND("/",base[[#This Row],[Evento / Mercado]])-2)</f>
        <v>#VALUE!</v>
      </c>
      <c r="T1057" s="1420">
        <f>base[[#This Row],[Data de liquidação]]</f>
        <v>46075.792164351849</v>
      </c>
      <c r="V1057" s="11"/>
    </row>
    <row r="1058" spans="2:22" ht="15" customHeight="1">
      <c r="B1058" s="742" t="s">
        <v>1118</v>
      </c>
      <c r="C1058" s="911" t="s">
        <v>3556</v>
      </c>
      <c r="D1058" s="1305">
        <v>46075.816643518519</v>
      </c>
      <c r="E1058" s="835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4" t="e">
        <f>LEFT(base[[#This Row],[Evento / Mercado]],FIND("/",base[[#This Row],[Evento / Mercado]])-2)</f>
        <v>#VALUE!</v>
      </c>
      <c r="T1058" s="1420">
        <f>base[[#This Row],[Data de liquidação]]</f>
        <v>46075.816643518519</v>
      </c>
      <c r="V1058" s="11"/>
    </row>
    <row r="1059" spans="2:22" ht="15" customHeight="1">
      <c r="B1059" s="742" t="s">
        <v>1117</v>
      </c>
      <c r="C1059" s="911" t="s">
        <v>3556</v>
      </c>
      <c r="D1059" s="1305">
        <v>46075.832650462966</v>
      </c>
      <c r="E1059" s="835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4" t="e">
        <f>LEFT(base[[#This Row],[Evento / Mercado]],FIND("/",base[[#This Row],[Evento / Mercado]])-2)</f>
        <v>#VALUE!</v>
      </c>
      <c r="T1059" s="1420">
        <f>base[[#This Row],[Data de liquidação]]</f>
        <v>46075.832650462966</v>
      </c>
      <c r="V1059" s="11"/>
    </row>
    <row r="1060" spans="2:22" ht="15" customHeight="1">
      <c r="B1060" s="742" t="s">
        <v>1116</v>
      </c>
      <c r="C1060" s="911" t="s">
        <v>3556</v>
      </c>
      <c r="D1060" s="1305">
        <v>46075.936585648145</v>
      </c>
      <c r="E1060" s="835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4" t="e">
        <f>LEFT(base[[#This Row],[Evento / Mercado]],FIND("/",base[[#This Row],[Evento / Mercado]])-2)</f>
        <v>#VALUE!</v>
      </c>
      <c r="T1060" s="1420">
        <f>base[[#This Row],[Data de liquidação]]</f>
        <v>46075.936585648145</v>
      </c>
      <c r="V1060" s="11"/>
    </row>
    <row r="1061" spans="2:22" ht="15" customHeight="1">
      <c r="B1061" s="742" t="s">
        <v>1115</v>
      </c>
      <c r="C1061" s="911" t="s">
        <v>3556</v>
      </c>
      <c r="D1061" s="1305">
        <v>46075.977152777778</v>
      </c>
      <c r="E1061" s="835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4" t="e">
        <f>LEFT(base[[#This Row],[Evento / Mercado]],FIND("/",base[[#This Row],[Evento / Mercado]])-2)</f>
        <v>#VALUE!</v>
      </c>
      <c r="T1061" s="1420">
        <f>base[[#This Row],[Data de liquidação]]</f>
        <v>46075.977152777778</v>
      </c>
      <c r="V1061" s="11"/>
    </row>
    <row r="1062" spans="2:22" ht="15" customHeight="1">
      <c r="B1062" s="743" t="s">
        <v>1148</v>
      </c>
      <c r="C1062" s="911" t="s">
        <v>3556</v>
      </c>
      <c r="D1062" s="1306">
        <v>46076.674004629633</v>
      </c>
      <c r="E1062" s="836">
        <v>20.76</v>
      </c>
      <c r="F1062" s="235">
        <v>4.4999999999999998E-2</v>
      </c>
      <c r="G1062" s="250">
        <f t="shared" si="17"/>
        <v>21.738219895287962</v>
      </c>
      <c r="H1062" s="250" t="s">
        <v>179</v>
      </c>
      <c r="I1062" s="248" t="s">
        <v>392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1204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4" t="e">
        <f>LEFT(base[[#This Row],[Evento / Mercado]],FIND("/",base[[#This Row],[Evento / Mercado]])-2)</f>
        <v>#VALUE!</v>
      </c>
      <c r="T1062" s="1420">
        <f>base[[#This Row],[Data de liquidação]]</f>
        <v>46076.674004629633</v>
      </c>
      <c r="V1062" s="11"/>
    </row>
    <row r="1063" spans="2:22" ht="15" customHeight="1">
      <c r="B1063" s="743" t="s">
        <v>1147</v>
      </c>
      <c r="C1063" s="911" t="s">
        <v>3556</v>
      </c>
      <c r="D1063" s="1306">
        <v>46076.706458333334</v>
      </c>
      <c r="E1063" s="836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627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1220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4" t="e">
        <f>LEFT(base[[#This Row],[Evento / Mercado]],FIND("/",base[[#This Row],[Evento / Mercado]])-2)</f>
        <v>#VALUE!</v>
      </c>
      <c r="T1063" s="1420">
        <f>base[[#This Row],[Data de liquidação]]</f>
        <v>46076.706458333334</v>
      </c>
      <c r="V1063" s="11"/>
    </row>
    <row r="1064" spans="2:22" ht="15" customHeight="1">
      <c r="B1064" s="743" t="s">
        <v>1146</v>
      </c>
      <c r="C1064" s="911" t="s">
        <v>3556</v>
      </c>
      <c r="D1064" s="1306">
        <v>46076.743877314817</v>
      </c>
      <c r="E1064" s="836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4" t="e">
        <f>LEFT(base[[#This Row],[Evento / Mercado]],FIND("/",base[[#This Row],[Evento / Mercado]])-2)</f>
        <v>#VALUE!</v>
      </c>
      <c r="T1064" s="1420">
        <f>base[[#This Row],[Data de liquidação]]</f>
        <v>46076.743877314817</v>
      </c>
      <c r="V1064" s="11"/>
    </row>
    <row r="1065" spans="2:22" ht="15" customHeight="1">
      <c r="B1065" s="743" t="s">
        <v>1145</v>
      </c>
      <c r="C1065" s="911" t="s">
        <v>3556</v>
      </c>
      <c r="D1065" s="1306">
        <v>46076.744328703702</v>
      </c>
      <c r="E1065" s="836">
        <v>26.85</v>
      </c>
      <c r="F1065" s="235">
        <v>4.4999999999999998E-2</v>
      </c>
      <c r="G1065" s="250">
        <f t="shared" si="17"/>
        <v>28.1151832460733</v>
      </c>
      <c r="H1065" s="250" t="s">
        <v>179</v>
      </c>
      <c r="I1065" s="248" t="s">
        <v>392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1211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4" t="e">
        <f>LEFT(base[[#This Row],[Evento / Mercado]],FIND("/",base[[#This Row],[Evento / Mercado]])-2)</f>
        <v>#VALUE!</v>
      </c>
      <c r="T1065" s="1420">
        <f>base[[#This Row],[Data de liquidação]]</f>
        <v>46076.744328703702</v>
      </c>
      <c r="V1065" s="11"/>
    </row>
    <row r="1066" spans="2:22" ht="15" customHeight="1">
      <c r="B1066" s="743" t="s">
        <v>215</v>
      </c>
      <c r="C1066" s="911" t="s">
        <v>3556</v>
      </c>
      <c r="D1066" s="1306">
        <v>46076.745752314811</v>
      </c>
      <c r="E1066" s="836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4" t="e">
        <f>LEFT(base[[#This Row],[Evento / Mercado]],FIND("/",base[[#This Row],[Evento / Mercado]])-2)</f>
        <v>#VALUE!</v>
      </c>
      <c r="T1066" s="1420">
        <f>base[[#This Row],[Data de liquidação]]</f>
        <v>46076.745752314811</v>
      </c>
      <c r="V1066" s="11"/>
    </row>
    <row r="1067" spans="2:22" ht="15" customHeight="1">
      <c r="B1067" s="743" t="s">
        <v>1144</v>
      </c>
      <c r="C1067" s="911" t="s">
        <v>3556</v>
      </c>
      <c r="D1067" s="1306">
        <v>46076.747858796298</v>
      </c>
      <c r="E1067" s="836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4" t="e">
        <f>LEFT(base[[#This Row],[Evento / Mercado]],FIND("/",base[[#This Row],[Evento / Mercado]])-2)</f>
        <v>#VALUE!</v>
      </c>
      <c r="T1067" s="1420">
        <f>base[[#This Row],[Data de liquidação]]</f>
        <v>46076.747858796298</v>
      </c>
      <c r="V1067" s="11"/>
    </row>
    <row r="1068" spans="2:22" ht="15" customHeight="1">
      <c r="B1068" s="743" t="s">
        <v>1143</v>
      </c>
      <c r="C1068" s="911" t="s">
        <v>3556</v>
      </c>
      <c r="D1068" s="1306">
        <v>46076.753645833334</v>
      </c>
      <c r="E1068" s="836">
        <v>21.52</v>
      </c>
      <c r="F1068" s="235">
        <v>4.4999999999999998E-2</v>
      </c>
      <c r="G1068" s="250">
        <f t="shared" si="17"/>
        <v>22.534031413612567</v>
      </c>
      <c r="H1068" s="250" t="s">
        <v>179</v>
      </c>
      <c r="I1068" s="270" t="s">
        <v>391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1211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4" t="e">
        <f>LEFT(base[[#This Row],[Evento / Mercado]],FIND("/",base[[#This Row],[Evento / Mercado]])-2)</f>
        <v>#VALUE!</v>
      </c>
      <c r="T1068" s="1420">
        <f>base[[#This Row],[Data de liquidação]]</f>
        <v>46076.753645833334</v>
      </c>
      <c r="V1068" s="11"/>
    </row>
    <row r="1069" spans="2:22" ht="15" customHeight="1">
      <c r="B1069" s="743" t="s">
        <v>1142</v>
      </c>
      <c r="C1069" s="911" t="s">
        <v>3556</v>
      </c>
      <c r="D1069" s="1306">
        <v>46076.767847222225</v>
      </c>
      <c r="E1069" s="836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4" t="e">
        <f>LEFT(base[[#This Row],[Evento / Mercado]],FIND("/",base[[#This Row],[Evento / Mercado]])-2)</f>
        <v>#VALUE!</v>
      </c>
      <c r="T1069" s="1420">
        <f>base[[#This Row],[Data de liquidação]]</f>
        <v>46076.767847222225</v>
      </c>
      <c r="V1069" s="11"/>
    </row>
    <row r="1070" spans="2:22" ht="15" customHeight="1">
      <c r="B1070" s="743" t="s">
        <v>1141</v>
      </c>
      <c r="C1070" s="911" t="s">
        <v>3556</v>
      </c>
      <c r="D1070" s="1306">
        <v>46076.778287037036</v>
      </c>
      <c r="E1070" s="836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4" t="e">
        <f>LEFT(base[[#This Row],[Evento / Mercado]],FIND("/",base[[#This Row],[Evento / Mercado]])-2)</f>
        <v>#VALUE!</v>
      </c>
      <c r="T1070" s="1420">
        <f>base[[#This Row],[Data de liquidação]]</f>
        <v>46076.778287037036</v>
      </c>
      <c r="V1070" s="11"/>
    </row>
    <row r="1071" spans="2:22" ht="15" customHeight="1">
      <c r="B1071" s="743" t="s">
        <v>1140</v>
      </c>
      <c r="C1071" s="911" t="s">
        <v>3556</v>
      </c>
      <c r="D1071" s="1306">
        <v>46076.797418981485</v>
      </c>
      <c r="E1071" s="836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4" t="e">
        <f>LEFT(base[[#This Row],[Evento / Mercado]],FIND("/",base[[#This Row],[Evento / Mercado]])-2)</f>
        <v>#VALUE!</v>
      </c>
      <c r="T1071" s="1420">
        <f>base[[#This Row],[Data de liquidação]]</f>
        <v>46076.797418981485</v>
      </c>
      <c r="V1071" s="11"/>
    </row>
    <row r="1072" spans="2:22" ht="15" customHeight="1">
      <c r="B1072" s="744" t="s">
        <v>1159</v>
      </c>
      <c r="C1072" s="911" t="s">
        <v>3556</v>
      </c>
      <c r="D1072" s="1307">
        <v>46077.691493055558</v>
      </c>
      <c r="E1072" s="837">
        <v>32.36</v>
      </c>
      <c r="F1072" s="235">
        <v>4.4999999999999998E-2</v>
      </c>
      <c r="G1072" s="253">
        <f t="shared" si="17"/>
        <v>33.8848167539267</v>
      </c>
      <c r="H1072" s="250" t="s">
        <v>179</v>
      </c>
      <c r="I1072" s="248" t="s">
        <v>392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1210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4" t="e">
        <f>LEFT(base[[#This Row],[Evento / Mercado]],FIND("/",base[[#This Row],[Evento / Mercado]])-2)</f>
        <v>#VALUE!</v>
      </c>
      <c r="T1072" s="1420">
        <f>base[[#This Row],[Data de liquidação]]</f>
        <v>46077.691493055558</v>
      </c>
      <c r="V1072" s="11"/>
    </row>
    <row r="1073" spans="2:22" ht="15" customHeight="1">
      <c r="B1073" s="744" t="s">
        <v>1158</v>
      </c>
      <c r="C1073" s="911" t="s">
        <v>3556</v>
      </c>
      <c r="D1073" s="1307">
        <v>46077.746006944442</v>
      </c>
      <c r="E1073" s="837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4" t="e">
        <f>LEFT(base[[#This Row],[Evento / Mercado]],FIND("/",base[[#This Row],[Evento / Mercado]])-2)</f>
        <v>#VALUE!</v>
      </c>
      <c r="T1073" s="142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744" t="s">
        <v>1158</v>
      </c>
      <c r="C1074" s="911" t="s">
        <v>3556</v>
      </c>
      <c r="D1074" s="1307">
        <v>46077.746006944442</v>
      </c>
      <c r="E1074" s="837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4" t="e">
        <f>LEFT(base[[#This Row],[Evento / Mercado]],FIND("/",base[[#This Row],[Evento / Mercado]])-2)</f>
        <v>#VALUE!</v>
      </c>
      <c r="T1074" s="142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744" t="s">
        <v>1158</v>
      </c>
      <c r="C1075" s="911" t="s">
        <v>3556</v>
      </c>
      <c r="D1075" s="1307">
        <v>46077.746053240742</v>
      </c>
      <c r="E1075" s="837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392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1198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4" t="e">
        <f>LEFT(base[[#This Row],[Evento / Mercado]],FIND("/",base[[#This Row],[Evento / Mercado]])-2)</f>
        <v>#VALUE!</v>
      </c>
      <c r="T1075" s="1420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744" t="s">
        <v>1157</v>
      </c>
      <c r="C1076" s="911" t="s">
        <v>3556</v>
      </c>
      <c r="D1076" s="1307">
        <v>46077.776226851849</v>
      </c>
      <c r="E1076" s="837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4" t="e">
        <f>LEFT(base[[#This Row],[Evento / Mercado]],FIND("/",base[[#This Row],[Evento / Mercado]])-2)</f>
        <v>#VALUE!</v>
      </c>
      <c r="T1076" s="1420">
        <f>base[[#This Row],[Data de liquidação]]</f>
        <v>46077.776226851849</v>
      </c>
      <c r="V1076" s="11"/>
    </row>
    <row r="1077" spans="2:22" ht="15" customHeight="1">
      <c r="B1077" s="744" t="s">
        <v>1156</v>
      </c>
      <c r="C1077" s="911" t="s">
        <v>3556</v>
      </c>
      <c r="D1077" s="1307">
        <v>46077.776967592596</v>
      </c>
      <c r="E1077" s="837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4" t="e">
        <f>LEFT(base[[#This Row],[Evento / Mercado]],FIND("/",base[[#This Row],[Evento / Mercado]])-2)</f>
        <v>#VALUE!</v>
      </c>
      <c r="T1077" s="1420">
        <f>base[[#This Row],[Data de liquidação]]</f>
        <v>46077.776967592596</v>
      </c>
      <c r="V1077" s="11"/>
    </row>
    <row r="1078" spans="2:22" ht="15" customHeight="1">
      <c r="B1078" s="744" t="s">
        <v>1155</v>
      </c>
      <c r="C1078" s="911" t="s">
        <v>3556</v>
      </c>
      <c r="D1078" s="1307">
        <v>46077.777951388889</v>
      </c>
      <c r="E1078" s="837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392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1206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4" t="e">
        <f>LEFT(base[[#This Row],[Evento / Mercado]],FIND("/",base[[#This Row],[Evento / Mercado]])-2)</f>
        <v>#VALUE!</v>
      </c>
      <c r="T1078" s="1420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744" t="s">
        <v>1154</v>
      </c>
      <c r="C1079" s="911" t="s">
        <v>3556</v>
      </c>
      <c r="D1079" s="1307">
        <v>46077.779351851852</v>
      </c>
      <c r="E1079" s="837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4" t="e">
        <f>LEFT(base[[#This Row],[Evento / Mercado]],FIND("/",base[[#This Row],[Evento / Mercado]])-2)</f>
        <v>#VALUE!</v>
      </c>
      <c r="T1079" s="1420">
        <f>base[[#This Row],[Data de liquidação]]</f>
        <v>46077.779351851852</v>
      </c>
      <c r="V1079" s="11"/>
    </row>
    <row r="1080" spans="2:22" ht="15" customHeight="1">
      <c r="B1080" s="744" t="s">
        <v>1153</v>
      </c>
      <c r="C1080" s="911" t="s">
        <v>3556</v>
      </c>
      <c r="D1080" s="1307">
        <v>46077.779803240737</v>
      </c>
      <c r="E1080" s="837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4" t="e">
        <f>LEFT(base[[#This Row],[Evento / Mercado]],FIND("/",base[[#This Row],[Evento / Mercado]])-2)</f>
        <v>#VALUE!</v>
      </c>
      <c r="T1080" s="1420">
        <f>base[[#This Row],[Data de liquidação]]</f>
        <v>46077.779803240737</v>
      </c>
      <c r="V1080" s="11"/>
    </row>
    <row r="1081" spans="2:22" ht="15" customHeight="1">
      <c r="B1081" s="744" t="s">
        <v>1152</v>
      </c>
      <c r="C1081" s="911" t="s">
        <v>3556</v>
      </c>
      <c r="D1081" s="1307">
        <v>46077.779953703706</v>
      </c>
      <c r="E1081" s="837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4" t="e">
        <f>LEFT(base[[#This Row],[Evento / Mercado]],FIND("/",base[[#This Row],[Evento / Mercado]])-2)</f>
        <v>#VALUE!</v>
      </c>
      <c r="T1081" s="142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744" t="s">
        <v>1152</v>
      </c>
      <c r="C1082" s="911" t="s">
        <v>3556</v>
      </c>
      <c r="D1082" s="1307">
        <v>46077.779953703706</v>
      </c>
      <c r="E1082" s="837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4" t="e">
        <f>LEFT(base[[#This Row],[Evento / Mercado]],FIND("/",base[[#This Row],[Evento / Mercado]])-2)</f>
        <v>#VALUE!</v>
      </c>
      <c r="T1082" s="142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744" t="s">
        <v>1151</v>
      </c>
      <c r="C1083" s="911" t="s">
        <v>3556</v>
      </c>
      <c r="D1083" s="1307">
        <v>46077.78570601852</v>
      </c>
      <c r="E1083" s="837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4" t="str">
        <f>LEFT(base[[#This Row],[Evento / Mercado]],FIND("/",base[[#This Row],[Evento / Mercado]])-2)</f>
        <v>Internazionale vs Bod</v>
      </c>
      <c r="T1083" s="1420">
        <f>base[[#This Row],[Data de liquidação]]</f>
        <v>46077.78570601852</v>
      </c>
      <c r="V1083" s="11"/>
    </row>
    <row r="1084" spans="2:22" ht="15" customHeight="1">
      <c r="B1084" s="744" t="s">
        <v>1151</v>
      </c>
      <c r="C1084" s="911" t="s">
        <v>3556</v>
      </c>
      <c r="D1084" s="1307">
        <v>46077.785856481481</v>
      </c>
      <c r="E1084" s="837">
        <v>-199.22</v>
      </c>
      <c r="F1084" s="235">
        <v>4.4999999999999998E-2</v>
      </c>
      <c r="G1084" s="253">
        <f t="shared" si="17"/>
        <v>-199.22</v>
      </c>
      <c r="H1084" s="250" t="s">
        <v>179</v>
      </c>
      <c r="I1084" s="248" t="s">
        <v>392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1210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4" t="str">
        <f>LEFT(base[[#This Row],[Evento / Mercado]],FIND("/",base[[#This Row],[Evento / Mercado]])-2)</f>
        <v>Internazionale vs Bod</v>
      </c>
      <c r="T1084" s="1420">
        <f>base[[#This Row],[Data de liquidação]]</f>
        <v>46077.785856481481</v>
      </c>
      <c r="V1084" s="11">
        <f>-250+200</f>
        <v>-50</v>
      </c>
    </row>
    <row r="1085" spans="2:22" ht="15" customHeight="1">
      <c r="B1085" s="744" t="s">
        <v>1150</v>
      </c>
      <c r="C1085" s="911" t="s">
        <v>3556</v>
      </c>
      <c r="D1085" s="1307">
        <v>46077.78800925926</v>
      </c>
      <c r="E1085" s="837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4" t="e">
        <f>LEFT(base[[#This Row],[Evento / Mercado]],FIND("/",base[[#This Row],[Evento / Mercado]])-2)</f>
        <v>#VALUE!</v>
      </c>
      <c r="T1085" s="1420">
        <f>base[[#This Row],[Data de liquidação]]</f>
        <v>46077.78800925926</v>
      </c>
      <c r="V1085" s="11"/>
    </row>
    <row r="1086" spans="2:22" ht="15" customHeight="1">
      <c r="B1086" s="744" t="s">
        <v>1149</v>
      </c>
      <c r="C1086" s="911" t="s">
        <v>3556</v>
      </c>
      <c r="D1086" s="1307">
        <v>46077.875011574077</v>
      </c>
      <c r="E1086" s="837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4" t="e">
        <f>LEFT(base[[#This Row],[Evento / Mercado]],FIND("/",base[[#This Row],[Evento / Mercado]])-2)</f>
        <v>#VALUE!</v>
      </c>
      <c r="T1086" s="1420">
        <f>base[[#This Row],[Data de liquidação]]</f>
        <v>46077.875011574077</v>
      </c>
      <c r="V1086" s="11"/>
    </row>
    <row r="1087" spans="2:22" ht="15" customHeight="1">
      <c r="B1087" s="745" t="s">
        <v>1164</v>
      </c>
      <c r="C1087" s="911" t="s">
        <v>3556</v>
      </c>
      <c r="D1087" s="1308">
        <v>46078.768946759257</v>
      </c>
      <c r="E1087" s="838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4" t="e">
        <f>LEFT(base[[#This Row],[Evento / Mercado]],FIND("/",base[[#This Row],[Evento / Mercado]])-2)</f>
        <v>#VALUE!</v>
      </c>
      <c r="T1087" s="1420">
        <f>base[[#This Row],[Data de liquidação]]</f>
        <v>46078.768946759257</v>
      </c>
      <c r="V1087" s="11"/>
    </row>
    <row r="1088" spans="2:22" ht="15" customHeight="1">
      <c r="B1088" s="745" t="s">
        <v>1163</v>
      </c>
      <c r="C1088" s="911" t="s">
        <v>3556</v>
      </c>
      <c r="D1088" s="1308">
        <v>46078.778738425928</v>
      </c>
      <c r="E1088" s="838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4" t="e">
        <f>LEFT(base[[#This Row],[Evento / Mercado]],FIND("/",base[[#This Row],[Evento / Mercado]])-2)</f>
        <v>#VALUE!</v>
      </c>
      <c r="T1088" s="1420">
        <f>base[[#This Row],[Data de liquidação]]</f>
        <v>46078.778738425928</v>
      </c>
      <c r="V1088" s="11"/>
    </row>
    <row r="1089" spans="2:22" ht="15" customHeight="1">
      <c r="B1089" s="745" t="s">
        <v>1162</v>
      </c>
      <c r="C1089" s="911" t="s">
        <v>3556</v>
      </c>
      <c r="D1089" s="1308">
        <v>46078.785694444443</v>
      </c>
      <c r="E1089" s="838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4" t="e">
        <f>LEFT(base[[#This Row],[Evento / Mercado]],FIND("/",base[[#This Row],[Evento / Mercado]])-2)</f>
        <v>#VALUE!</v>
      </c>
      <c r="T1089" s="1420">
        <f>base[[#This Row],[Data de liquidação]]</f>
        <v>46078.785694444443</v>
      </c>
      <c r="V1089" s="11"/>
    </row>
    <row r="1090" spans="2:22" ht="15" customHeight="1">
      <c r="B1090" s="745" t="s">
        <v>1161</v>
      </c>
      <c r="C1090" s="911" t="s">
        <v>3556</v>
      </c>
      <c r="D1090" s="1308">
        <v>46078.791643518518</v>
      </c>
      <c r="E1090" s="838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4" t="e">
        <f>LEFT(base[[#This Row],[Evento / Mercado]],FIND("/",base[[#This Row],[Evento / Mercado]])-2)</f>
        <v>#VALUE!</v>
      </c>
      <c r="T1090" s="1420">
        <f>base[[#This Row],[Data de liquidação]]</f>
        <v>46078.791643518518</v>
      </c>
      <c r="V1090" s="11"/>
    </row>
    <row r="1091" spans="2:22" ht="15" customHeight="1">
      <c r="B1091" s="745" t="s">
        <v>1160</v>
      </c>
      <c r="C1091" s="911" t="s">
        <v>3556</v>
      </c>
      <c r="D1091" s="1308">
        <v>46078.873229166667</v>
      </c>
      <c r="E1091" s="838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4" t="e">
        <f>LEFT(base[[#This Row],[Evento / Mercado]],FIND("/",base[[#This Row],[Evento / Mercado]])-2)</f>
        <v>#VALUE!</v>
      </c>
      <c r="T1091" s="1420">
        <f>base[[#This Row],[Data de liquidação]]</f>
        <v>46078.873229166667</v>
      </c>
      <c r="V1091" s="11"/>
    </row>
    <row r="1092" spans="2:22" ht="15" customHeight="1">
      <c r="B1092" s="746" t="s">
        <v>1173</v>
      </c>
      <c r="C1092" s="911" t="s">
        <v>3556</v>
      </c>
      <c r="D1092" s="1309">
        <v>46079.692187499997</v>
      </c>
      <c r="E1092" s="839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4" t="e">
        <f>LEFT(base[[#This Row],[Evento / Mercado]],FIND("/",base[[#This Row],[Evento / Mercado]])-2)</f>
        <v>#VALUE!</v>
      </c>
      <c r="T1092" s="1420">
        <f>base[[#This Row],[Data de liquidação]]</f>
        <v>46079.692187499997</v>
      </c>
      <c r="V1092" s="11"/>
    </row>
    <row r="1093" spans="2:22" ht="15" customHeight="1">
      <c r="B1093" s="746" t="s">
        <v>1172</v>
      </c>
      <c r="C1093" s="911" t="s">
        <v>3556</v>
      </c>
      <c r="D1093" s="1309">
        <v>46079.692199074074</v>
      </c>
      <c r="E1093" s="839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4" t="e">
        <f>LEFT(base[[#This Row],[Evento / Mercado]],FIND("/",base[[#This Row],[Evento / Mercado]])-2)</f>
        <v>#VALUE!</v>
      </c>
      <c r="T1093" s="1420">
        <f>base[[#This Row],[Data de liquidação]]</f>
        <v>46079.692199074074</v>
      </c>
      <c r="V1093" s="11"/>
    </row>
    <row r="1094" spans="2:22" ht="15" customHeight="1">
      <c r="B1094" s="746" t="s">
        <v>1171</v>
      </c>
      <c r="C1094" s="911" t="s">
        <v>3556</v>
      </c>
      <c r="D1094" s="1309">
        <v>46079.696250000001</v>
      </c>
      <c r="E1094" s="839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4" t="e">
        <f>LEFT(base[[#This Row],[Evento / Mercado]],FIND("/",base[[#This Row],[Evento / Mercado]])-2)</f>
        <v>#VALUE!</v>
      </c>
      <c r="T1094" s="142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746" t="s">
        <v>1171</v>
      </c>
      <c r="C1095" s="911" t="s">
        <v>3556</v>
      </c>
      <c r="D1095" s="1309">
        <v>46079.696250000001</v>
      </c>
      <c r="E1095" s="839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4" t="e">
        <f>LEFT(base[[#This Row],[Evento / Mercado]],FIND("/",base[[#This Row],[Evento / Mercado]])-2)</f>
        <v>#VALUE!</v>
      </c>
      <c r="T1095" s="142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746" t="s">
        <v>1170</v>
      </c>
      <c r="C1096" s="911" t="s">
        <v>3556</v>
      </c>
      <c r="D1096" s="1309">
        <v>46079.75199074074</v>
      </c>
      <c r="E1096" s="839">
        <v>25.62</v>
      </c>
      <c r="F1096" s="235">
        <v>4.4999999999999998E-2</v>
      </c>
      <c r="G1096" s="260">
        <f t="shared" si="18"/>
        <v>26.827225130890053</v>
      </c>
      <c r="H1096" s="260" t="s">
        <v>179</v>
      </c>
      <c r="I1096" s="258" t="s">
        <v>391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1211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4" t="e">
        <f>LEFT(base[[#This Row],[Evento / Mercado]],FIND("/",base[[#This Row],[Evento / Mercado]])-2)</f>
        <v>#VALUE!</v>
      </c>
      <c r="T1096" s="1420">
        <f>base[[#This Row],[Data de liquidação]]</f>
        <v>46079.75199074074</v>
      </c>
      <c r="V1096" s="11"/>
    </row>
    <row r="1097" spans="2:22" ht="15" customHeight="1">
      <c r="B1097" s="746" t="s">
        <v>1169</v>
      </c>
      <c r="C1097" s="911" t="s">
        <v>3556</v>
      </c>
      <c r="D1097" s="1309">
        <v>46079.785057870373</v>
      </c>
      <c r="E1097" s="839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4" t="e">
        <f>LEFT(base[[#This Row],[Evento / Mercado]],FIND("/",base[[#This Row],[Evento / Mercado]])-2)</f>
        <v>#VALUE!</v>
      </c>
      <c r="T1097" s="1420">
        <f>base[[#This Row],[Data de liquidação]]</f>
        <v>46079.785057870373</v>
      </c>
      <c r="V1097" s="11"/>
    </row>
    <row r="1098" spans="2:22" ht="15" customHeight="1">
      <c r="B1098" s="746" t="s">
        <v>1169</v>
      </c>
      <c r="C1098" s="911" t="s">
        <v>3556</v>
      </c>
      <c r="D1098" s="1309">
        <v>46079.785057870373</v>
      </c>
      <c r="E1098" s="839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4" t="e">
        <f>LEFT(base[[#This Row],[Evento / Mercado]],FIND("/",base[[#This Row],[Evento / Mercado]])-2)</f>
        <v>#VALUE!</v>
      </c>
      <c r="T1098" s="1420">
        <f>base[[#This Row],[Data de liquidação]]</f>
        <v>46079.785057870373</v>
      </c>
      <c r="V1098" s="11"/>
    </row>
    <row r="1099" spans="2:22" ht="15" customHeight="1">
      <c r="B1099" s="746" t="s">
        <v>1168</v>
      </c>
      <c r="C1099" s="911" t="s">
        <v>3556</v>
      </c>
      <c r="D1099" s="1309">
        <v>46079.786493055559</v>
      </c>
      <c r="E1099" s="839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4" t="e">
        <f>LEFT(base[[#This Row],[Evento / Mercado]],FIND("/",base[[#This Row],[Evento / Mercado]])-2)</f>
        <v>#VALUE!</v>
      </c>
      <c r="T1099" s="1420">
        <f>base[[#This Row],[Data de liquidação]]</f>
        <v>46079.786493055559</v>
      </c>
      <c r="V1099" s="11"/>
    </row>
    <row r="1100" spans="2:22" ht="15" customHeight="1">
      <c r="B1100" s="746" t="s">
        <v>1167</v>
      </c>
      <c r="C1100" s="911" t="s">
        <v>3556</v>
      </c>
      <c r="D1100" s="1309">
        <v>46079.790173611109</v>
      </c>
      <c r="E1100" s="839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4" t="e">
        <f>LEFT(base[[#This Row],[Evento / Mercado]],FIND("/",base[[#This Row],[Evento / Mercado]])-2)</f>
        <v>#VALUE!</v>
      </c>
      <c r="T1100" s="1420">
        <f>base[[#This Row],[Data de liquidação]]</f>
        <v>46079.790173611109</v>
      </c>
      <c r="V1100" s="11"/>
    </row>
    <row r="1101" spans="2:22" ht="15" customHeight="1">
      <c r="B1101" s="746" t="s">
        <v>1166</v>
      </c>
      <c r="C1101" s="911" t="s">
        <v>3556</v>
      </c>
      <c r="D1101" s="1309">
        <v>46079.872106481482</v>
      </c>
      <c r="E1101" s="839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4" t="e">
        <f>LEFT(base[[#This Row],[Evento / Mercado]],FIND("/",base[[#This Row],[Evento / Mercado]])-2)</f>
        <v>#VALUE!</v>
      </c>
      <c r="T1101" s="1420">
        <f>base[[#This Row],[Data de liquidação]]</f>
        <v>46079.872106481482</v>
      </c>
      <c r="V1101" s="11"/>
    </row>
    <row r="1102" spans="2:22" ht="15" customHeight="1">
      <c r="B1102" s="746" t="s">
        <v>1165</v>
      </c>
      <c r="C1102" s="911" t="s">
        <v>3556</v>
      </c>
      <c r="D1102" s="1309">
        <v>46079.895011574074</v>
      </c>
      <c r="E1102" s="839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4" t="e">
        <f>LEFT(base[[#This Row],[Evento / Mercado]],FIND("/",base[[#This Row],[Evento / Mercado]])-2)</f>
        <v>#VALUE!</v>
      </c>
      <c r="T1102" s="1420">
        <f>base[[#This Row],[Data de liquidação]]</f>
        <v>46079.895011574074</v>
      </c>
      <c r="V1102" s="11"/>
    </row>
    <row r="1103" spans="2:22" ht="15" customHeight="1">
      <c r="B1103" s="747" t="s">
        <v>1181</v>
      </c>
      <c r="C1103" s="911" t="s">
        <v>3556</v>
      </c>
      <c r="D1103" s="1310">
        <v>46080.662905092591</v>
      </c>
      <c r="E1103" s="840">
        <v>32.54</v>
      </c>
      <c r="F1103" s="235">
        <v>4.4999999999999998E-2</v>
      </c>
      <c r="G1103" s="264">
        <f t="shared" si="18"/>
        <v>34.073298429319372</v>
      </c>
      <c r="H1103" s="250" t="s">
        <v>179</v>
      </c>
      <c r="I1103" s="248" t="s">
        <v>392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1204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4" t="e">
        <f>LEFT(base[[#This Row],[Evento / Mercado]],FIND("/",base[[#This Row],[Evento / Mercado]])-2)</f>
        <v>#VALUE!</v>
      </c>
      <c r="T1103" s="1420">
        <f>base[[#This Row],[Data de liquidação]]</f>
        <v>46080.662905092591</v>
      </c>
      <c r="V1103" s="11"/>
    </row>
    <row r="1104" spans="2:22" ht="15" customHeight="1">
      <c r="B1104" s="747" t="s">
        <v>1180</v>
      </c>
      <c r="C1104" s="911" t="s">
        <v>3556</v>
      </c>
      <c r="D1104" s="1310">
        <v>46080.674363425926</v>
      </c>
      <c r="E1104" s="840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4" t="e">
        <f>LEFT(base[[#This Row],[Evento / Mercado]],FIND("/",base[[#This Row],[Evento / Mercado]])-2)</f>
        <v>#VALUE!</v>
      </c>
      <c r="T1104" s="1420">
        <f>base[[#This Row],[Data de liquidação]]</f>
        <v>46080.674363425926</v>
      </c>
      <c r="V1104" s="11"/>
    </row>
    <row r="1105" spans="2:22" ht="15" customHeight="1">
      <c r="B1105" s="747" t="s">
        <v>1179</v>
      </c>
      <c r="C1105" s="911" t="s">
        <v>3556</v>
      </c>
      <c r="D1105" s="1310">
        <v>46080.70511574074</v>
      </c>
      <c r="E1105" s="840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392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1209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4" t="e">
        <f>LEFT(base[[#This Row],[Evento / Mercado]],FIND("/",base[[#This Row],[Evento / Mercado]])-2)</f>
        <v>#VALUE!</v>
      </c>
      <c r="T1105" s="1420">
        <f>base[[#This Row],[Data de liquidação]]</f>
        <v>46080.70511574074</v>
      </c>
      <c r="V1105" s="11"/>
    </row>
    <row r="1106" spans="2:22" ht="15" customHeight="1">
      <c r="B1106" s="747" t="s">
        <v>1178</v>
      </c>
      <c r="C1106" s="911" t="s">
        <v>3556</v>
      </c>
      <c r="D1106" s="1310">
        <v>46080.71261574074</v>
      </c>
      <c r="E1106" s="840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4" t="e">
        <f>LEFT(base[[#This Row],[Evento / Mercado]],FIND("/",base[[#This Row],[Evento / Mercado]])-2)</f>
        <v>#VALUE!</v>
      </c>
      <c r="T1106" s="1420">
        <f>base[[#This Row],[Data de liquidação]]</f>
        <v>46080.71261574074</v>
      </c>
      <c r="V1106" s="11"/>
    </row>
    <row r="1107" spans="2:22" ht="15" customHeight="1">
      <c r="B1107" s="747" t="s">
        <v>1177</v>
      </c>
      <c r="C1107" s="911" t="s">
        <v>3556</v>
      </c>
      <c r="D1107" s="1310">
        <v>46080.743854166663</v>
      </c>
      <c r="E1107" s="840">
        <v>0</v>
      </c>
      <c r="F1107" s="235">
        <v>4.4999999999999998E-2</v>
      </c>
      <c r="G1107" s="264">
        <f t="shared" si="18"/>
        <v>0</v>
      </c>
      <c r="H1107" s="250" t="s">
        <v>179</v>
      </c>
      <c r="I1107" s="248" t="s">
        <v>392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1203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4" t="e">
        <f>LEFT(base[[#This Row],[Evento / Mercado]],FIND("/",base[[#This Row],[Evento / Mercado]])-2)</f>
        <v>#VALUE!</v>
      </c>
      <c r="T1107" s="1420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747" t="s">
        <v>1176</v>
      </c>
      <c r="C1108" s="911" t="s">
        <v>3556</v>
      </c>
      <c r="D1108" s="1310">
        <v>46080.755347222221</v>
      </c>
      <c r="E1108" s="840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4" t="e">
        <f>LEFT(base[[#This Row],[Evento / Mercado]],FIND("/",base[[#This Row],[Evento / Mercado]])-2)</f>
        <v>#VALUE!</v>
      </c>
      <c r="T1108" s="1420">
        <f>base[[#This Row],[Data de liquidação]]</f>
        <v>46080.755347222221</v>
      </c>
      <c r="V1108" s="11"/>
    </row>
    <row r="1109" spans="2:22" ht="15" customHeight="1">
      <c r="B1109" s="747" t="s">
        <v>1175</v>
      </c>
      <c r="C1109" s="911" t="s">
        <v>3556</v>
      </c>
      <c r="D1109" s="1310">
        <v>46080.77002314815</v>
      </c>
      <c r="E1109" s="840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4" t="e">
        <f>LEFT(base[[#This Row],[Evento / Mercado]],FIND("/",base[[#This Row],[Evento / Mercado]])-2)</f>
        <v>#VALUE!</v>
      </c>
      <c r="T1109" s="1420">
        <f>base[[#This Row],[Data de liquidação]]</f>
        <v>46080.77002314815</v>
      </c>
      <c r="V1109" s="11"/>
    </row>
    <row r="1110" spans="2:22" ht="15" customHeight="1">
      <c r="B1110" s="747" t="s">
        <v>1174</v>
      </c>
      <c r="C1110" s="911" t="s">
        <v>3556</v>
      </c>
      <c r="D1110" s="1310">
        <v>46080.822060185186</v>
      </c>
      <c r="E1110" s="840">
        <v>19.11</v>
      </c>
      <c r="F1110" s="235">
        <v>4.4999999999999998E-2</v>
      </c>
      <c r="G1110" s="264">
        <f t="shared" si="18"/>
        <v>20.01047120418848</v>
      </c>
      <c r="H1110" s="250" t="s">
        <v>179</v>
      </c>
      <c r="I1110" s="248" t="s">
        <v>392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1203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4" t="e">
        <f>LEFT(base[[#This Row],[Evento / Mercado]],FIND("/",base[[#This Row],[Evento / Mercado]])-2)</f>
        <v>#VALUE!</v>
      </c>
      <c r="T1110" s="1420">
        <f>base[[#This Row],[Data de liquidação]]</f>
        <v>46080.822060185186</v>
      </c>
      <c r="V1110" s="11"/>
    </row>
    <row r="1111" spans="2:22" ht="15" customHeight="1">
      <c r="B1111" s="748" t="s">
        <v>1196</v>
      </c>
      <c r="C1111" s="911" t="s">
        <v>3556</v>
      </c>
      <c r="D1111" s="1311">
        <v>46081.459803240738</v>
      </c>
      <c r="E1111" s="841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4" t="e">
        <f>LEFT(base[[#This Row],[Evento / Mercado]],FIND("/",base[[#This Row],[Evento / Mercado]])-2)</f>
        <v>#VALUE!</v>
      </c>
      <c r="T1111" s="1420">
        <f>base[[#This Row],[Data de liquidação]]</f>
        <v>46081.459803240738</v>
      </c>
      <c r="V1111" s="11"/>
    </row>
    <row r="1112" spans="2:22" ht="15" customHeight="1">
      <c r="B1112" s="748" t="s">
        <v>1195</v>
      </c>
      <c r="C1112" s="911" t="s">
        <v>3556</v>
      </c>
      <c r="D1112" s="1311">
        <v>46081.475104166668</v>
      </c>
      <c r="E1112" s="841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4" t="e">
        <f>LEFT(base[[#This Row],[Evento / Mercado]],FIND("/",base[[#This Row],[Evento / Mercado]])-2)</f>
        <v>#VALUE!</v>
      </c>
      <c r="T1112" s="1420">
        <f>base[[#This Row],[Data de liquidação]]</f>
        <v>46081.475104166668</v>
      </c>
      <c r="V1112" s="11"/>
    </row>
    <row r="1113" spans="2:22" ht="15" customHeight="1">
      <c r="B1113" s="748" t="s">
        <v>1194</v>
      </c>
      <c r="C1113" s="911" t="s">
        <v>3556</v>
      </c>
      <c r="D1113" s="1311">
        <v>46081.476145833331</v>
      </c>
      <c r="E1113" s="841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4" t="e">
        <f>LEFT(base[[#This Row],[Evento / Mercado]],FIND("/",base[[#This Row],[Evento / Mercado]])-2)</f>
        <v>#VALUE!</v>
      </c>
      <c r="T1113" s="1420">
        <f>base[[#This Row],[Data de liquidação]]</f>
        <v>46081.476145833331</v>
      </c>
      <c r="V1113" s="11"/>
    </row>
    <row r="1114" spans="2:22" ht="15" customHeight="1">
      <c r="B1114" s="748" t="s">
        <v>1193</v>
      </c>
      <c r="C1114" s="911" t="s">
        <v>3556</v>
      </c>
      <c r="D1114" s="1311">
        <v>46081.510081018518</v>
      </c>
      <c r="E1114" s="841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4" t="e">
        <f>LEFT(base[[#This Row],[Evento / Mercado]],FIND("/",base[[#This Row],[Evento / Mercado]])-2)</f>
        <v>#VALUE!</v>
      </c>
      <c r="T1114" s="1420">
        <f>base[[#This Row],[Data de liquidação]]</f>
        <v>46081.510081018518</v>
      </c>
      <c r="V1114" s="11"/>
    </row>
    <row r="1115" spans="2:22" ht="15" customHeight="1">
      <c r="B1115" s="748" t="s">
        <v>1192</v>
      </c>
      <c r="C1115" s="911" t="s">
        <v>3556</v>
      </c>
      <c r="D1115" s="1311">
        <v>46081.553715277776</v>
      </c>
      <c r="E1115" s="841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4" t="e">
        <f>LEFT(base[[#This Row],[Evento / Mercado]],FIND("/",base[[#This Row],[Evento / Mercado]])-2)</f>
        <v>#VALUE!</v>
      </c>
      <c r="T1115" s="1420">
        <f>base[[#This Row],[Data de liquidação]]</f>
        <v>46081.553715277776</v>
      </c>
      <c r="V1115" s="11"/>
    </row>
    <row r="1116" spans="2:22" ht="15" customHeight="1">
      <c r="B1116" s="748" t="s">
        <v>1191</v>
      </c>
      <c r="C1116" s="911" t="s">
        <v>3556</v>
      </c>
      <c r="D1116" s="1311">
        <v>46081.55940972222</v>
      </c>
      <c r="E1116" s="841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392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1200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4" t="e">
        <f>LEFT(base[[#This Row],[Evento / Mercado]],FIND("/",base[[#This Row],[Evento / Mercado]])-2)</f>
        <v>#VALUE!</v>
      </c>
      <c r="T1116" s="1420">
        <f>base[[#This Row],[Data de liquidação]]</f>
        <v>46081.55940972222</v>
      </c>
      <c r="V1116" s="11">
        <f>-350+171</f>
        <v>-179</v>
      </c>
    </row>
    <row r="1117" spans="2:22" ht="15" customHeight="1">
      <c r="B1117" s="748" t="s">
        <v>1191</v>
      </c>
      <c r="C1117" s="911" t="s">
        <v>3556</v>
      </c>
      <c r="D1117" s="1311">
        <v>46081.559525462966</v>
      </c>
      <c r="E1117" s="841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4" t="e">
        <f>LEFT(base[[#This Row],[Evento / Mercado]],FIND("/",base[[#This Row],[Evento / Mercado]])-2)</f>
        <v>#VALUE!</v>
      </c>
      <c r="T1117" s="1420">
        <f>base[[#This Row],[Data de liquidação]]</f>
        <v>46081.559525462966</v>
      </c>
      <c r="V1117" s="11"/>
    </row>
    <row r="1118" spans="2:22" ht="15" customHeight="1">
      <c r="B1118" s="748" t="s">
        <v>1190</v>
      </c>
      <c r="C1118" s="911" t="s">
        <v>3556</v>
      </c>
      <c r="D1118" s="1311">
        <v>46081.562916666669</v>
      </c>
      <c r="E1118" s="841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627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1200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4" t="e">
        <f>LEFT(base[[#This Row],[Evento / Mercado]],FIND("/",base[[#This Row],[Evento / Mercado]])-2)</f>
        <v>#VALUE!</v>
      </c>
      <c r="T1118" s="1420">
        <f>base[[#This Row],[Data de liquidação]]</f>
        <v>46081.562916666669</v>
      </c>
      <c r="V1118" s="11"/>
    </row>
    <row r="1119" spans="2:22" ht="15" customHeight="1">
      <c r="B1119" s="748" t="s">
        <v>1189</v>
      </c>
      <c r="C1119" s="911" t="s">
        <v>3556</v>
      </c>
      <c r="D1119" s="1311">
        <v>46081.592916666668</v>
      </c>
      <c r="E1119" s="841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628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1202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4" t="e">
        <f>LEFT(base[[#This Row],[Evento / Mercado]],FIND("/",base[[#This Row],[Evento / Mercado]])-2)</f>
        <v>#VALUE!</v>
      </c>
      <c r="T1119" s="1420">
        <f>base[[#This Row],[Data de liquidação]]</f>
        <v>46081.592916666668</v>
      </c>
      <c r="V1119" s="11"/>
    </row>
    <row r="1120" spans="2:22" ht="15" customHeight="1">
      <c r="B1120" s="748" t="s">
        <v>1189</v>
      </c>
      <c r="C1120" s="911" t="s">
        <v>3556</v>
      </c>
      <c r="D1120" s="1311">
        <v>46081.592986111114</v>
      </c>
      <c r="E1120" s="841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392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1202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4" t="e">
        <f>LEFT(base[[#This Row],[Evento / Mercado]],FIND("/",base[[#This Row],[Evento / Mercado]])-2)</f>
        <v>#VALUE!</v>
      </c>
      <c r="T1120" s="1420">
        <f>base[[#This Row],[Data de liquidação]]</f>
        <v>46081.592986111114</v>
      </c>
      <c r="V1120" s="11"/>
    </row>
    <row r="1121" spans="2:22" ht="15" customHeight="1">
      <c r="B1121" s="748" t="s">
        <v>1188</v>
      </c>
      <c r="C1121" s="911" t="s">
        <v>3556</v>
      </c>
      <c r="D1121" s="1311">
        <v>46081.665590277778</v>
      </c>
      <c r="E1121" s="841">
        <v>27.35</v>
      </c>
      <c r="F1121" s="235">
        <v>4.4999999999999998E-2</v>
      </c>
      <c r="G1121" s="268">
        <f t="shared" si="18"/>
        <v>28.638743455497384</v>
      </c>
      <c r="H1121" s="250" t="s">
        <v>179</v>
      </c>
      <c r="I1121" s="248" t="s">
        <v>392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1204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4" t="e">
        <f>LEFT(base[[#This Row],[Evento / Mercado]],FIND("/",base[[#This Row],[Evento / Mercado]])-2)</f>
        <v>#VALUE!</v>
      </c>
      <c r="T1121" s="1420">
        <f>base[[#This Row],[Data de liquidação]]</f>
        <v>46081.665590277778</v>
      </c>
      <c r="V1121" s="11"/>
    </row>
    <row r="1122" spans="2:22" ht="15" customHeight="1">
      <c r="B1122" s="748" t="s">
        <v>1187</v>
      </c>
      <c r="C1122" s="911" t="s">
        <v>3556</v>
      </c>
      <c r="D1122" s="1311">
        <v>46081.68246527778</v>
      </c>
      <c r="E1122" s="841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4" t="e">
        <f>LEFT(base[[#This Row],[Evento / Mercado]],FIND("/",base[[#This Row],[Evento / Mercado]])-2)</f>
        <v>#VALUE!</v>
      </c>
      <c r="T1122" s="1420">
        <f>base[[#This Row],[Data de liquidação]]</f>
        <v>46081.68246527778</v>
      </c>
      <c r="V1122" s="11"/>
    </row>
    <row r="1123" spans="2:22" ht="15" customHeight="1">
      <c r="B1123" s="748" t="s">
        <v>1186</v>
      </c>
      <c r="C1123" s="911" t="s">
        <v>3556</v>
      </c>
      <c r="D1123" s="1311">
        <v>46081.684594907405</v>
      </c>
      <c r="E1123" s="841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694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1201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4" t="e">
        <f>LEFT(base[[#This Row],[Evento / Mercado]],FIND("/",base[[#This Row],[Evento / Mercado]])-2)</f>
        <v>#VALUE!</v>
      </c>
      <c r="T1123" s="1420">
        <f>base[[#This Row],[Data de liquidação]]</f>
        <v>46081.684594907405</v>
      </c>
      <c r="V1123" s="11"/>
    </row>
    <row r="1124" spans="2:22" ht="15" customHeight="1">
      <c r="B1124" s="748" t="s">
        <v>1186</v>
      </c>
      <c r="C1124" s="911" t="s">
        <v>3556</v>
      </c>
      <c r="D1124" s="1311">
        <v>46081.684999999998</v>
      </c>
      <c r="E1124" s="841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4" t="e">
        <f>LEFT(base[[#This Row],[Evento / Mercado]],FIND("/",base[[#This Row],[Evento / Mercado]])-2)</f>
        <v>#VALUE!</v>
      </c>
      <c r="T1124" s="1420">
        <f>base[[#This Row],[Data de liquidação]]</f>
        <v>46081.684999999998</v>
      </c>
      <c r="V1124" s="11"/>
    </row>
    <row r="1125" spans="2:22" ht="15" customHeight="1">
      <c r="B1125" s="748" t="s">
        <v>1185</v>
      </c>
      <c r="C1125" s="911" t="s">
        <v>3556</v>
      </c>
      <c r="D1125" s="1311">
        <v>46081.687280092592</v>
      </c>
      <c r="E1125" s="841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693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1200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4" t="e">
        <f>LEFT(base[[#This Row],[Evento / Mercado]],FIND("/",base[[#This Row],[Evento / Mercado]])-2)</f>
        <v>#VALUE!</v>
      </c>
      <c r="T1125" s="1420">
        <f>base[[#This Row],[Data de liquidação]]</f>
        <v>46081.687280092592</v>
      </c>
      <c r="V1125" s="11"/>
    </row>
    <row r="1126" spans="2:22" ht="15" customHeight="1">
      <c r="B1126" s="748" t="s">
        <v>1184</v>
      </c>
      <c r="C1126" s="911" t="s">
        <v>3556</v>
      </c>
      <c r="D1126" s="1311">
        <v>46081.729305555556</v>
      </c>
      <c r="E1126" s="841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4" t="e">
        <f>LEFT(base[[#This Row],[Evento / Mercado]],FIND("/",base[[#This Row],[Evento / Mercado]])-2)</f>
        <v>#VALUE!</v>
      </c>
      <c r="T1126" s="1420">
        <f>base[[#This Row],[Data de liquidação]]</f>
        <v>46081.729305555556</v>
      </c>
      <c r="V1126" s="11"/>
    </row>
    <row r="1127" spans="2:22" ht="15" customHeight="1">
      <c r="B1127" s="748" t="s">
        <v>1183</v>
      </c>
      <c r="C1127" s="911" t="s">
        <v>3556</v>
      </c>
      <c r="D1127" s="1311">
        <v>46081.777696759258</v>
      </c>
      <c r="E1127" s="841">
        <v>31.83</v>
      </c>
      <c r="F1127" s="235">
        <v>4.4999999999999998E-2</v>
      </c>
      <c r="G1127" s="268">
        <f t="shared" si="18"/>
        <v>33.329842931937172</v>
      </c>
      <c r="H1127" s="250" t="s">
        <v>179</v>
      </c>
      <c r="I1127" s="248" t="s">
        <v>392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1209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4" t="e">
        <f>LEFT(base[[#This Row],[Evento / Mercado]],FIND("/",base[[#This Row],[Evento / Mercado]])-2)</f>
        <v>#VALUE!</v>
      </c>
      <c r="T1127" s="1420">
        <f>base[[#This Row],[Data de liquidação]]</f>
        <v>46081.777696759258</v>
      </c>
      <c r="V1127" s="11"/>
    </row>
    <row r="1128" spans="2:22" ht="15" customHeight="1">
      <c r="B1128" s="748" t="s">
        <v>1182</v>
      </c>
      <c r="C1128" s="911" t="s">
        <v>3556</v>
      </c>
      <c r="D1128" s="1311">
        <v>46081.780763888892</v>
      </c>
      <c r="E1128" s="841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4" t="e">
        <f>LEFT(base[[#This Row],[Evento / Mercado]],FIND("/",base[[#This Row],[Evento / Mercado]])-2)</f>
        <v>#VALUE!</v>
      </c>
      <c r="T1128" s="1420">
        <f>base[[#This Row],[Data de liquidação]]</f>
        <v>46081.780763888892</v>
      </c>
      <c r="V1128" s="11"/>
    </row>
    <row r="1129" spans="2:22" ht="15" customHeight="1">
      <c r="B1129" s="749" t="s">
        <v>1253</v>
      </c>
      <c r="C1129" s="911" t="s">
        <v>3556</v>
      </c>
      <c r="D1129" s="1312">
        <v>46082.426724537036</v>
      </c>
      <c r="E1129" s="842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4" t="e">
        <f>LEFT(base[[#This Row],[Evento / Mercado]],FIND("/",base[[#This Row],[Evento / Mercado]])-2)</f>
        <v>#VALUE!</v>
      </c>
      <c r="T1129" s="1420">
        <f>base[[#This Row],[Data de liquidação]]</f>
        <v>46082.426724537036</v>
      </c>
      <c r="V1129" s="11"/>
    </row>
    <row r="1130" spans="2:22" ht="15" customHeight="1">
      <c r="B1130" s="749" t="s">
        <v>1252</v>
      </c>
      <c r="C1130" s="911" t="s">
        <v>3556</v>
      </c>
      <c r="D1130" s="1312">
        <v>46082.448206018518</v>
      </c>
      <c r="E1130" s="842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4" t="e">
        <f>LEFT(base[[#This Row],[Evento / Mercado]],FIND("/",base[[#This Row],[Evento / Mercado]])-2)</f>
        <v>#VALUE!</v>
      </c>
      <c r="T1130" s="1420">
        <f>base[[#This Row],[Data de liquidação]]</f>
        <v>46082.448206018518</v>
      </c>
      <c r="V1130" s="11"/>
    </row>
    <row r="1131" spans="2:22" ht="15" customHeight="1">
      <c r="B1131" s="749" t="s">
        <v>1251</v>
      </c>
      <c r="C1131" s="911" t="s">
        <v>3556</v>
      </c>
      <c r="D1131" s="1312">
        <v>46082.518206018518</v>
      </c>
      <c r="E1131" s="842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4" t="e">
        <f>LEFT(base[[#This Row],[Evento / Mercado]],FIND("/",base[[#This Row],[Evento / Mercado]])-2)</f>
        <v>#VALUE!</v>
      </c>
      <c r="T1131" s="1420">
        <f>base[[#This Row],[Data de liquidação]]</f>
        <v>46082.518206018518</v>
      </c>
      <c r="V1131" s="11"/>
    </row>
    <row r="1132" spans="2:22" ht="15" customHeight="1">
      <c r="B1132" s="749" t="s">
        <v>1250</v>
      </c>
      <c r="C1132" s="911" t="s">
        <v>3556</v>
      </c>
      <c r="D1132" s="1312">
        <v>46082.558611111112</v>
      </c>
      <c r="E1132" s="842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392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1200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4" t="e">
        <f>LEFT(base[[#This Row],[Evento / Mercado]],FIND("/",base[[#This Row],[Evento / Mercado]])-2)</f>
        <v>#VALUE!</v>
      </c>
      <c r="T1132" s="1420">
        <f>base[[#This Row],[Data de liquidação]]</f>
        <v>46082.558611111112</v>
      </c>
      <c r="V1132" s="11"/>
    </row>
    <row r="1133" spans="2:22" ht="15" customHeight="1">
      <c r="B1133" s="749" t="s">
        <v>1249</v>
      </c>
      <c r="C1133" s="911" t="s">
        <v>3556</v>
      </c>
      <c r="D1133" s="1312">
        <v>46082.595358796294</v>
      </c>
      <c r="E1133" s="842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4" t="e">
        <f>LEFT(base[[#This Row],[Evento / Mercado]],FIND("/",base[[#This Row],[Evento / Mercado]])-2)</f>
        <v>#VALUE!</v>
      </c>
      <c r="T1133" s="1420">
        <f>base[[#This Row],[Data de liquidação]]</f>
        <v>46082.595358796294</v>
      </c>
      <c r="V1133" s="11"/>
    </row>
    <row r="1134" spans="2:22" ht="15" customHeight="1">
      <c r="B1134" s="749" t="s">
        <v>1248</v>
      </c>
      <c r="C1134" s="911" t="s">
        <v>3556</v>
      </c>
      <c r="D1134" s="1312">
        <v>46082.600497685184</v>
      </c>
      <c r="E1134" s="842">
        <v>-1.04</v>
      </c>
      <c r="F1134" s="235">
        <v>4.4999999999999998E-2</v>
      </c>
      <c r="G1134" s="277">
        <f t="shared" si="18"/>
        <v>-1.04</v>
      </c>
      <c r="H1134" s="250" t="s">
        <v>179</v>
      </c>
      <c r="I1134" s="248" t="s">
        <v>392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1213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4" t="e">
        <f>LEFT(base[[#This Row],[Evento / Mercado]],FIND("/",base[[#This Row],[Evento / Mercado]])-2)</f>
        <v>#VALUE!</v>
      </c>
      <c r="T1134" s="1420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749" t="s">
        <v>1247</v>
      </c>
      <c r="C1135" s="911" t="s">
        <v>3556</v>
      </c>
      <c r="D1135" s="1312">
        <v>46082.621192129627</v>
      </c>
      <c r="E1135" s="842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4" t="e">
        <f>LEFT(base[[#This Row],[Evento / Mercado]],FIND("/",base[[#This Row],[Evento / Mercado]])-2)</f>
        <v>#VALUE!</v>
      </c>
      <c r="T1135" s="1420">
        <f>base[[#This Row],[Data de liquidação]]</f>
        <v>46082.621192129627</v>
      </c>
    </row>
    <row r="1136" spans="2:22" ht="15" customHeight="1">
      <c r="B1136" s="749" t="s">
        <v>1246</v>
      </c>
      <c r="C1136" s="911" t="s">
        <v>3556</v>
      </c>
      <c r="D1136" s="1312">
        <v>46082.642650462964</v>
      </c>
      <c r="E1136" s="842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4" t="e">
        <f>LEFT(base[[#This Row],[Evento / Mercado]],FIND("/",base[[#This Row],[Evento / Mercado]])-2)</f>
        <v>#VALUE!</v>
      </c>
      <c r="T1136" s="1420">
        <f>base[[#This Row],[Data de liquidação]]</f>
        <v>46082.642650462964</v>
      </c>
    </row>
    <row r="1137" spans="2:20" ht="15" customHeight="1">
      <c r="B1137" s="749" t="s">
        <v>1245</v>
      </c>
      <c r="C1137" s="911" t="s">
        <v>3556</v>
      </c>
      <c r="D1137" s="1312">
        <v>46082.644120370373</v>
      </c>
      <c r="E1137" s="842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627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1201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4" t="e">
        <f>LEFT(base[[#This Row],[Evento / Mercado]],FIND("/",base[[#This Row],[Evento / Mercado]])-2)</f>
        <v>#VALUE!</v>
      </c>
      <c r="T1137" s="1420">
        <f>base[[#This Row],[Data de liquidação]]</f>
        <v>46082.644120370373</v>
      </c>
    </row>
    <row r="1138" spans="2:20" ht="15" customHeight="1">
      <c r="B1138" s="749" t="s">
        <v>1244</v>
      </c>
      <c r="C1138" s="911" t="s">
        <v>3556</v>
      </c>
      <c r="D1138" s="1312">
        <v>46082.666990740741</v>
      </c>
      <c r="E1138" s="842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391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1204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4" t="e">
        <f>LEFT(base[[#This Row],[Evento / Mercado]],FIND("/",base[[#This Row],[Evento / Mercado]])-2)</f>
        <v>#VALUE!</v>
      </c>
      <c r="T1138" s="1420">
        <f>base[[#This Row],[Data de liquidação]]</f>
        <v>46082.666990740741</v>
      </c>
    </row>
    <row r="1139" spans="2:20" ht="15" customHeight="1">
      <c r="B1139" s="749" t="s">
        <v>1243</v>
      </c>
      <c r="C1139" s="911" t="s">
        <v>3556</v>
      </c>
      <c r="D1139" s="1312">
        <v>46082.727314814816</v>
      </c>
      <c r="E1139" s="842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694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1200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4" t="e">
        <f>LEFT(base[[#This Row],[Evento / Mercado]],FIND("/",base[[#This Row],[Evento / Mercado]])-2)</f>
        <v>#VALUE!</v>
      </c>
      <c r="T1139" s="1420">
        <f>base[[#This Row],[Data de liquidação]]</f>
        <v>46082.727314814816</v>
      </c>
    </row>
    <row r="1140" spans="2:20" ht="15" customHeight="1">
      <c r="B1140" s="749" t="s">
        <v>1242</v>
      </c>
      <c r="C1140" s="911" t="s">
        <v>3556</v>
      </c>
      <c r="D1140" s="1312">
        <v>46082.762418981481</v>
      </c>
      <c r="E1140" s="842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4" t="e">
        <f>LEFT(base[[#This Row],[Evento / Mercado]],FIND("/",base[[#This Row],[Evento / Mercado]])-2)</f>
        <v>#VALUE!</v>
      </c>
      <c r="T1140" s="1420">
        <f>base[[#This Row],[Data de liquidação]]</f>
        <v>46082.762418981481</v>
      </c>
    </row>
    <row r="1141" spans="2:20" ht="15" customHeight="1">
      <c r="B1141" s="750" t="s">
        <v>1261</v>
      </c>
      <c r="C1141" s="911" t="s">
        <v>3556</v>
      </c>
      <c r="D1141" s="1313">
        <v>46083.794305555559</v>
      </c>
      <c r="E1141" s="843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627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1202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4" t="e">
        <f>LEFT(base[[#This Row],[Evento / Mercado]],FIND("/",base[[#This Row],[Evento / Mercado]])-2)</f>
        <v>#VALUE!</v>
      </c>
      <c r="T1141" s="1420">
        <f>base[[#This Row],[Data de liquidação]]</f>
        <v>46083.794305555559</v>
      </c>
    </row>
    <row r="1142" spans="2:20" ht="15" customHeight="1">
      <c r="B1142" s="750" t="s">
        <v>1261</v>
      </c>
      <c r="C1142" s="911" t="s">
        <v>3556</v>
      </c>
      <c r="D1142" s="1313">
        <v>46083.79446759259</v>
      </c>
      <c r="E1142" s="843">
        <v>-162.44999999999999</v>
      </c>
      <c r="F1142" s="235">
        <v>4.4999999999999998E-2</v>
      </c>
      <c r="G1142" s="282">
        <f t="shared" si="18"/>
        <v>-162.44999999999999</v>
      </c>
      <c r="H1142" s="250" t="s">
        <v>179</v>
      </c>
      <c r="I1142" s="248" t="s">
        <v>392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1202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4" t="e">
        <f>LEFT(base[[#This Row],[Evento / Mercado]],FIND("/",base[[#This Row],[Evento / Mercado]])-2)</f>
        <v>#VALUE!</v>
      </c>
      <c r="T1142" s="1420">
        <f>base[[#This Row],[Data de liquidação]]</f>
        <v>46083.79446759259</v>
      </c>
    </row>
    <row r="1143" spans="2:20" ht="15" customHeight="1">
      <c r="B1143" s="751" t="s">
        <v>1268</v>
      </c>
      <c r="C1143" s="911" t="s">
        <v>3556</v>
      </c>
      <c r="D1143" s="1314">
        <v>46084.63349537037</v>
      </c>
      <c r="E1143" s="844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4" t="e">
        <f>LEFT(base[[#This Row],[Evento / Mercado]],FIND("/",base[[#This Row],[Evento / Mercado]])-2)</f>
        <v>#VALUE!</v>
      </c>
      <c r="T1143" s="1420">
        <f>base[[#This Row],[Data de liquidação]]</f>
        <v>46084.63349537037</v>
      </c>
    </row>
    <row r="1144" spans="2:20" ht="15" customHeight="1">
      <c r="B1144" s="751" t="s">
        <v>1267</v>
      </c>
      <c r="C1144" s="911" t="s">
        <v>3556</v>
      </c>
      <c r="D1144" s="1314">
        <v>46084.704895833333</v>
      </c>
      <c r="E1144" s="844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392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1213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4" t="e">
        <f>LEFT(base[[#This Row],[Evento / Mercado]],FIND("/",base[[#This Row],[Evento / Mercado]])-2)</f>
        <v>#VALUE!</v>
      </c>
      <c r="T1144" s="1420">
        <f>base[[#This Row],[Data de liquidação]]</f>
        <v>46084.704895833333</v>
      </c>
    </row>
    <row r="1145" spans="2:20" ht="15" customHeight="1">
      <c r="B1145" s="751" t="s">
        <v>1266</v>
      </c>
      <c r="C1145" s="911" t="s">
        <v>3556</v>
      </c>
      <c r="D1145" s="1314">
        <v>46084.743576388886</v>
      </c>
      <c r="E1145" s="844">
        <v>26.04</v>
      </c>
      <c r="F1145" s="235">
        <v>4.4999999999999998E-2</v>
      </c>
      <c r="G1145" s="286">
        <f t="shared" si="18"/>
        <v>27.267015706806284</v>
      </c>
      <c r="H1145" s="250" t="s">
        <v>179</v>
      </c>
      <c r="I1145" s="248" t="s">
        <v>392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1209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4" t="e">
        <f>LEFT(base[[#This Row],[Evento / Mercado]],FIND("/",base[[#This Row],[Evento / Mercado]])-2)</f>
        <v>#VALUE!</v>
      </c>
      <c r="T1145" s="1420">
        <f>base[[#This Row],[Data de liquidação]]</f>
        <v>46084.743576388886</v>
      </c>
    </row>
    <row r="1146" spans="2:20" ht="15" customHeight="1">
      <c r="B1146" s="751" t="s">
        <v>1265</v>
      </c>
      <c r="C1146" s="911" t="s">
        <v>3556</v>
      </c>
      <c r="D1146" s="1314">
        <v>46084.766793981478</v>
      </c>
      <c r="E1146" s="844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4" t="e">
        <f>LEFT(base[[#This Row],[Evento / Mercado]],FIND("/",base[[#This Row],[Evento / Mercado]])-2)</f>
        <v>#VALUE!</v>
      </c>
      <c r="T1146" s="1420">
        <f>base[[#This Row],[Data de liquidação]]</f>
        <v>46084.766793981478</v>
      </c>
    </row>
    <row r="1147" spans="2:20" ht="15" customHeight="1">
      <c r="B1147" s="751" t="s">
        <v>1264</v>
      </c>
      <c r="C1147" s="911" t="s">
        <v>3556</v>
      </c>
      <c r="D1147" s="1314">
        <v>46084.777881944443</v>
      </c>
      <c r="E1147" s="844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4" t="e">
        <f>LEFT(base[[#This Row],[Evento / Mercado]],FIND("/",base[[#This Row],[Evento / Mercado]])-2)</f>
        <v>#VALUE!</v>
      </c>
      <c r="T1147" s="1420">
        <f>base[[#This Row],[Data de liquidação]]</f>
        <v>46084.777881944443</v>
      </c>
    </row>
    <row r="1148" spans="2:20" ht="15" customHeight="1">
      <c r="B1148" s="751" t="s">
        <v>1263</v>
      </c>
      <c r="C1148" s="911" t="s">
        <v>3556</v>
      </c>
      <c r="D1148" s="1314">
        <v>46084.778599537036</v>
      </c>
      <c r="E1148" s="844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4" t="e">
        <f>LEFT(base[[#This Row],[Evento / Mercado]],FIND("/",base[[#This Row],[Evento / Mercado]])-2)</f>
        <v>#VALUE!</v>
      </c>
      <c r="T1148" s="1420">
        <f>base[[#This Row],[Data de liquidação]]</f>
        <v>46084.778599537036</v>
      </c>
    </row>
    <row r="1149" spans="2:20" ht="15" customHeight="1">
      <c r="B1149" s="751" t="s">
        <v>1262</v>
      </c>
      <c r="C1149" s="911" t="s">
        <v>3556</v>
      </c>
      <c r="D1149" s="1314">
        <v>46084.799097222225</v>
      </c>
      <c r="E1149" s="844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694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1201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4" t="e">
        <f>LEFT(base[[#This Row],[Evento / Mercado]],FIND("/",base[[#This Row],[Evento / Mercado]])-2)</f>
        <v>#VALUE!</v>
      </c>
      <c r="T1149" s="1420">
        <f>base[[#This Row],[Data de liquidação]]</f>
        <v>46084.799097222225</v>
      </c>
    </row>
    <row r="1150" spans="2:20" ht="15" customHeight="1">
      <c r="B1150" s="752" t="s">
        <v>1320</v>
      </c>
      <c r="C1150" s="911" t="s">
        <v>3556</v>
      </c>
      <c r="D1150" s="1315">
        <v>46085.646979166668</v>
      </c>
      <c r="E1150" s="845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4" t="e">
        <f>LEFT(base[[#This Row],[Evento / Mercado]],FIND("/",base[[#This Row],[Evento / Mercado]])-2)</f>
        <v>#VALUE!</v>
      </c>
      <c r="T1150" s="1420">
        <f>base[[#This Row],[Data de liquidação]]</f>
        <v>46085.646979166668</v>
      </c>
    </row>
    <row r="1151" spans="2:20" ht="15" customHeight="1">
      <c r="B1151" s="752" t="s">
        <v>1319</v>
      </c>
      <c r="C1151" s="911" t="s">
        <v>3556</v>
      </c>
      <c r="D1151" s="1315">
        <v>46085.684398148151</v>
      </c>
      <c r="E1151" s="845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4" t="e">
        <f>LEFT(base[[#This Row],[Evento / Mercado]],FIND("/",base[[#This Row],[Evento / Mercado]])-2)</f>
        <v>#VALUE!</v>
      </c>
      <c r="T1151" s="1420">
        <f>base[[#This Row],[Data de liquidação]]</f>
        <v>46085.684398148151</v>
      </c>
    </row>
    <row r="1152" spans="2:20" ht="15" customHeight="1">
      <c r="B1152" s="752" t="s">
        <v>1318</v>
      </c>
      <c r="C1152" s="911" t="s">
        <v>3556</v>
      </c>
      <c r="D1152" s="1315">
        <v>46085.729120370372</v>
      </c>
      <c r="E1152" s="845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4" t="e">
        <f>LEFT(base[[#This Row],[Evento / Mercado]],FIND("/",base[[#This Row],[Evento / Mercado]])-2)</f>
        <v>#VALUE!</v>
      </c>
      <c r="T1152" s="1420">
        <f>base[[#This Row],[Data de liquidação]]</f>
        <v>46085.729120370372</v>
      </c>
    </row>
    <row r="1153" spans="2:20" ht="15" customHeight="1">
      <c r="B1153" s="752" t="s">
        <v>1317</v>
      </c>
      <c r="C1153" s="911" t="s">
        <v>3556</v>
      </c>
      <c r="D1153" s="1315">
        <v>46085.770057870373</v>
      </c>
      <c r="E1153" s="845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4" t="e">
        <f>LEFT(base[[#This Row],[Evento / Mercado]],FIND("/",base[[#This Row],[Evento / Mercado]])-2)</f>
        <v>#VALUE!</v>
      </c>
      <c r="T1153" s="1420">
        <f>base[[#This Row],[Data de liquidação]]</f>
        <v>46085.770057870373</v>
      </c>
    </row>
    <row r="1154" spans="2:20" ht="15" customHeight="1">
      <c r="B1154" s="752" t="s">
        <v>1316</v>
      </c>
      <c r="C1154" s="911" t="s">
        <v>3556</v>
      </c>
      <c r="D1154" s="1315">
        <v>46085.770474537036</v>
      </c>
      <c r="E1154" s="845">
        <v>38.72</v>
      </c>
      <c r="F1154" s="235">
        <v>4.4999999999999998E-2</v>
      </c>
      <c r="G1154" s="298">
        <f t="shared" si="18"/>
        <v>40.544502617801051</v>
      </c>
      <c r="H1154" s="250" t="s">
        <v>179</v>
      </c>
      <c r="I1154" s="248" t="s">
        <v>392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1201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4" t="e">
        <f>LEFT(base[[#This Row],[Evento / Mercado]],FIND("/",base[[#This Row],[Evento / Mercado]])-2)</f>
        <v>#VALUE!</v>
      </c>
      <c r="T1154" s="1420">
        <f>base[[#This Row],[Data de liquidação]]</f>
        <v>46085.770474537036</v>
      </c>
    </row>
    <row r="1155" spans="2:20" ht="15" customHeight="1">
      <c r="B1155" s="752" t="s">
        <v>1315</v>
      </c>
      <c r="C1155" s="911" t="s">
        <v>3556</v>
      </c>
      <c r="D1155" s="1315">
        <v>46085.774108796293</v>
      </c>
      <c r="E1155" s="845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694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1201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4" t="e">
        <f>LEFT(base[[#This Row],[Evento / Mercado]],FIND("/",base[[#This Row],[Evento / Mercado]])-2)</f>
        <v>#VALUE!</v>
      </c>
      <c r="T1155" s="1420">
        <f>base[[#This Row],[Data de liquidação]]</f>
        <v>46085.774108796293</v>
      </c>
    </row>
    <row r="1156" spans="2:20" ht="15" customHeight="1">
      <c r="B1156" s="752" t="s">
        <v>1314</v>
      </c>
      <c r="C1156" s="911" t="s">
        <v>3556</v>
      </c>
      <c r="D1156" s="1315">
        <v>46085.804375</v>
      </c>
      <c r="E1156" s="845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694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1201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4" t="e">
        <f>LEFT(base[[#This Row],[Evento / Mercado]],FIND("/",base[[#This Row],[Evento / Mercado]])-2)</f>
        <v>#VALUE!</v>
      </c>
      <c r="T1156" s="1420">
        <f>base[[#This Row],[Data de liquidação]]</f>
        <v>46085.804375</v>
      </c>
    </row>
    <row r="1157" spans="2:20" ht="15" customHeight="1">
      <c r="B1157" s="753" t="s">
        <v>1338</v>
      </c>
      <c r="C1157" s="911" t="s">
        <v>3556</v>
      </c>
      <c r="D1157" s="1316">
        <v>46087.699618055558</v>
      </c>
      <c r="E1157" s="846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4" t="e">
        <f>LEFT(base[[#This Row],[Evento / Mercado]],FIND("/",base[[#This Row],[Evento / Mercado]])-2)</f>
        <v>#VALUE!</v>
      </c>
      <c r="T1157" s="1420">
        <f>base[[#This Row],[Data de liquidação]]</f>
        <v>46087.699618055558</v>
      </c>
    </row>
    <row r="1158" spans="2:20" ht="15" customHeight="1">
      <c r="B1158" s="753" t="s">
        <v>1337</v>
      </c>
      <c r="C1158" s="911" t="s">
        <v>3556</v>
      </c>
      <c r="D1158" s="1316">
        <v>46087.748599537037</v>
      </c>
      <c r="E1158" s="846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627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1211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4" t="e">
        <f>LEFT(base[[#This Row],[Evento / Mercado]],FIND("/",base[[#This Row],[Evento / Mercado]])-2)</f>
        <v>#VALUE!</v>
      </c>
      <c r="T1158" s="1420">
        <f>base[[#This Row],[Data de liquidação]]</f>
        <v>46087.748599537037</v>
      </c>
    </row>
    <row r="1159" spans="2:20" ht="15" customHeight="1">
      <c r="B1159" s="753" t="s">
        <v>1336</v>
      </c>
      <c r="C1159" s="911" t="s">
        <v>3556</v>
      </c>
      <c r="D1159" s="1316">
        <v>46087.763067129628</v>
      </c>
      <c r="E1159" s="846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4" t="e">
        <f>LEFT(base[[#This Row],[Evento / Mercado]],FIND("/",base[[#This Row],[Evento / Mercado]])-2)</f>
        <v>#VALUE!</v>
      </c>
      <c r="T1159" s="1420">
        <f>base[[#This Row],[Data de liquidação]]</f>
        <v>46087.763067129628</v>
      </c>
    </row>
    <row r="1160" spans="2:20" ht="15" customHeight="1">
      <c r="B1160" s="753" t="s">
        <v>1335</v>
      </c>
      <c r="C1160" s="911" t="s">
        <v>3556</v>
      </c>
      <c r="D1160" s="1316">
        <v>46087.781828703701</v>
      </c>
      <c r="E1160" s="846">
        <v>-329.98</v>
      </c>
      <c r="F1160" s="235">
        <v>4.4999999999999998E-2</v>
      </c>
      <c r="G1160" s="303">
        <f t="shared" si="19"/>
        <v>-329.98</v>
      </c>
      <c r="H1160" s="250" t="s">
        <v>179</v>
      </c>
      <c r="I1160" s="248" t="s">
        <v>392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1208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4" t="e">
        <f>LEFT(base[[#This Row],[Evento / Mercado]],FIND("/",base[[#This Row],[Evento / Mercado]])-2)</f>
        <v>#VALUE!</v>
      </c>
      <c r="T1160" s="1420">
        <f>base[[#This Row],[Data de liquidação]]</f>
        <v>46087.781828703701</v>
      </c>
    </row>
    <row r="1161" spans="2:20" ht="15" customHeight="1">
      <c r="B1161" s="753" t="s">
        <v>1334</v>
      </c>
      <c r="C1161" s="911" t="s">
        <v>3556</v>
      </c>
      <c r="D1161" s="1316">
        <v>46087.788807870369</v>
      </c>
      <c r="E1161" s="846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4" t="e">
        <f>LEFT(base[[#This Row],[Evento / Mercado]],FIND("/",base[[#This Row],[Evento / Mercado]])-2)</f>
        <v>#VALUE!</v>
      </c>
      <c r="T1161" s="1420">
        <f>base[[#This Row],[Data de liquidação]]</f>
        <v>46087.788807870369</v>
      </c>
    </row>
    <row r="1162" spans="2:20" ht="15" customHeight="1">
      <c r="B1162" s="753" t="s">
        <v>1333</v>
      </c>
      <c r="C1162" s="911" t="s">
        <v>3556</v>
      </c>
      <c r="D1162" s="1316">
        <v>46088.45517361111</v>
      </c>
      <c r="E1162" s="846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4" t="e">
        <f>LEFT(base[[#This Row],[Evento / Mercado]],FIND("/",base[[#This Row],[Evento / Mercado]])-2)</f>
        <v>#VALUE!</v>
      </c>
      <c r="T1162" s="1420">
        <f>base[[#This Row],[Data de liquidação]]</f>
        <v>46088.45517361111</v>
      </c>
    </row>
    <row r="1163" spans="2:20" ht="15" customHeight="1">
      <c r="B1163" s="753" t="s">
        <v>1332</v>
      </c>
      <c r="C1163" s="911" t="s">
        <v>3556</v>
      </c>
      <c r="D1163" s="1316">
        <v>46088.456655092596</v>
      </c>
      <c r="E1163" s="846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4" t="e">
        <f>LEFT(base[[#This Row],[Evento / Mercado]],FIND("/",base[[#This Row],[Evento / Mercado]])-2)</f>
        <v>#VALUE!</v>
      </c>
      <c r="T1163" s="1420">
        <f>base[[#This Row],[Data de liquidação]]</f>
        <v>46088.456655092596</v>
      </c>
    </row>
    <row r="1164" spans="2:20" ht="15" customHeight="1">
      <c r="B1164" s="753" t="s">
        <v>1331</v>
      </c>
      <c r="C1164" s="911" t="s">
        <v>3556</v>
      </c>
      <c r="D1164" s="1316">
        <v>46088.463750000003</v>
      </c>
      <c r="E1164" s="846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4" t="e">
        <f>LEFT(base[[#This Row],[Evento / Mercado]],FIND("/",base[[#This Row],[Evento / Mercado]])-2)</f>
        <v>#VALUE!</v>
      </c>
      <c r="T1164" s="1420">
        <f>base[[#This Row],[Data de liquidação]]</f>
        <v>46088.463750000003</v>
      </c>
    </row>
    <row r="1165" spans="2:20" ht="15" customHeight="1">
      <c r="B1165" s="753" t="s">
        <v>1330</v>
      </c>
      <c r="C1165" s="911" t="s">
        <v>3556</v>
      </c>
      <c r="D1165" s="1316">
        <v>46088.478321759256</v>
      </c>
      <c r="E1165" s="846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4" t="e">
        <f>LEFT(base[[#This Row],[Evento / Mercado]],FIND("/",base[[#This Row],[Evento / Mercado]])-2)</f>
        <v>#VALUE!</v>
      </c>
      <c r="T1165" s="1420">
        <f>base[[#This Row],[Data de liquidação]]</f>
        <v>46088.478321759256</v>
      </c>
    </row>
    <row r="1166" spans="2:20" ht="15" customHeight="1">
      <c r="B1166" s="753" t="s">
        <v>1329</v>
      </c>
      <c r="C1166" s="911" t="s">
        <v>3556</v>
      </c>
      <c r="D1166" s="1316">
        <v>46088.516041666669</v>
      </c>
      <c r="E1166" s="846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4" t="e">
        <f>LEFT(base[[#This Row],[Evento / Mercado]],FIND("/",base[[#This Row],[Evento / Mercado]])-2)</f>
        <v>#VALUE!</v>
      </c>
      <c r="T1166" s="1420">
        <f>base[[#This Row],[Data de liquidação]]</f>
        <v>46088.516041666669</v>
      </c>
    </row>
    <row r="1167" spans="2:20" ht="15" customHeight="1">
      <c r="B1167" s="753" t="s">
        <v>1328</v>
      </c>
      <c r="C1167" s="911" t="s">
        <v>3556</v>
      </c>
      <c r="D1167" s="1316">
        <v>46088.536516203705</v>
      </c>
      <c r="E1167" s="846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4" t="e">
        <f>LEFT(base[[#This Row],[Evento / Mercado]],FIND("/",base[[#This Row],[Evento / Mercado]])-2)</f>
        <v>#VALUE!</v>
      </c>
      <c r="T1167" s="1420">
        <f>base[[#This Row],[Data de liquidação]]</f>
        <v>46088.536516203705</v>
      </c>
    </row>
    <row r="1168" spans="2:20" ht="15" customHeight="1">
      <c r="B1168" s="753" t="s">
        <v>1327</v>
      </c>
      <c r="C1168" s="911" t="s">
        <v>3556</v>
      </c>
      <c r="D1168" s="1316">
        <v>46088.559837962966</v>
      </c>
      <c r="E1168" s="846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693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1200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4" t="e">
        <f>LEFT(base[[#This Row],[Evento / Mercado]],FIND("/",base[[#This Row],[Evento / Mercado]])-2)</f>
        <v>#VALUE!</v>
      </c>
      <c r="T1168" s="1420">
        <f>base[[#This Row],[Data de liquidação]]</f>
        <v>46088.559837962966</v>
      </c>
    </row>
    <row r="1169" spans="2:20" ht="15" customHeight="1">
      <c r="B1169" s="753" t="s">
        <v>1326</v>
      </c>
      <c r="C1169" s="911" t="s">
        <v>3556</v>
      </c>
      <c r="D1169" s="1316">
        <v>46088.566203703704</v>
      </c>
      <c r="E1169" s="846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4" t="e">
        <f>LEFT(base[[#This Row],[Evento / Mercado]],FIND("/",base[[#This Row],[Evento / Mercado]])-2)</f>
        <v>#VALUE!</v>
      </c>
      <c r="T1169" s="1420">
        <f>base[[#This Row],[Data de liquidação]]</f>
        <v>46088.566203703704</v>
      </c>
    </row>
    <row r="1170" spans="2:20" ht="15" customHeight="1">
      <c r="B1170" s="753" t="s">
        <v>1325</v>
      </c>
      <c r="C1170" s="911" t="s">
        <v>3556</v>
      </c>
      <c r="D1170" s="1316">
        <v>46088.601643518516</v>
      </c>
      <c r="E1170" s="846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693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1205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4" t="e">
        <f>LEFT(base[[#This Row],[Evento / Mercado]],FIND("/",base[[#This Row],[Evento / Mercado]])-2)</f>
        <v>#VALUE!</v>
      </c>
      <c r="T1170" s="1420">
        <f>base[[#This Row],[Data de liquidação]]</f>
        <v>46088.601643518516</v>
      </c>
    </row>
    <row r="1171" spans="2:20" ht="15" customHeight="1">
      <c r="B1171" s="753" t="s">
        <v>1324</v>
      </c>
      <c r="C1171" s="911" t="s">
        <v>3556</v>
      </c>
      <c r="D1171" s="1316">
        <v>46088.688344907408</v>
      </c>
      <c r="E1171" s="846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693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1200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4" t="e">
        <f>LEFT(base[[#This Row],[Evento / Mercado]],FIND("/",base[[#This Row],[Evento / Mercado]])-2)</f>
        <v>#VALUE!</v>
      </c>
      <c r="T1171" s="1420">
        <f>base[[#This Row],[Data de liquidação]]</f>
        <v>46088.688344907408</v>
      </c>
    </row>
    <row r="1172" spans="2:20" ht="15" customHeight="1">
      <c r="B1172" s="753" t="s">
        <v>1323</v>
      </c>
      <c r="C1172" s="911" t="s">
        <v>3556</v>
      </c>
      <c r="D1172" s="1316">
        <v>46088.773576388892</v>
      </c>
      <c r="E1172" s="846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4" t="e">
        <f>LEFT(base[[#This Row],[Evento / Mercado]],FIND("/",base[[#This Row],[Evento / Mercado]])-2)</f>
        <v>#VALUE!</v>
      </c>
      <c r="T1172" s="1420">
        <f>base[[#This Row],[Data de liquidação]]</f>
        <v>46088.773576388892</v>
      </c>
    </row>
    <row r="1173" spans="2:20" ht="15" customHeight="1">
      <c r="B1173" s="753" t="s">
        <v>1322</v>
      </c>
      <c r="C1173" s="911" t="s">
        <v>3556</v>
      </c>
      <c r="D1173" s="1316">
        <v>46088.788530092592</v>
      </c>
      <c r="E1173" s="846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694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1202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4" t="e">
        <f>LEFT(base[[#This Row],[Evento / Mercado]],FIND("/",base[[#This Row],[Evento / Mercado]])-2)</f>
        <v>#VALUE!</v>
      </c>
      <c r="T1173" s="1420">
        <f>base[[#This Row],[Data de liquidação]]</f>
        <v>46088.788530092592</v>
      </c>
    </row>
    <row r="1174" spans="2:20" ht="15" customHeight="1">
      <c r="B1174" s="754" t="s">
        <v>1347</v>
      </c>
      <c r="C1174" s="911" t="s">
        <v>3556</v>
      </c>
      <c r="D1174" s="1317">
        <v>46089.415868055556</v>
      </c>
      <c r="E1174" s="847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4" t="e">
        <f>LEFT(base[[#This Row],[Evento / Mercado]],FIND("/",base[[#This Row],[Evento / Mercado]])-2)</f>
        <v>#VALUE!</v>
      </c>
      <c r="T1174" s="1420">
        <f>base[[#This Row],[Data de liquidação]]</f>
        <v>46089.415868055556</v>
      </c>
    </row>
    <row r="1175" spans="2:20" ht="15" customHeight="1">
      <c r="B1175" s="754" t="s">
        <v>1346</v>
      </c>
      <c r="C1175" s="911" t="s">
        <v>3556</v>
      </c>
      <c r="D1175" s="1317">
        <v>46089.445613425924</v>
      </c>
      <c r="E1175" s="847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4" t="e">
        <f>LEFT(base[[#This Row],[Evento / Mercado]],FIND("/",base[[#This Row],[Evento / Mercado]])-2)</f>
        <v>#VALUE!</v>
      </c>
      <c r="T1175" s="1420">
        <f>base[[#This Row],[Data de liquidação]]</f>
        <v>46089.445613425924</v>
      </c>
    </row>
    <row r="1176" spans="2:20" ht="15" customHeight="1">
      <c r="B1176" s="754" t="s">
        <v>1345</v>
      </c>
      <c r="C1176" s="911" t="s">
        <v>3556</v>
      </c>
      <c r="D1176" s="1317">
        <v>46089.448587962965</v>
      </c>
      <c r="E1176" s="847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4" t="e">
        <f>LEFT(base[[#This Row],[Evento / Mercado]],FIND("/",base[[#This Row],[Evento / Mercado]])-2)</f>
        <v>#VALUE!</v>
      </c>
      <c r="T1176" s="1420">
        <f>base[[#This Row],[Data de liquidação]]</f>
        <v>46089.448587962965</v>
      </c>
    </row>
    <row r="1177" spans="2:20" ht="15" customHeight="1">
      <c r="B1177" s="754" t="s">
        <v>1344</v>
      </c>
      <c r="C1177" s="911" t="s">
        <v>3556</v>
      </c>
      <c r="D1177" s="1317">
        <v>46089.455196759256</v>
      </c>
      <c r="E1177" s="847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4" t="e">
        <f>LEFT(base[[#This Row],[Evento / Mercado]],FIND("/",base[[#This Row],[Evento / Mercado]])-2)</f>
        <v>#VALUE!</v>
      </c>
      <c r="T1177" s="1420">
        <f>base[[#This Row],[Data de liquidação]]</f>
        <v>46089.455196759256</v>
      </c>
    </row>
    <row r="1178" spans="2:20" ht="15" customHeight="1">
      <c r="B1178" s="754" t="s">
        <v>1343</v>
      </c>
      <c r="C1178" s="911" t="s">
        <v>3556</v>
      </c>
      <c r="D1178" s="1317">
        <v>46089.495844907404</v>
      </c>
      <c r="E1178" s="847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392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1202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4" t="e">
        <f>LEFT(base[[#This Row],[Evento / Mercado]],FIND("/",base[[#This Row],[Evento / Mercado]])-2)</f>
        <v>#VALUE!</v>
      </c>
      <c r="T1178" s="1420">
        <f>base[[#This Row],[Data de liquidação]]</f>
        <v>46089.495844907404</v>
      </c>
    </row>
    <row r="1179" spans="2:20" ht="15" customHeight="1">
      <c r="B1179" s="754" t="s">
        <v>1342</v>
      </c>
      <c r="C1179" s="911" t="s">
        <v>3556</v>
      </c>
      <c r="D1179" s="1317">
        <v>46089.539282407408</v>
      </c>
      <c r="E1179" s="847">
        <v>24.92</v>
      </c>
      <c r="F1179" s="235">
        <v>4.4999999999999998E-2</v>
      </c>
      <c r="G1179" s="306">
        <f t="shared" si="19"/>
        <v>26.094240837696336</v>
      </c>
      <c r="H1179" s="250" t="s">
        <v>179</v>
      </c>
      <c r="I1179" s="248" t="s">
        <v>392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1208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4" t="e">
        <f>LEFT(base[[#This Row],[Evento / Mercado]],FIND("/",base[[#This Row],[Evento / Mercado]])-2)</f>
        <v>#VALUE!</v>
      </c>
      <c r="T1179" s="1420">
        <f>base[[#This Row],[Data de liquidação]]</f>
        <v>46089.539282407408</v>
      </c>
    </row>
    <row r="1180" spans="2:20" ht="15" customHeight="1">
      <c r="B1180" s="754" t="s">
        <v>1341</v>
      </c>
      <c r="C1180" s="911" t="s">
        <v>3556</v>
      </c>
      <c r="D1180" s="1317">
        <v>46089.618171296293</v>
      </c>
      <c r="E1180" s="847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694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1205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4" t="e">
        <f>LEFT(base[[#This Row],[Evento / Mercado]],FIND("/",base[[#This Row],[Evento / Mercado]])-2)</f>
        <v>#VALUE!</v>
      </c>
      <c r="T1180" s="1420">
        <f>base[[#This Row],[Data de liquidação]]</f>
        <v>46089.618171296293</v>
      </c>
    </row>
    <row r="1181" spans="2:20" ht="15" customHeight="1">
      <c r="B1181" s="754" t="s">
        <v>1340</v>
      </c>
      <c r="C1181" s="911" t="s">
        <v>3556</v>
      </c>
      <c r="D1181" s="1317">
        <v>46089.653356481482</v>
      </c>
      <c r="E1181" s="847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4" t="e">
        <f>LEFT(base[[#This Row],[Evento / Mercado]],FIND("/",base[[#This Row],[Evento / Mercado]])-2)</f>
        <v>#VALUE!</v>
      </c>
      <c r="T1181" s="1420">
        <f>base[[#This Row],[Data de liquidação]]</f>
        <v>46089.653356481482</v>
      </c>
    </row>
    <row r="1182" spans="2:20" ht="15" customHeight="1">
      <c r="B1182" s="754" t="s">
        <v>1339</v>
      </c>
      <c r="C1182" s="911" t="s">
        <v>3556</v>
      </c>
      <c r="D1182" s="1317">
        <v>46089.779872685183</v>
      </c>
      <c r="E1182" s="847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4" t="e">
        <f>LEFT(base[[#This Row],[Evento / Mercado]],FIND("/",base[[#This Row],[Evento / Mercado]])-2)</f>
        <v>#VALUE!</v>
      </c>
      <c r="T1182" s="1420">
        <f>base[[#This Row],[Data de liquidação]]</f>
        <v>46089.779872685183</v>
      </c>
    </row>
    <row r="1183" spans="2:20" ht="15" customHeight="1">
      <c r="B1183" s="755" t="s">
        <v>1348</v>
      </c>
      <c r="C1183" s="911" t="s">
        <v>3556</v>
      </c>
      <c r="D1183" s="1318">
        <v>46090.667349537034</v>
      </c>
      <c r="E1183" s="848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694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1204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4" t="e">
        <f>LEFT(base[[#This Row],[Evento / Mercado]],FIND("/",base[[#This Row],[Evento / Mercado]])-2)</f>
        <v>#VALUE!</v>
      </c>
      <c r="T1183" s="1420">
        <f>base[[#This Row],[Data de liquidação]]</f>
        <v>46090.667349537034</v>
      </c>
    </row>
    <row r="1184" spans="2:20" ht="15" customHeight="1">
      <c r="B1184" s="756" t="s">
        <v>1356</v>
      </c>
      <c r="C1184" s="911" t="s">
        <v>3556</v>
      </c>
      <c r="D1184" s="1319">
        <v>46091.647997685184</v>
      </c>
      <c r="E1184" s="849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4" t="e">
        <f>LEFT(base[[#This Row],[Evento / Mercado]],FIND("/",base[[#This Row],[Evento / Mercado]])-2)</f>
        <v>#VALUE!</v>
      </c>
      <c r="T1184" s="1420">
        <f>base[[#This Row],[Data de liquidação]]</f>
        <v>46091.647997685184</v>
      </c>
    </row>
    <row r="1185" spans="2:22" ht="15" customHeight="1">
      <c r="B1185" s="756" t="s">
        <v>1356</v>
      </c>
      <c r="C1185" s="911" t="s">
        <v>3556</v>
      </c>
      <c r="D1185" s="1319">
        <v>46091.694166666668</v>
      </c>
      <c r="E1185" s="849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1357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4" t="e">
        <f>LEFT(base[[#This Row],[Evento / Mercado]],FIND("/",base[[#This Row],[Evento / Mercado]])-2)</f>
        <v>#VALUE!</v>
      </c>
      <c r="T1185" s="1420">
        <f>base[[#This Row],[Data de liquidação]]</f>
        <v>46091.694166666668</v>
      </c>
    </row>
    <row r="1186" spans="2:22" ht="15" customHeight="1">
      <c r="B1186" s="756" t="s">
        <v>1355</v>
      </c>
      <c r="C1186" s="911" t="s">
        <v>3556</v>
      </c>
      <c r="D1186" s="1319">
        <v>46091.753472222219</v>
      </c>
      <c r="E1186" s="849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4" t="e">
        <f>LEFT(base[[#This Row],[Evento / Mercado]],FIND("/",base[[#This Row],[Evento / Mercado]])-2)</f>
        <v>#VALUE!</v>
      </c>
      <c r="T1186" s="1420">
        <f>base[[#This Row],[Data de liquidação]]</f>
        <v>46091.753472222219</v>
      </c>
    </row>
    <row r="1187" spans="2:22" ht="15" customHeight="1">
      <c r="B1187" s="756" t="s">
        <v>1354</v>
      </c>
      <c r="C1187" s="911" t="s">
        <v>3556</v>
      </c>
      <c r="D1187" s="1319">
        <v>46091.776516203703</v>
      </c>
      <c r="E1187" s="849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4" t="e">
        <f>LEFT(base[[#This Row],[Evento / Mercado]],FIND("/",base[[#This Row],[Evento / Mercado]])-2)</f>
        <v>#VALUE!</v>
      </c>
      <c r="T1187" s="1420">
        <f>base[[#This Row],[Data de liquidação]]</f>
        <v>46091.776516203703</v>
      </c>
    </row>
    <row r="1188" spans="2:22" ht="15" customHeight="1">
      <c r="B1188" s="756" t="s">
        <v>1353</v>
      </c>
      <c r="C1188" s="911" t="s">
        <v>3556</v>
      </c>
      <c r="D1188" s="1319">
        <v>46091.776574074072</v>
      </c>
      <c r="E1188" s="849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4" t="e">
        <f>LEFT(base[[#This Row],[Evento / Mercado]],FIND("/",base[[#This Row],[Evento / Mercado]])-2)</f>
        <v>#VALUE!</v>
      </c>
      <c r="T1188" s="1420">
        <f>base[[#This Row],[Data de liquidação]]</f>
        <v>46091.776574074072</v>
      </c>
    </row>
    <row r="1189" spans="2:22" ht="15" customHeight="1">
      <c r="B1189" s="756" t="s">
        <v>1351</v>
      </c>
      <c r="C1189" s="911" t="s">
        <v>3556</v>
      </c>
      <c r="D1189" s="1319">
        <v>46091.78665509259</v>
      </c>
      <c r="E1189" s="849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693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1210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4" t="e">
        <f>LEFT(base[[#This Row],[Evento / Mercado]],FIND("/",base[[#This Row],[Evento / Mercado]])-2)</f>
        <v>#VALUE!</v>
      </c>
      <c r="T1189" s="1420">
        <f>base[[#This Row],[Data de liquidação]]</f>
        <v>46091.78665509259</v>
      </c>
      <c r="V1189" s="11"/>
    </row>
    <row r="1190" spans="2:22" ht="15" customHeight="1">
      <c r="B1190" s="756" t="s">
        <v>1351</v>
      </c>
      <c r="C1190" s="911" t="s">
        <v>3556</v>
      </c>
      <c r="D1190" s="1319">
        <v>46091.78665509259</v>
      </c>
      <c r="E1190" s="849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694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1210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4" t="e">
        <f>LEFT(base[[#This Row],[Evento / Mercado]],FIND("/",base[[#This Row],[Evento / Mercado]])-2)</f>
        <v>#VALUE!</v>
      </c>
      <c r="T1190" s="1420">
        <f>base[[#This Row],[Data de liquidação]]</f>
        <v>46091.78665509259</v>
      </c>
      <c r="V1190" s="11"/>
    </row>
    <row r="1191" spans="2:22" ht="15" customHeight="1">
      <c r="B1191" s="756" t="s">
        <v>1352</v>
      </c>
      <c r="C1191" s="911" t="s">
        <v>3556</v>
      </c>
      <c r="D1191" s="1319">
        <v>46091.78670138889</v>
      </c>
      <c r="E1191" s="849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693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1210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4" t="e">
        <f>LEFT(base[[#This Row],[Evento / Mercado]],FIND("/",base[[#This Row],[Evento / Mercado]])-2)</f>
        <v>#VALUE!</v>
      </c>
      <c r="T1191" s="1420">
        <f>base[[#This Row],[Data de liquidação]]</f>
        <v>46091.78670138889</v>
      </c>
    </row>
    <row r="1192" spans="2:22" ht="15" customHeight="1">
      <c r="B1192" s="756" t="s">
        <v>1351</v>
      </c>
      <c r="C1192" s="911" t="s">
        <v>3556</v>
      </c>
      <c r="D1192" s="1319">
        <v>46091.787083333336</v>
      </c>
      <c r="E1192" s="849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4" t="e">
        <f>LEFT(base[[#This Row],[Evento / Mercado]],FIND("/",base[[#This Row],[Evento / Mercado]])-2)</f>
        <v>#VALUE!</v>
      </c>
      <c r="T1192" s="1420">
        <f>base[[#This Row],[Data de liquidação]]</f>
        <v>46091.787083333336</v>
      </c>
    </row>
    <row r="1193" spans="2:22" ht="15" customHeight="1">
      <c r="B1193" s="756" t="s">
        <v>1350</v>
      </c>
      <c r="C1193" s="911" t="s">
        <v>3556</v>
      </c>
      <c r="D1193" s="1319">
        <v>46091.790462962963</v>
      </c>
      <c r="E1193" s="849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627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1210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4" t="e">
        <f>LEFT(base[[#This Row],[Evento / Mercado]],FIND("/",base[[#This Row],[Evento / Mercado]])-2)</f>
        <v>#VALUE!</v>
      </c>
      <c r="T1193" s="1420">
        <f>base[[#This Row],[Data de liquidação]]</f>
        <v>46091.790462962963</v>
      </c>
    </row>
    <row r="1194" spans="2:22" ht="15" customHeight="1">
      <c r="B1194" s="756" t="s">
        <v>1349</v>
      </c>
      <c r="C1194" s="911" t="s">
        <v>3556</v>
      </c>
      <c r="D1194" s="1319">
        <v>46091.96670138889</v>
      </c>
      <c r="E1194" s="849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4" t="e">
        <f>LEFT(base[[#This Row],[Evento / Mercado]],FIND("/",base[[#This Row],[Evento / Mercado]])-2)</f>
        <v>#VALUE!</v>
      </c>
      <c r="T1194" s="1420">
        <f>base[[#This Row],[Data de liquidação]]</f>
        <v>46091.96670138889</v>
      </c>
    </row>
    <row r="1195" spans="2:22" ht="15" customHeight="1">
      <c r="B1195" s="757" t="s">
        <v>1361</v>
      </c>
      <c r="C1195" s="911" t="s">
        <v>3556</v>
      </c>
      <c r="D1195" s="1320">
        <v>46092.737916666665</v>
      </c>
      <c r="E1195" s="850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4" t="e">
        <f>LEFT(base[[#This Row],[Evento / Mercado]],FIND("/",base[[#This Row],[Evento / Mercado]])-2)</f>
        <v>#VALUE!</v>
      </c>
      <c r="T1195" s="1420">
        <f>base[[#This Row],[Data de liquidação]]</f>
        <v>46092.737916666665</v>
      </c>
    </row>
    <row r="1196" spans="2:22" ht="15" customHeight="1">
      <c r="B1196" s="757" t="s">
        <v>1364</v>
      </c>
      <c r="C1196" s="911" t="s">
        <v>3556</v>
      </c>
      <c r="D1196" s="1320">
        <v>46092.756203703706</v>
      </c>
      <c r="E1196" s="850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4" t="e">
        <f>LEFT(base[[#This Row],[Evento / Mercado]],FIND("/",base[[#This Row],[Evento / Mercado]])-2)</f>
        <v>#VALUE!</v>
      </c>
      <c r="T1196" s="1420">
        <f>base[[#This Row],[Data de liquidação]]</f>
        <v>46092.756203703706</v>
      </c>
    </row>
    <row r="1197" spans="2:22" ht="15" customHeight="1">
      <c r="B1197" s="757" t="s">
        <v>1360</v>
      </c>
      <c r="C1197" s="911" t="s">
        <v>3556</v>
      </c>
      <c r="D1197" s="1320">
        <v>46092.773032407407</v>
      </c>
      <c r="E1197" s="850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4" t="str">
        <f>LEFT(base[[#This Row],[Evento / Mercado]],FIND("/",base[[#This Row],[Evento / Mercado]])-2)</f>
        <v>Bod</v>
      </c>
      <c r="T1197" s="1420">
        <f>base[[#This Row],[Data de liquidação]]</f>
        <v>46092.773032407407</v>
      </c>
    </row>
    <row r="1198" spans="2:22" ht="15" customHeight="1">
      <c r="B1198" s="757" t="s">
        <v>1363</v>
      </c>
      <c r="C1198" s="911" t="s">
        <v>3556</v>
      </c>
      <c r="D1198" s="1320">
        <v>46092.77752314815</v>
      </c>
      <c r="E1198" s="850">
        <v>-365.02</v>
      </c>
      <c r="F1198" s="235">
        <v>4.4999999999999998E-2</v>
      </c>
      <c r="G1198" s="318">
        <f t="shared" si="19"/>
        <v>-365.02</v>
      </c>
      <c r="H1198" s="250" t="s">
        <v>179</v>
      </c>
      <c r="I1198" s="248" t="s">
        <v>392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1206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4" t="e">
        <f>LEFT(base[[#This Row],[Evento / Mercado]],FIND("/",base[[#This Row],[Evento / Mercado]])-2)</f>
        <v>#VALUE!</v>
      </c>
      <c r="T1198" s="1420">
        <f>base[[#This Row],[Data de liquidação]]</f>
        <v>46092.77752314815</v>
      </c>
    </row>
    <row r="1199" spans="2:22" ht="15" customHeight="1">
      <c r="B1199" s="757" t="s">
        <v>1362</v>
      </c>
      <c r="C1199" s="911" t="s">
        <v>3556</v>
      </c>
      <c r="D1199" s="1320">
        <v>46092.78638888889</v>
      </c>
      <c r="E1199" s="850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693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1210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4" t="e">
        <f>LEFT(base[[#This Row],[Evento / Mercado]],FIND("/",base[[#This Row],[Evento / Mercado]])-2)</f>
        <v>#VALUE!</v>
      </c>
      <c r="T1199" s="1420">
        <f>base[[#This Row],[Data de liquidação]]</f>
        <v>46092.78638888889</v>
      </c>
    </row>
    <row r="1200" spans="2:22" ht="15" customHeight="1">
      <c r="B1200" s="757" t="s">
        <v>1361</v>
      </c>
      <c r="C1200" s="911" t="s">
        <v>3556</v>
      </c>
      <c r="D1200" s="1320">
        <v>46092.78769675926</v>
      </c>
      <c r="E1200" s="850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627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1210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4" t="e">
        <f>LEFT(base[[#This Row],[Evento / Mercado]],FIND("/",base[[#This Row],[Evento / Mercado]])-2)</f>
        <v>#VALUE!</v>
      </c>
      <c r="T1200" s="1420">
        <f>base[[#This Row],[Data de liquidação]]</f>
        <v>46092.78769675926</v>
      </c>
    </row>
    <row r="1201" spans="2:20" ht="15" customHeight="1">
      <c r="B1201" s="757" t="s">
        <v>1360</v>
      </c>
      <c r="C1201" s="911" t="s">
        <v>3556</v>
      </c>
      <c r="D1201" s="1320">
        <v>46092.787951388891</v>
      </c>
      <c r="E1201" s="850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627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1210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4" t="str">
        <f>LEFT(base[[#This Row],[Evento / Mercado]],FIND("/",base[[#This Row],[Evento / Mercado]])-2)</f>
        <v>Bod</v>
      </c>
      <c r="T1201" s="1420">
        <f>base[[#This Row],[Data de liquidação]]</f>
        <v>46092.787951388891</v>
      </c>
    </row>
    <row r="1202" spans="2:20" ht="15" customHeight="1">
      <c r="B1202" s="757" t="s">
        <v>1359</v>
      </c>
      <c r="C1202" s="911" t="s">
        <v>3556</v>
      </c>
      <c r="D1202" s="1320">
        <v>46092.869953703703</v>
      </c>
      <c r="E1202" s="850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4" t="e">
        <f>LEFT(base[[#This Row],[Evento / Mercado]],FIND("/",base[[#This Row],[Evento / Mercado]])-2)</f>
        <v>#VALUE!</v>
      </c>
      <c r="T1202" s="1420">
        <f>base[[#This Row],[Data de liquidação]]</f>
        <v>46092.869953703703</v>
      </c>
    </row>
    <row r="1203" spans="2:20" ht="15" customHeight="1">
      <c r="B1203" s="757" t="s">
        <v>1358</v>
      </c>
      <c r="C1203" s="911" t="s">
        <v>3556</v>
      </c>
      <c r="D1203" s="1320">
        <v>46092.875439814816</v>
      </c>
      <c r="E1203" s="850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4" t="e">
        <f>LEFT(base[[#This Row],[Evento / Mercado]],FIND("/",base[[#This Row],[Evento / Mercado]])-2)</f>
        <v>#VALUE!</v>
      </c>
      <c r="T1203" s="1420">
        <f>base[[#This Row],[Data de liquidação]]</f>
        <v>46092.875439814816</v>
      </c>
    </row>
    <row r="1204" spans="2:20" ht="15" customHeight="1">
      <c r="B1204" s="758" t="s">
        <v>1367</v>
      </c>
      <c r="C1204" s="911" t="s">
        <v>3556</v>
      </c>
      <c r="D1204" s="1321">
        <v>46093.873680555553</v>
      </c>
      <c r="E1204" s="851">
        <v>36.729999999999997</v>
      </c>
      <c r="F1204" s="235">
        <v>4.4999999999999998E-2</v>
      </c>
      <c r="G1204" s="322">
        <f t="shared" si="19"/>
        <v>38.460732984293195</v>
      </c>
      <c r="H1204" s="250" t="s">
        <v>179</v>
      </c>
      <c r="I1204" s="320" t="s">
        <v>1368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1370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4" t="e">
        <f>LEFT(base[[#This Row],[Evento / Mercado]],FIND("/",base[[#This Row],[Evento / Mercado]])-2)</f>
        <v>#VALUE!</v>
      </c>
      <c r="T1204" s="1420">
        <f>base[[#This Row],[Data de liquidação]]</f>
        <v>46093.873680555553</v>
      </c>
    </row>
    <row r="1205" spans="2:20" ht="15" customHeight="1">
      <c r="B1205" s="758" t="s">
        <v>1366</v>
      </c>
      <c r="C1205" s="911" t="s">
        <v>3556</v>
      </c>
      <c r="D1205" s="1321">
        <v>46093.918599537035</v>
      </c>
      <c r="E1205" s="851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1369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1370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4" t="e">
        <f>LEFT(base[[#This Row],[Evento / Mercado]],FIND("/",base[[#This Row],[Evento / Mercado]])-2)</f>
        <v>#VALUE!</v>
      </c>
      <c r="T1205" s="1420">
        <f>base[[#This Row],[Data de liquidação]]</f>
        <v>46093.918599537035</v>
      </c>
    </row>
    <row r="1206" spans="2:20" ht="15" customHeight="1">
      <c r="B1206" s="758" t="s">
        <v>1365</v>
      </c>
      <c r="C1206" s="911" t="s">
        <v>3556</v>
      </c>
      <c r="D1206" s="1321">
        <v>46093.980358796296</v>
      </c>
      <c r="E1206" s="851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627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1370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4" t="e">
        <f>LEFT(base[[#This Row],[Evento / Mercado]],FIND("/",base[[#This Row],[Evento / Mercado]])-2)</f>
        <v>#VALUE!</v>
      </c>
      <c r="T1206" s="1420">
        <f>base[[#This Row],[Data de liquidação]]</f>
        <v>46093.980358796296</v>
      </c>
    </row>
    <row r="1207" spans="2:20" ht="15" customHeight="1">
      <c r="B1207" s="759" t="s">
        <v>1388</v>
      </c>
      <c r="C1207" s="911" t="s">
        <v>3556</v>
      </c>
      <c r="D1207" s="1322">
        <v>46094.68613425926</v>
      </c>
      <c r="E1207" s="852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4" t="e">
        <f>LEFT(base[[#This Row],[Evento / Mercado]],FIND("/",base[[#This Row],[Evento / Mercado]])-2)</f>
        <v>#VALUE!</v>
      </c>
      <c r="T1207" s="1420">
        <f>base[[#This Row],[Data de liquidação]]</f>
        <v>46094.68613425926</v>
      </c>
    </row>
    <row r="1208" spans="2:20" ht="15" customHeight="1">
      <c r="B1208" s="759" t="s">
        <v>1387</v>
      </c>
      <c r="C1208" s="911" t="s">
        <v>3556</v>
      </c>
      <c r="D1208" s="1322">
        <v>46094.69902777778</v>
      </c>
      <c r="E1208" s="852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4" t="e">
        <f>LEFT(base[[#This Row],[Evento / Mercado]],FIND("/",base[[#This Row],[Evento / Mercado]])-2)</f>
        <v>#VALUE!</v>
      </c>
      <c r="T1208" s="1420">
        <f>base[[#This Row],[Data de liquidação]]</f>
        <v>46094.69902777778</v>
      </c>
    </row>
    <row r="1209" spans="2:20" ht="15" customHeight="1">
      <c r="B1209" s="759" t="s">
        <v>1386</v>
      </c>
      <c r="C1209" s="911" t="s">
        <v>3556</v>
      </c>
      <c r="D1209" s="1322">
        <v>46094.777650462966</v>
      </c>
      <c r="E1209" s="852">
        <v>42.1</v>
      </c>
      <c r="F1209" s="235">
        <v>4.4999999999999998E-2</v>
      </c>
      <c r="G1209" s="327">
        <f t="shared" si="19"/>
        <v>44.083769633507856</v>
      </c>
      <c r="H1209" s="250" t="s">
        <v>179</v>
      </c>
      <c r="I1209" s="248" t="s">
        <v>392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1208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4" t="e">
        <f>LEFT(base[[#This Row],[Evento / Mercado]],FIND("/",base[[#This Row],[Evento / Mercado]])-2)</f>
        <v>#VALUE!</v>
      </c>
      <c r="T1209" s="1420">
        <f>base[[#This Row],[Data de liquidação]]</f>
        <v>46094.777650462966</v>
      </c>
    </row>
    <row r="1210" spans="2:20" ht="15" customHeight="1">
      <c r="B1210" s="759" t="s">
        <v>1385</v>
      </c>
      <c r="C1210" s="911" t="s">
        <v>3556</v>
      </c>
      <c r="D1210" s="1322">
        <v>46094.786921296298</v>
      </c>
      <c r="E1210" s="852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4" t="e">
        <f>LEFT(base[[#This Row],[Evento / Mercado]],FIND("/",base[[#This Row],[Evento / Mercado]])-2)</f>
        <v>#VALUE!</v>
      </c>
      <c r="T1210" s="1420">
        <f>base[[#This Row],[Data de liquidação]]</f>
        <v>46094.786921296298</v>
      </c>
    </row>
    <row r="1211" spans="2:20" ht="15" customHeight="1">
      <c r="B1211" s="759" t="s">
        <v>1384</v>
      </c>
      <c r="C1211" s="911" t="s">
        <v>3556</v>
      </c>
      <c r="D1211" s="1322">
        <v>46095.434351851851</v>
      </c>
      <c r="E1211" s="852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4" t="e">
        <f>LEFT(base[[#This Row],[Evento / Mercado]],FIND("/",base[[#This Row],[Evento / Mercado]])-2)</f>
        <v>#VALUE!</v>
      </c>
      <c r="T1211" s="1420">
        <f>base[[#This Row],[Data de liquidação]]</f>
        <v>46095.434351851851</v>
      </c>
    </row>
    <row r="1212" spans="2:20" ht="15" customHeight="1">
      <c r="B1212" s="759" t="s">
        <v>1383</v>
      </c>
      <c r="C1212" s="911" t="s">
        <v>3556</v>
      </c>
      <c r="D1212" s="1322">
        <v>46095.457511574074</v>
      </c>
      <c r="E1212" s="852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4" t="e">
        <f>LEFT(base[[#This Row],[Evento / Mercado]],FIND("/",base[[#This Row],[Evento / Mercado]])-2)</f>
        <v>#VALUE!</v>
      </c>
      <c r="T1212" s="1420">
        <f>base[[#This Row],[Data de liquidação]]</f>
        <v>46095.457511574074</v>
      </c>
    </row>
    <row r="1213" spans="2:20" ht="15" customHeight="1">
      <c r="B1213" s="759" t="s">
        <v>1382</v>
      </c>
      <c r="C1213" s="911" t="s">
        <v>3556</v>
      </c>
      <c r="D1213" s="1322">
        <v>46095.471631944441</v>
      </c>
      <c r="E1213" s="852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4" t="e">
        <f>LEFT(base[[#This Row],[Evento / Mercado]],FIND("/",base[[#This Row],[Evento / Mercado]])-2)</f>
        <v>#VALUE!</v>
      </c>
      <c r="T1213" s="1420">
        <f>base[[#This Row],[Data de liquidação]]</f>
        <v>46095.471631944441</v>
      </c>
    </row>
    <row r="1214" spans="2:20" ht="15" customHeight="1">
      <c r="B1214" s="759" t="s">
        <v>1381</v>
      </c>
      <c r="C1214" s="911" t="s">
        <v>3556</v>
      </c>
      <c r="D1214" s="1322">
        <v>46095.494513888887</v>
      </c>
      <c r="E1214" s="852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4" t="e">
        <f>LEFT(base[[#This Row],[Evento / Mercado]],FIND("/",base[[#This Row],[Evento / Mercado]])-2)</f>
        <v>#VALUE!</v>
      </c>
      <c r="T1214" s="1420">
        <f>base[[#This Row],[Data de liquidação]]</f>
        <v>46095.494513888887</v>
      </c>
    </row>
    <row r="1215" spans="2:20" ht="15" customHeight="1">
      <c r="B1215" s="759" t="s">
        <v>1380</v>
      </c>
      <c r="C1215" s="911" t="s">
        <v>3556</v>
      </c>
      <c r="D1215" s="1322">
        <v>46095.513368055559</v>
      </c>
      <c r="E1215" s="852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4" t="e">
        <f>LEFT(base[[#This Row],[Evento / Mercado]],FIND("/",base[[#This Row],[Evento / Mercado]])-2)</f>
        <v>#VALUE!</v>
      </c>
      <c r="T1215" s="1420">
        <f>base[[#This Row],[Data de liquidação]]</f>
        <v>46095.513368055559</v>
      </c>
    </row>
    <row r="1216" spans="2:20" ht="15" customHeight="1">
      <c r="B1216" s="759" t="s">
        <v>1379</v>
      </c>
      <c r="C1216" s="911" t="s">
        <v>3556</v>
      </c>
      <c r="D1216" s="1322">
        <v>46095.531608796293</v>
      </c>
      <c r="E1216" s="852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4" t="e">
        <f>LEFT(base[[#This Row],[Evento / Mercado]],FIND("/",base[[#This Row],[Evento / Mercado]])-2)</f>
        <v>#VALUE!</v>
      </c>
      <c r="T1216" s="1420">
        <f>base[[#This Row],[Data de liquidação]]</f>
        <v>46095.531608796293</v>
      </c>
    </row>
    <row r="1217" spans="2:20" ht="15" customHeight="1">
      <c r="B1217" s="759" t="s">
        <v>1378</v>
      </c>
      <c r="C1217" s="911" t="s">
        <v>3556</v>
      </c>
      <c r="D1217" s="1322">
        <v>46095.551180555558</v>
      </c>
      <c r="E1217" s="852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4" t="e">
        <f>LEFT(base[[#This Row],[Evento / Mercado]],FIND("/",base[[#This Row],[Evento / Mercado]])-2)</f>
        <v>#VALUE!</v>
      </c>
      <c r="T1217" s="1420">
        <f>base[[#This Row],[Data de liquidação]]</f>
        <v>46095.551180555558</v>
      </c>
    </row>
    <row r="1218" spans="2:20" ht="15" customHeight="1">
      <c r="B1218" s="759" t="s">
        <v>1377</v>
      </c>
      <c r="C1218" s="911" t="s">
        <v>3556</v>
      </c>
      <c r="D1218" s="1322">
        <v>46095.552488425928</v>
      </c>
      <c r="E1218" s="852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4" t="e">
        <f>LEFT(base[[#This Row],[Evento / Mercado]],FIND("/",base[[#This Row],[Evento / Mercado]])-2)</f>
        <v>#VALUE!</v>
      </c>
      <c r="T1218" s="1420">
        <f>base[[#This Row],[Data de liquidação]]</f>
        <v>46095.552488425928</v>
      </c>
    </row>
    <row r="1219" spans="2:20" ht="15" customHeight="1">
      <c r="B1219" s="759" t="s">
        <v>1376</v>
      </c>
      <c r="C1219" s="911" t="s">
        <v>3556</v>
      </c>
      <c r="D1219" s="1322">
        <v>46095.55773148148</v>
      </c>
      <c r="E1219" s="852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628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1200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4" t="e">
        <f>LEFT(base[[#This Row],[Evento / Mercado]],FIND("/",base[[#This Row],[Evento / Mercado]])-2)</f>
        <v>#VALUE!</v>
      </c>
      <c r="T1219" s="1420">
        <f>base[[#This Row],[Data de liquidação]]</f>
        <v>46095.55773148148</v>
      </c>
    </row>
    <row r="1220" spans="2:20" ht="15" customHeight="1">
      <c r="B1220" s="759" t="s">
        <v>1375</v>
      </c>
      <c r="C1220" s="911" t="s">
        <v>3556</v>
      </c>
      <c r="D1220" s="1322">
        <v>46095.562777777777</v>
      </c>
      <c r="E1220" s="852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693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1200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4" t="e">
        <f>LEFT(base[[#This Row],[Evento / Mercado]],FIND("/",base[[#This Row],[Evento / Mercado]])-2)</f>
        <v>#VALUE!</v>
      </c>
      <c r="T1220" s="1420">
        <f>base[[#This Row],[Data de liquidação]]</f>
        <v>46095.562777777777</v>
      </c>
    </row>
    <row r="1221" spans="2:20" ht="15" customHeight="1">
      <c r="B1221" s="759" t="s">
        <v>1374</v>
      </c>
      <c r="C1221" s="911" t="s">
        <v>3556</v>
      </c>
      <c r="D1221" s="1322">
        <v>46095.663495370369</v>
      </c>
      <c r="E1221" s="852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627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1204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4" t="e">
        <f>LEFT(base[[#This Row],[Evento / Mercado]],FIND("/",base[[#This Row],[Evento / Mercado]])-2)</f>
        <v>#VALUE!</v>
      </c>
      <c r="T1221" s="1420">
        <f>base[[#This Row],[Data de liquidação]]</f>
        <v>46095.663495370369</v>
      </c>
    </row>
    <row r="1222" spans="2:20" ht="15" customHeight="1">
      <c r="B1222" s="759" t="s">
        <v>1373</v>
      </c>
      <c r="C1222" s="911" t="s">
        <v>3556</v>
      </c>
      <c r="D1222" s="1322">
        <v>46095.728449074071</v>
      </c>
      <c r="E1222" s="852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4" t="e">
        <f>LEFT(base[[#This Row],[Evento / Mercado]],FIND("/",base[[#This Row],[Evento / Mercado]])-2)</f>
        <v>#VALUE!</v>
      </c>
      <c r="T1222" s="1420">
        <f>base[[#This Row],[Data de liquidação]]</f>
        <v>46095.728449074071</v>
      </c>
    </row>
    <row r="1223" spans="2:20" ht="15" customHeight="1">
      <c r="B1223" s="759" t="s">
        <v>1372</v>
      </c>
      <c r="C1223" s="911" t="s">
        <v>3556</v>
      </c>
      <c r="D1223" s="1322">
        <v>46095.733287037037</v>
      </c>
      <c r="E1223" s="852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4" t="e">
        <f>LEFT(base[[#This Row],[Evento / Mercado]],FIND("/",base[[#This Row],[Evento / Mercado]])-2)</f>
        <v>#VALUE!</v>
      </c>
      <c r="T1223" s="1420">
        <f>base[[#This Row],[Data de liquidação]]</f>
        <v>46095.733287037037</v>
      </c>
    </row>
    <row r="1224" spans="2:20" ht="15" customHeight="1">
      <c r="B1224" s="759" t="s">
        <v>1371</v>
      </c>
      <c r="C1224" s="911" t="s">
        <v>3556</v>
      </c>
      <c r="D1224" s="1322">
        <v>46095.79078703704</v>
      </c>
      <c r="E1224" s="852">
        <v>44.25</v>
      </c>
      <c r="F1224" s="235">
        <v>4.4999999999999998E-2</v>
      </c>
      <c r="G1224" s="327">
        <f t="shared" si="20"/>
        <v>46.335078534031418</v>
      </c>
      <c r="H1224" s="250" t="s">
        <v>179</v>
      </c>
      <c r="I1224" s="248" t="s">
        <v>392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1202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4" t="e">
        <f>LEFT(base[[#This Row],[Evento / Mercado]],FIND("/",base[[#This Row],[Evento / Mercado]])-2)</f>
        <v>#VALUE!</v>
      </c>
      <c r="T1224" s="1420">
        <f>base[[#This Row],[Data de liquidação]]</f>
        <v>46095.79078703704</v>
      </c>
    </row>
    <row r="1225" spans="2:20" ht="15" customHeight="1">
      <c r="B1225" s="759" t="s">
        <v>1398</v>
      </c>
      <c r="C1225" s="911" t="s">
        <v>3556</v>
      </c>
      <c r="D1225" s="1322">
        <v>46096.501481481479</v>
      </c>
      <c r="E1225" s="852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4" t="e">
        <f>LEFT(base[[#This Row],[Evento / Mercado]],FIND("/",base[[#This Row],[Evento / Mercado]])-2)</f>
        <v>#VALUE!</v>
      </c>
      <c r="T1225" s="1420">
        <f>base[[#This Row],[Data de liquidação]]</f>
        <v>46096.501481481479</v>
      </c>
    </row>
    <row r="1226" spans="2:20" ht="15" customHeight="1">
      <c r="B1226" s="759" t="s">
        <v>1397</v>
      </c>
      <c r="C1226" s="911" t="s">
        <v>3556</v>
      </c>
      <c r="D1226" s="1322">
        <v>46096.578449074077</v>
      </c>
      <c r="E1226" s="852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4" t="e">
        <f>LEFT(base[[#This Row],[Evento / Mercado]],FIND("/",base[[#This Row],[Evento / Mercado]])-2)</f>
        <v>#VALUE!</v>
      </c>
      <c r="T1226" s="1420">
        <f>base[[#This Row],[Data de liquidação]]</f>
        <v>46096.578449074077</v>
      </c>
    </row>
    <row r="1227" spans="2:20" ht="15" customHeight="1">
      <c r="B1227" s="759" t="s">
        <v>1396</v>
      </c>
      <c r="C1227" s="911" t="s">
        <v>3556</v>
      </c>
      <c r="D1227" s="1322">
        <v>46096.591921296298</v>
      </c>
      <c r="E1227" s="852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628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1202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4" t="e">
        <f>LEFT(base[[#This Row],[Evento / Mercado]],FIND("/",base[[#This Row],[Evento / Mercado]])-2)</f>
        <v>#VALUE!</v>
      </c>
      <c r="T1227" s="1420">
        <f>base[[#This Row],[Data de liquidação]]</f>
        <v>46096.591921296298</v>
      </c>
    </row>
    <row r="1228" spans="2:20" ht="15" customHeight="1">
      <c r="B1228" s="759" t="s">
        <v>1395</v>
      </c>
      <c r="C1228" s="911" t="s">
        <v>3556</v>
      </c>
      <c r="D1228" s="1322">
        <v>46096.664687500001</v>
      </c>
      <c r="E1228" s="852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1369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1207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4" t="e">
        <f>LEFT(base[[#This Row],[Evento / Mercado]],FIND("/",base[[#This Row],[Evento / Mercado]])-2)</f>
        <v>#VALUE!</v>
      </c>
      <c r="T1228" s="1420">
        <f>base[[#This Row],[Data de liquidação]]</f>
        <v>46096.664687500001</v>
      </c>
    </row>
    <row r="1229" spans="2:20" ht="15" customHeight="1">
      <c r="B1229" s="759" t="s">
        <v>1394</v>
      </c>
      <c r="C1229" s="911" t="s">
        <v>3556</v>
      </c>
      <c r="D1229" s="1322">
        <v>46096.726365740738</v>
      </c>
      <c r="E1229" s="852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628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1200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4" t="e">
        <f>LEFT(base[[#This Row],[Evento / Mercado]],FIND("/",base[[#This Row],[Evento / Mercado]])-2)</f>
        <v>#VALUE!</v>
      </c>
      <c r="T1229" s="1420">
        <f>base[[#This Row],[Data de liquidação]]</f>
        <v>46096.726365740738</v>
      </c>
    </row>
    <row r="1230" spans="2:20" ht="15" customHeight="1">
      <c r="B1230" s="759" t="s">
        <v>1393</v>
      </c>
      <c r="C1230" s="911" t="s">
        <v>3556</v>
      </c>
      <c r="D1230" s="1322">
        <v>46096.750763888886</v>
      </c>
      <c r="E1230" s="852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1369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1370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4" t="e">
        <f>LEFT(base[[#This Row],[Evento / Mercado]],FIND("/",base[[#This Row],[Evento / Mercado]])-2)</f>
        <v>#VALUE!</v>
      </c>
      <c r="T1230" s="1420">
        <f>base[[#This Row],[Data de liquidação]]</f>
        <v>46096.750763888886</v>
      </c>
    </row>
    <row r="1231" spans="2:20" ht="15" customHeight="1">
      <c r="B1231" s="759" t="s">
        <v>1392</v>
      </c>
      <c r="C1231" s="911" t="s">
        <v>3556</v>
      </c>
      <c r="D1231" s="1322">
        <v>46096.754062499997</v>
      </c>
      <c r="E1231" s="852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1369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1370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4" t="e">
        <f>LEFT(base[[#This Row],[Evento / Mercado]],FIND("/",base[[#This Row],[Evento / Mercado]])-2)</f>
        <v>#VALUE!</v>
      </c>
      <c r="T1231" s="1420">
        <f>base[[#This Row],[Data de liquidação]]</f>
        <v>46096.754062499997</v>
      </c>
    </row>
    <row r="1232" spans="2:20" ht="15" customHeight="1">
      <c r="B1232" s="759" t="s">
        <v>1391</v>
      </c>
      <c r="C1232" s="911" t="s">
        <v>3556</v>
      </c>
      <c r="D1232" s="1322">
        <v>46096.755266203705</v>
      </c>
      <c r="E1232" s="852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1369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1370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4" t="e">
        <f>LEFT(base[[#This Row],[Evento / Mercado]],FIND("/",base[[#This Row],[Evento / Mercado]])-2)</f>
        <v>#VALUE!</v>
      </c>
      <c r="T1232" s="1420">
        <f>base[[#This Row],[Data de liquidação]]</f>
        <v>46096.755266203705</v>
      </c>
    </row>
    <row r="1233" spans="2:20" ht="15" customHeight="1">
      <c r="B1233" s="759" t="s">
        <v>1390</v>
      </c>
      <c r="C1233" s="911" t="s">
        <v>3556</v>
      </c>
      <c r="D1233" s="1322">
        <v>46096.76189814815</v>
      </c>
      <c r="E1233" s="852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4" t="e">
        <f>LEFT(base[[#This Row],[Evento / Mercado]],FIND("/",base[[#This Row],[Evento / Mercado]])-2)</f>
        <v>#VALUE!</v>
      </c>
      <c r="T1233" s="1420">
        <f>base[[#This Row],[Data de liquidação]]</f>
        <v>46096.76189814815</v>
      </c>
    </row>
    <row r="1234" spans="2:20" ht="15" customHeight="1">
      <c r="B1234" s="759" t="s">
        <v>1389</v>
      </c>
      <c r="C1234" s="911" t="s">
        <v>3556</v>
      </c>
      <c r="D1234" s="1322">
        <v>46096.855416666665</v>
      </c>
      <c r="E1234" s="852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627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1370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4" t="e">
        <f>LEFT(base[[#This Row],[Evento / Mercado]],FIND("/",base[[#This Row],[Evento / Mercado]])-2)</f>
        <v>#VALUE!</v>
      </c>
      <c r="T1234" s="1420">
        <f>base[[#This Row],[Data de liquidação]]</f>
        <v>46096.855416666665</v>
      </c>
    </row>
    <row r="1235" spans="2:20" ht="15" customHeight="1">
      <c r="B1235" s="759" t="s">
        <v>1389</v>
      </c>
      <c r="C1235" s="911" t="s">
        <v>3556</v>
      </c>
      <c r="D1235" s="1322">
        <v>46096.855578703704</v>
      </c>
      <c r="E1235" s="852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4" t="e">
        <f>LEFT(base[[#This Row],[Evento / Mercado]],FIND("/",base[[#This Row],[Evento / Mercado]])-2)</f>
        <v>#VALUE!</v>
      </c>
      <c r="T1235" s="1420">
        <f>base[[#This Row],[Data de liquidação]]</f>
        <v>46096.855578703704</v>
      </c>
    </row>
    <row r="1236" spans="2:20" ht="15" customHeight="1">
      <c r="B1236" s="760" t="s">
        <v>1400</v>
      </c>
      <c r="C1236" s="911" t="s">
        <v>3556</v>
      </c>
      <c r="D1236" s="1323">
        <v>46097.868020833332</v>
      </c>
      <c r="E1236" s="853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4" t="e">
        <f>LEFT(base[[#This Row],[Evento / Mercado]],FIND("/",base[[#This Row],[Evento / Mercado]])-2)</f>
        <v>#VALUE!</v>
      </c>
      <c r="T1236" s="1420">
        <f>base[[#This Row],[Data de liquidação]]</f>
        <v>46097.868020833332</v>
      </c>
    </row>
    <row r="1237" spans="2:20" ht="15" customHeight="1">
      <c r="B1237" s="761" t="s">
        <v>1406</v>
      </c>
      <c r="C1237" s="911" t="s">
        <v>3556</v>
      </c>
      <c r="D1237" s="1324">
        <v>46098.693460648145</v>
      </c>
      <c r="E1237" s="854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628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1210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4" t="str">
        <f>LEFT(base[[#This Row],[Evento / Mercado]],FIND("/",base[[#This Row],[Evento / Mercado]])-2)</f>
        <v>Sporting CP vs Bod</v>
      </c>
      <c r="T1237" s="1420">
        <f>base[[#This Row],[Data de liquidação]]</f>
        <v>46098.693460648145</v>
      </c>
    </row>
    <row r="1238" spans="2:20" ht="15" customHeight="1">
      <c r="B1238" s="761" t="s">
        <v>1405</v>
      </c>
      <c r="C1238" s="911" t="s">
        <v>3556</v>
      </c>
      <c r="D1238" s="1324">
        <v>46098.733206018522</v>
      </c>
      <c r="E1238" s="854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4" t="e">
        <f>LEFT(base[[#This Row],[Evento / Mercado]],FIND("/",base[[#This Row],[Evento / Mercado]])-2)</f>
        <v>#VALUE!</v>
      </c>
      <c r="T1238" s="1420">
        <f>base[[#This Row],[Data de liquidação]]</f>
        <v>46098.733206018522</v>
      </c>
    </row>
    <row r="1239" spans="2:20" ht="15" customHeight="1">
      <c r="B1239" s="761" t="s">
        <v>1404</v>
      </c>
      <c r="C1239" s="911" t="s">
        <v>3556</v>
      </c>
      <c r="D1239" s="1324">
        <v>46098.77584490741</v>
      </c>
      <c r="E1239" s="854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4" t="e">
        <f>LEFT(base[[#This Row],[Evento / Mercado]],FIND("/",base[[#This Row],[Evento / Mercado]])-2)</f>
        <v>#VALUE!</v>
      </c>
      <c r="T1239" s="1420">
        <f>base[[#This Row],[Data de liquidação]]</f>
        <v>46098.77584490741</v>
      </c>
    </row>
    <row r="1240" spans="2:20" ht="15" customHeight="1">
      <c r="B1240" s="761" t="s">
        <v>1403</v>
      </c>
      <c r="C1240" s="911" t="s">
        <v>3556</v>
      </c>
      <c r="D1240" s="1324">
        <v>46098.776979166665</v>
      </c>
      <c r="E1240" s="854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4" t="e">
        <f>LEFT(base[[#This Row],[Evento / Mercado]],FIND("/",base[[#This Row],[Evento / Mercado]])-2)</f>
        <v>#VALUE!</v>
      </c>
      <c r="T1240" s="1420">
        <f>base[[#This Row],[Data de liquidação]]</f>
        <v>46098.776979166665</v>
      </c>
    </row>
    <row r="1241" spans="2:20" ht="15" customHeight="1">
      <c r="B1241" s="761" t="s">
        <v>1402</v>
      </c>
      <c r="C1241" s="911" t="s">
        <v>3556</v>
      </c>
      <c r="D1241" s="1324">
        <v>46098.78297453704</v>
      </c>
      <c r="E1241" s="854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628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1210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4" t="e">
        <f>LEFT(base[[#This Row],[Evento / Mercado]],FIND("/",base[[#This Row],[Evento / Mercado]])-2)</f>
        <v>#VALUE!</v>
      </c>
      <c r="T1241" s="1420">
        <f>base[[#This Row],[Data de liquidação]]</f>
        <v>46098.78297453704</v>
      </c>
    </row>
    <row r="1242" spans="2:20" ht="15" customHeight="1">
      <c r="B1242" s="761" t="s">
        <v>1401</v>
      </c>
      <c r="C1242" s="911" t="s">
        <v>3556</v>
      </c>
      <c r="D1242" s="1324">
        <v>46098.785636574074</v>
      </c>
      <c r="E1242" s="854">
        <v>35.119999999999997</v>
      </c>
      <c r="F1242" s="235">
        <v>4.4999999999999998E-2</v>
      </c>
      <c r="G1242" s="334">
        <f t="shared" si="20"/>
        <v>36.774869109947645</v>
      </c>
      <c r="H1242" s="376" t="s">
        <v>179</v>
      </c>
      <c r="I1242" s="248" t="s">
        <v>392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1210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4" t="e">
        <f>LEFT(base[[#This Row],[Evento / Mercado]],FIND("/",base[[#This Row],[Evento / Mercado]])-2)</f>
        <v>#VALUE!</v>
      </c>
      <c r="T1242" s="1420">
        <f>base[[#This Row],[Data de liquidação]]</f>
        <v>46098.785636574074</v>
      </c>
    </row>
    <row r="1243" spans="2:20" ht="15" customHeight="1">
      <c r="B1243" s="762" t="s">
        <v>1412</v>
      </c>
      <c r="C1243" s="911" t="s">
        <v>3556</v>
      </c>
      <c r="D1243" s="1325">
        <v>46099.695138888892</v>
      </c>
      <c r="E1243" s="855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628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1210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4" t="e">
        <f>LEFT(base[[#This Row],[Evento / Mercado]],FIND("/",base[[#This Row],[Evento / Mercado]])-2)</f>
        <v>#VALUE!</v>
      </c>
      <c r="T1243" s="1420">
        <f>base[[#This Row],[Data de liquidação]]</f>
        <v>46099.695138888892</v>
      </c>
    </row>
    <row r="1244" spans="2:20" ht="15" customHeight="1">
      <c r="B1244" s="762" t="s">
        <v>1411</v>
      </c>
      <c r="C1244" s="911" t="s">
        <v>3556</v>
      </c>
      <c r="D1244" s="1325">
        <v>46099.786863425928</v>
      </c>
      <c r="E1244" s="855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628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1210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4" t="e">
        <f>LEFT(base[[#This Row],[Evento / Mercado]],FIND("/",base[[#This Row],[Evento / Mercado]])-2)</f>
        <v>#VALUE!</v>
      </c>
      <c r="T1244" s="1420">
        <f>base[[#This Row],[Data de liquidação]]</f>
        <v>46099.786863425928</v>
      </c>
    </row>
    <row r="1245" spans="2:20" ht="15" customHeight="1">
      <c r="B1245" s="762" t="s">
        <v>1410</v>
      </c>
      <c r="C1245" s="911" t="s">
        <v>3556</v>
      </c>
      <c r="D1245" s="1325">
        <v>46099.874699074076</v>
      </c>
      <c r="E1245" s="855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627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1370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4" t="e">
        <f>LEFT(base[[#This Row],[Evento / Mercado]],FIND("/",base[[#This Row],[Evento / Mercado]])-2)</f>
        <v>#VALUE!</v>
      </c>
      <c r="T1245" s="1420">
        <f>base[[#This Row],[Data de liquidação]]</f>
        <v>46099.874699074076</v>
      </c>
    </row>
    <row r="1246" spans="2:20" ht="15" customHeight="1">
      <c r="B1246" s="762" t="s">
        <v>1409</v>
      </c>
      <c r="C1246" s="911" t="s">
        <v>3556</v>
      </c>
      <c r="D1246" s="1325">
        <v>46099.877164351848</v>
      </c>
      <c r="E1246" s="855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1369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1370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4" t="e">
        <f>LEFT(base[[#This Row],[Evento / Mercado]],FIND("/",base[[#This Row],[Evento / Mercado]])-2)</f>
        <v>#VALUE!</v>
      </c>
      <c r="T1246" s="1420">
        <f>base[[#This Row],[Data de liquidação]]</f>
        <v>46099.877164351848</v>
      </c>
    </row>
    <row r="1247" spans="2:20" ht="15" customHeight="1">
      <c r="B1247" s="762" t="s">
        <v>1409</v>
      </c>
      <c r="C1247" s="911" t="s">
        <v>3556</v>
      </c>
      <c r="D1247" s="1325">
        <v>46099.877210648148</v>
      </c>
      <c r="E1247" s="855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4" t="e">
        <f>LEFT(base[[#This Row],[Evento / Mercado]],FIND("/",base[[#This Row],[Evento / Mercado]])-2)</f>
        <v>#VALUE!</v>
      </c>
      <c r="T1247" s="1420">
        <f>base[[#This Row],[Data de liquidação]]</f>
        <v>46099.877210648148</v>
      </c>
    </row>
    <row r="1248" spans="2:20" ht="15" customHeight="1">
      <c r="B1248" s="762" t="s">
        <v>1408</v>
      </c>
      <c r="C1248" s="911" t="s">
        <v>3556</v>
      </c>
      <c r="D1248" s="1325">
        <v>46099.952916666669</v>
      </c>
      <c r="E1248" s="855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4" t="e">
        <f>LEFT(base[[#This Row],[Evento / Mercado]],FIND("/",base[[#This Row],[Evento / Mercado]])-2)</f>
        <v>#VALUE!</v>
      </c>
      <c r="T1248" s="1420">
        <f>base[[#This Row],[Data de liquidação]]</f>
        <v>46099.952916666669</v>
      </c>
    </row>
    <row r="1249" spans="2:20" ht="15" customHeight="1">
      <c r="B1249" s="762" t="s">
        <v>1407</v>
      </c>
      <c r="C1249" s="911" t="s">
        <v>3556</v>
      </c>
      <c r="D1249" s="1325">
        <v>46099.98196759259</v>
      </c>
      <c r="E1249" s="855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1369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1370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4" t="e">
        <f>LEFT(base[[#This Row],[Evento / Mercado]],FIND("/",base[[#This Row],[Evento / Mercado]])-2)</f>
        <v>#VALUE!</v>
      </c>
      <c r="T1249" s="1420">
        <f>base[[#This Row],[Data de liquidação]]</f>
        <v>46099.98196759259</v>
      </c>
    </row>
    <row r="1250" spans="2:20" ht="15" customHeight="1">
      <c r="B1250" s="763" t="s">
        <v>1415</v>
      </c>
      <c r="C1250" s="911" t="s">
        <v>3556</v>
      </c>
      <c r="D1250" s="1326">
        <v>46100.674861111111</v>
      </c>
      <c r="E1250" s="856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4" t="e">
        <f>LEFT(base[[#This Row],[Evento / Mercado]],FIND("/",base[[#This Row],[Evento / Mercado]])-2)</f>
        <v>#VALUE!</v>
      </c>
      <c r="T1250" s="1420">
        <f>base[[#This Row],[Data de liquidação]]</f>
        <v>46100.674861111111</v>
      </c>
    </row>
    <row r="1251" spans="2:20" ht="15" customHeight="1">
      <c r="B1251" s="763" t="s">
        <v>1414</v>
      </c>
      <c r="C1251" s="911" t="s">
        <v>3556</v>
      </c>
      <c r="D1251" s="1326">
        <v>46100.763854166667</v>
      </c>
      <c r="E1251" s="856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4" t="e">
        <f>LEFT(base[[#This Row],[Evento / Mercado]],FIND("/",base[[#This Row],[Evento / Mercado]])-2)</f>
        <v>#VALUE!</v>
      </c>
      <c r="T1251" s="1420">
        <f>base[[#This Row],[Data de liquidação]]</f>
        <v>46100.763854166667</v>
      </c>
    </row>
    <row r="1252" spans="2:20" ht="15" customHeight="1">
      <c r="B1252" s="763" t="s">
        <v>1413</v>
      </c>
      <c r="C1252" s="911" t="s">
        <v>3556</v>
      </c>
      <c r="D1252" s="1326">
        <v>46100.877511574072</v>
      </c>
      <c r="E1252" s="856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4" t="e">
        <f>LEFT(base[[#This Row],[Evento / Mercado]],FIND("/",base[[#This Row],[Evento / Mercado]])-2)</f>
        <v>#VALUE!</v>
      </c>
      <c r="T1252" s="1420">
        <f>base[[#This Row],[Data de liquidação]]</f>
        <v>46100.877511574072</v>
      </c>
    </row>
    <row r="1253" spans="2:20" ht="15" customHeight="1">
      <c r="B1253" s="764" t="s">
        <v>1433</v>
      </c>
      <c r="C1253" s="911" t="s">
        <v>3556</v>
      </c>
      <c r="D1253" s="1327">
        <v>46101.640196759261</v>
      </c>
      <c r="E1253" s="857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4" t="e">
        <f>LEFT(base[[#This Row],[Evento / Mercado]],FIND("/",base[[#This Row],[Evento / Mercado]])-2)</f>
        <v>#VALUE!</v>
      </c>
      <c r="T1253" s="1420">
        <f>base[[#This Row],[Data de liquidação]]</f>
        <v>46101.640196759261</v>
      </c>
    </row>
    <row r="1254" spans="2:20" ht="15" customHeight="1">
      <c r="B1254" s="764" t="s">
        <v>1432</v>
      </c>
      <c r="C1254" s="911" t="s">
        <v>3556</v>
      </c>
      <c r="D1254" s="1327">
        <v>46101.683703703704</v>
      </c>
      <c r="E1254" s="857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4" t="e">
        <f>LEFT(base[[#This Row],[Evento / Mercado]],FIND("/",base[[#This Row],[Evento / Mercado]])-2)</f>
        <v>#VALUE!</v>
      </c>
      <c r="T1254" s="1420">
        <f>base[[#This Row],[Data de liquidação]]</f>
        <v>46101.683703703704</v>
      </c>
    </row>
    <row r="1255" spans="2:20" ht="15" customHeight="1">
      <c r="B1255" s="764" t="s">
        <v>1431</v>
      </c>
      <c r="C1255" s="911" t="s">
        <v>3556</v>
      </c>
      <c r="D1255" s="1327">
        <v>46101.70385416667</v>
      </c>
      <c r="E1255" s="857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4" t="e">
        <f>LEFT(base[[#This Row],[Evento / Mercado]],FIND("/",base[[#This Row],[Evento / Mercado]])-2)</f>
        <v>#VALUE!</v>
      </c>
      <c r="T1255" s="1420">
        <f>base[[#This Row],[Data de liquidação]]</f>
        <v>46101.70385416667</v>
      </c>
    </row>
    <row r="1256" spans="2:20" ht="15" customHeight="1">
      <c r="B1256" s="764" t="s">
        <v>1428</v>
      </c>
      <c r="C1256" s="911" t="s">
        <v>3556</v>
      </c>
      <c r="D1256" s="1327">
        <v>46101.725601851853</v>
      </c>
      <c r="E1256" s="857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4" t="e">
        <f>LEFT(base[[#This Row],[Evento / Mercado]],FIND("/",base[[#This Row],[Evento / Mercado]])-2)</f>
        <v>#VALUE!</v>
      </c>
      <c r="T1256" s="1420">
        <f>base[[#This Row],[Data de liquidação]]</f>
        <v>46101.725601851853</v>
      </c>
    </row>
    <row r="1257" spans="2:20" ht="15" customHeight="1">
      <c r="B1257" s="764" t="s">
        <v>1430</v>
      </c>
      <c r="C1257" s="911" t="s">
        <v>3556</v>
      </c>
      <c r="D1257" s="1327">
        <v>46101.74664351852</v>
      </c>
      <c r="E1257" s="857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693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1198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4" t="e">
        <f>LEFT(base[[#This Row],[Evento / Mercado]],FIND("/",base[[#This Row],[Evento / Mercado]])-2)</f>
        <v>#VALUE!</v>
      </c>
      <c r="T1257" s="1420">
        <f>base[[#This Row],[Data de liquidação]]</f>
        <v>46101.74664351852</v>
      </c>
    </row>
    <row r="1258" spans="2:20" ht="15" customHeight="1">
      <c r="B1258" s="764" t="s">
        <v>1429</v>
      </c>
      <c r="C1258" s="911" t="s">
        <v>3556</v>
      </c>
      <c r="D1258" s="1327">
        <v>46101.769942129627</v>
      </c>
      <c r="E1258" s="857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628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1200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4" t="e">
        <f>LEFT(base[[#This Row],[Evento / Mercado]],FIND("/",base[[#This Row],[Evento / Mercado]])-2)</f>
        <v>#VALUE!</v>
      </c>
      <c r="T1258" s="1420">
        <f>base[[#This Row],[Data de liquidação]]</f>
        <v>46101.769942129627</v>
      </c>
    </row>
    <row r="1259" spans="2:20" ht="15" customHeight="1">
      <c r="B1259" s="764" t="s">
        <v>1428</v>
      </c>
      <c r="C1259" s="911" t="s">
        <v>3556</v>
      </c>
      <c r="D1259" s="1327">
        <v>46101.789247685185</v>
      </c>
      <c r="E1259" s="857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627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1202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4" t="e">
        <f>LEFT(base[[#This Row],[Evento / Mercado]],FIND("/",base[[#This Row],[Evento / Mercado]])-2)</f>
        <v>#VALUE!</v>
      </c>
      <c r="T1259" s="1420">
        <f>base[[#This Row],[Data de liquidação]]</f>
        <v>46101.789247685185</v>
      </c>
    </row>
    <row r="1260" spans="2:20" ht="15" customHeight="1">
      <c r="B1260" s="764" t="s">
        <v>1427</v>
      </c>
      <c r="C1260" s="911" t="s">
        <v>3556</v>
      </c>
      <c r="D1260" s="1327">
        <v>46102.443287037036</v>
      </c>
      <c r="E1260" s="857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4" t="e">
        <f>LEFT(base[[#This Row],[Evento / Mercado]],FIND("/",base[[#This Row],[Evento / Mercado]])-2)</f>
        <v>#VALUE!</v>
      </c>
      <c r="T1260" s="1420">
        <f>base[[#This Row],[Data de liquidação]]</f>
        <v>46102.443287037036</v>
      </c>
    </row>
    <row r="1261" spans="2:20" ht="15" customHeight="1">
      <c r="B1261" s="764" t="s">
        <v>1426</v>
      </c>
      <c r="C1261" s="911" t="s">
        <v>3556</v>
      </c>
      <c r="D1261" s="1327">
        <v>46102.445763888885</v>
      </c>
      <c r="E1261" s="857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4" t="e">
        <f>LEFT(base[[#This Row],[Evento / Mercado]],FIND("/",base[[#This Row],[Evento / Mercado]])-2)</f>
        <v>#VALUE!</v>
      </c>
      <c r="T1261" s="1420">
        <f>base[[#This Row],[Data de liquidação]]</f>
        <v>46102.445763888885</v>
      </c>
    </row>
    <row r="1262" spans="2:20" ht="15" customHeight="1">
      <c r="B1262" s="764" t="s">
        <v>1425</v>
      </c>
      <c r="C1262" s="911" t="s">
        <v>3556</v>
      </c>
      <c r="D1262" s="1327">
        <v>46102.447754629633</v>
      </c>
      <c r="E1262" s="857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4" t="e">
        <f>LEFT(base[[#This Row],[Evento / Mercado]],FIND("/",base[[#This Row],[Evento / Mercado]])-2)</f>
        <v>#VALUE!</v>
      </c>
      <c r="T1262" s="1420">
        <f>base[[#This Row],[Data de liquidação]]</f>
        <v>46102.447754629633</v>
      </c>
    </row>
    <row r="1263" spans="2:20" ht="15" customHeight="1">
      <c r="B1263" s="764" t="s">
        <v>1424</v>
      </c>
      <c r="C1263" s="911" t="s">
        <v>3556</v>
      </c>
      <c r="D1263" s="1327">
        <v>46102.471342592595</v>
      </c>
      <c r="E1263" s="857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4" t="e">
        <f>LEFT(base[[#This Row],[Evento / Mercado]],FIND("/",base[[#This Row],[Evento / Mercado]])-2)</f>
        <v>#VALUE!</v>
      </c>
      <c r="T1263" s="1420">
        <f>base[[#This Row],[Data de liquidação]]</f>
        <v>46102.471342592595</v>
      </c>
    </row>
    <row r="1264" spans="2:20" ht="15" customHeight="1">
      <c r="B1264" s="764" t="s">
        <v>1423</v>
      </c>
      <c r="C1264" s="911" t="s">
        <v>3556</v>
      </c>
      <c r="D1264" s="1327">
        <v>46102.549456018518</v>
      </c>
      <c r="E1264" s="857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4" t="e">
        <f>LEFT(base[[#This Row],[Evento / Mercado]],FIND("/",base[[#This Row],[Evento / Mercado]])-2)</f>
        <v>#VALUE!</v>
      </c>
      <c r="T1264" s="1420">
        <f>base[[#This Row],[Data de liquidação]]</f>
        <v>46102.549456018518</v>
      </c>
    </row>
    <row r="1265" spans="2:20" ht="15" customHeight="1">
      <c r="B1265" s="764" t="s">
        <v>1422</v>
      </c>
      <c r="C1265" s="911" t="s">
        <v>3556</v>
      </c>
      <c r="D1265" s="1327">
        <v>46102.55709490741</v>
      </c>
      <c r="E1265" s="857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628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1200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4" t="e">
        <f>LEFT(base[[#This Row],[Evento / Mercado]],FIND("/",base[[#This Row],[Evento / Mercado]])-2)</f>
        <v>#VALUE!</v>
      </c>
      <c r="T1265" s="1420">
        <f>base[[#This Row],[Data de liquidação]]</f>
        <v>46102.55709490741</v>
      </c>
    </row>
    <row r="1266" spans="2:20" ht="15" customHeight="1">
      <c r="B1266" s="764" t="s">
        <v>1421</v>
      </c>
      <c r="C1266" s="911" t="s">
        <v>3556</v>
      </c>
      <c r="D1266" s="1327">
        <v>46102.575983796298</v>
      </c>
      <c r="E1266" s="857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4" t="e">
        <f>LEFT(base[[#This Row],[Evento / Mercado]],FIND("/",base[[#This Row],[Evento / Mercado]])-2)</f>
        <v>#VALUE!</v>
      </c>
      <c r="T1266" s="1420">
        <f>base[[#This Row],[Data de liquidação]]</f>
        <v>46102.575983796298</v>
      </c>
    </row>
    <row r="1267" spans="2:20" ht="15" customHeight="1">
      <c r="B1267" s="764" t="s">
        <v>1420</v>
      </c>
      <c r="C1267" s="911" t="s">
        <v>3556</v>
      </c>
      <c r="D1267" s="1327">
        <v>46102.682569444441</v>
      </c>
      <c r="E1267" s="857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4" t="e">
        <f>LEFT(base[[#This Row],[Evento / Mercado]],FIND("/",base[[#This Row],[Evento / Mercado]])-2)</f>
        <v>#VALUE!</v>
      </c>
      <c r="T1267" s="1420">
        <f>base[[#This Row],[Data de liquidação]]</f>
        <v>46102.682569444441</v>
      </c>
    </row>
    <row r="1268" spans="2:20" ht="15" customHeight="1">
      <c r="B1268" s="764" t="s">
        <v>1419</v>
      </c>
      <c r="C1268" s="911" t="s">
        <v>3556</v>
      </c>
      <c r="D1268" s="1327">
        <v>46102.684560185182</v>
      </c>
      <c r="E1268" s="857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628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1200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4" t="e">
        <f>LEFT(base[[#This Row],[Evento / Mercado]],FIND("/",base[[#This Row],[Evento / Mercado]])-2)</f>
        <v>#VALUE!</v>
      </c>
      <c r="T1268" s="1420">
        <f>base[[#This Row],[Data de liquidação]]</f>
        <v>46102.684560185182</v>
      </c>
    </row>
    <row r="1269" spans="2:20" ht="15" customHeight="1">
      <c r="B1269" s="764" t="s">
        <v>1419</v>
      </c>
      <c r="C1269" s="911" t="s">
        <v>3556</v>
      </c>
      <c r="D1269" s="1327">
        <v>46102.684606481482</v>
      </c>
      <c r="E1269" s="857">
        <v>54.59</v>
      </c>
      <c r="F1269" s="235">
        <v>4.4999999999999998E-2</v>
      </c>
      <c r="G1269" s="345">
        <f t="shared" si="20"/>
        <v>57.162303664921474</v>
      </c>
      <c r="H1269" s="345" t="s">
        <v>179</v>
      </c>
      <c r="I1269" s="343" t="s">
        <v>392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1200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4" t="e">
        <f>LEFT(base[[#This Row],[Evento / Mercado]],FIND("/",base[[#This Row],[Evento / Mercado]])-2)</f>
        <v>#VALUE!</v>
      </c>
      <c r="T1269" s="1420">
        <f>base[[#This Row],[Data de liquidação]]</f>
        <v>46102.684606481482</v>
      </c>
    </row>
    <row r="1270" spans="2:20" ht="15" customHeight="1">
      <c r="B1270" s="764" t="s">
        <v>1418</v>
      </c>
      <c r="C1270" s="911" t="s">
        <v>3556</v>
      </c>
      <c r="D1270" s="1327">
        <v>46102.704664351855</v>
      </c>
      <c r="E1270" s="857">
        <v>28.85</v>
      </c>
      <c r="F1270" s="235">
        <v>4.4999999999999998E-2</v>
      </c>
      <c r="G1270" s="345">
        <f t="shared" si="20"/>
        <v>30.209424083769637</v>
      </c>
      <c r="H1270" s="345" t="s">
        <v>179</v>
      </c>
      <c r="I1270" s="343" t="s">
        <v>392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1203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4" t="e">
        <f>LEFT(base[[#This Row],[Evento / Mercado]],FIND("/",base[[#This Row],[Evento / Mercado]])-2)</f>
        <v>#VALUE!</v>
      </c>
      <c r="T1270" s="1420">
        <f>base[[#This Row],[Data de liquidação]]</f>
        <v>46102.704664351855</v>
      </c>
    </row>
    <row r="1271" spans="2:20" ht="15" customHeight="1">
      <c r="B1271" s="764" t="s">
        <v>1417</v>
      </c>
      <c r="C1271" s="911" t="s">
        <v>3556</v>
      </c>
      <c r="D1271" s="1327">
        <v>46102.745532407411</v>
      </c>
      <c r="E1271" s="857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627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1198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4" t="e">
        <f>LEFT(base[[#This Row],[Evento / Mercado]],FIND("/",base[[#This Row],[Evento / Mercado]])-2)</f>
        <v>#VALUE!</v>
      </c>
      <c r="T1271" s="1420">
        <f>base[[#This Row],[Data de liquidação]]</f>
        <v>46102.745532407411</v>
      </c>
    </row>
    <row r="1272" spans="2:20" ht="15" customHeight="1">
      <c r="B1272" s="764" t="s">
        <v>1416</v>
      </c>
      <c r="C1272" s="911" t="s">
        <v>3556</v>
      </c>
      <c r="D1272" s="1327">
        <v>46102.790451388886</v>
      </c>
      <c r="E1272" s="857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4" t="e">
        <f>LEFT(base[[#This Row],[Evento / Mercado]],FIND("/",base[[#This Row],[Evento / Mercado]])-2)</f>
        <v>#VALUE!</v>
      </c>
      <c r="T1272" s="1420">
        <f>base[[#This Row],[Data de liquidação]]</f>
        <v>46102.790451388886</v>
      </c>
    </row>
    <row r="1273" spans="2:20" ht="15" customHeight="1">
      <c r="B1273" s="765" t="s">
        <v>1445</v>
      </c>
      <c r="C1273" s="911" t="s">
        <v>3556</v>
      </c>
      <c r="D1273" s="1328">
        <v>46103.40185185185</v>
      </c>
      <c r="E1273" s="858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4" t="e">
        <f>LEFT(base[[#This Row],[Evento / Mercado]],FIND("/",base[[#This Row],[Evento / Mercado]])-2)</f>
        <v>#VALUE!</v>
      </c>
      <c r="T1273" s="1420">
        <f>base[[#This Row],[Data de liquidação]]</f>
        <v>46103.40185185185</v>
      </c>
    </row>
    <row r="1274" spans="2:20" ht="15" customHeight="1">
      <c r="B1274" s="765" t="s">
        <v>1446</v>
      </c>
      <c r="C1274" s="911" t="s">
        <v>3556</v>
      </c>
      <c r="D1274" s="1328">
        <v>46103.423495370371</v>
      </c>
      <c r="E1274" s="858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693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1450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4" t="e">
        <f>LEFT(base[[#This Row],[Evento / Mercado]],FIND("/",base[[#This Row],[Evento / Mercado]])-2)</f>
        <v>#VALUE!</v>
      </c>
      <c r="T1274" s="1420">
        <f>base[[#This Row],[Data de liquidação]]</f>
        <v>46103.423495370371</v>
      </c>
    </row>
    <row r="1275" spans="2:20" ht="15" customHeight="1">
      <c r="B1275" s="765" t="s">
        <v>1445</v>
      </c>
      <c r="C1275" s="911" t="s">
        <v>3556</v>
      </c>
      <c r="D1275" s="1328">
        <v>46103.432037037041</v>
      </c>
      <c r="E1275" s="858">
        <v>23.34</v>
      </c>
      <c r="F1275" s="235">
        <v>4.4999999999999998E-2</v>
      </c>
      <c r="G1275" s="349">
        <f t="shared" si="20"/>
        <v>24.439790575916231</v>
      </c>
      <c r="H1275" s="345" t="s">
        <v>179</v>
      </c>
      <c r="I1275" s="343" t="s">
        <v>392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1207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4" t="e">
        <f>LEFT(base[[#This Row],[Evento / Mercado]],FIND("/",base[[#This Row],[Evento / Mercado]])-2)</f>
        <v>#VALUE!</v>
      </c>
      <c r="T1275" s="1420">
        <f>base[[#This Row],[Data de liquidação]]</f>
        <v>46103.432037037041</v>
      </c>
    </row>
    <row r="1276" spans="2:20" ht="15" customHeight="1">
      <c r="B1276" s="765" t="s">
        <v>1444</v>
      </c>
      <c r="C1276" s="911" t="s">
        <v>3556</v>
      </c>
      <c r="D1276" s="1328">
        <v>46103.475011574075</v>
      </c>
      <c r="E1276" s="858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4" t="e">
        <f>LEFT(base[[#This Row],[Evento / Mercado]],FIND("/",base[[#This Row],[Evento / Mercado]])-2)</f>
        <v>#VALUE!</v>
      </c>
      <c r="T1276" s="1420">
        <f>base[[#This Row],[Data de liquidação]]</f>
        <v>46103.475011574075</v>
      </c>
    </row>
    <row r="1277" spans="2:20" ht="15" customHeight="1">
      <c r="B1277" s="765" t="s">
        <v>1443</v>
      </c>
      <c r="C1277" s="911" t="s">
        <v>3556</v>
      </c>
      <c r="D1277" s="1328">
        <v>46103.500381944446</v>
      </c>
      <c r="E1277" s="858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628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1202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4" t="e">
        <f>LEFT(base[[#This Row],[Evento / Mercado]],FIND("/",base[[#This Row],[Evento / Mercado]])-2)</f>
        <v>#VALUE!</v>
      </c>
      <c r="T1277" s="1420">
        <f>base[[#This Row],[Data de liquidação]]</f>
        <v>46103.500381944446</v>
      </c>
    </row>
    <row r="1278" spans="2:20" ht="15" customHeight="1">
      <c r="B1278" s="765" t="s">
        <v>1443</v>
      </c>
      <c r="C1278" s="911" t="s">
        <v>3556</v>
      </c>
      <c r="D1278" s="1328">
        <v>46103.500578703701</v>
      </c>
      <c r="E1278" s="858">
        <v>25.12</v>
      </c>
      <c r="F1278" s="235">
        <v>4.4999999999999998E-2</v>
      </c>
      <c r="G1278" s="349">
        <f t="shared" si="20"/>
        <v>26.30366492146597</v>
      </c>
      <c r="H1278" s="345" t="s">
        <v>179</v>
      </c>
      <c r="I1278" s="343" t="s">
        <v>392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1202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4" t="e">
        <f>LEFT(base[[#This Row],[Evento / Mercado]],FIND("/",base[[#This Row],[Evento / Mercado]])-2)</f>
        <v>#VALUE!</v>
      </c>
      <c r="T1278" s="1420">
        <f>base[[#This Row],[Data de liquidação]]</f>
        <v>46103.500578703701</v>
      </c>
    </row>
    <row r="1279" spans="2:20" ht="15" customHeight="1">
      <c r="B1279" s="765" t="s">
        <v>1442</v>
      </c>
      <c r="C1279" s="911" t="s">
        <v>3556</v>
      </c>
      <c r="D1279" s="1328">
        <v>46103.536469907405</v>
      </c>
      <c r="E1279" s="858">
        <v>38.520000000000003</v>
      </c>
      <c r="F1279" s="235">
        <v>4.4999999999999998E-2</v>
      </c>
      <c r="G1279" s="349">
        <f t="shared" si="20"/>
        <v>40.335078534031418</v>
      </c>
      <c r="H1279" s="345" t="s">
        <v>179</v>
      </c>
      <c r="I1279" s="343" t="s">
        <v>392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1207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4" t="e">
        <f>LEFT(base[[#This Row],[Evento / Mercado]],FIND("/",base[[#This Row],[Evento / Mercado]])-2)</f>
        <v>#VALUE!</v>
      </c>
      <c r="T1279" s="1420">
        <f>base[[#This Row],[Data de liquidação]]</f>
        <v>46103.536469907405</v>
      </c>
    </row>
    <row r="1280" spans="2:20" ht="15" customHeight="1">
      <c r="B1280" s="765" t="s">
        <v>1441</v>
      </c>
      <c r="C1280" s="911" t="s">
        <v>3556</v>
      </c>
      <c r="D1280" s="1328">
        <v>46103.57953703704</v>
      </c>
      <c r="E1280" s="858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4" t="e">
        <f>LEFT(base[[#This Row],[Evento / Mercado]],FIND("/",base[[#This Row],[Evento / Mercado]])-2)</f>
        <v>#VALUE!</v>
      </c>
      <c r="T1280" s="1420">
        <f>base[[#This Row],[Data de liquidação]]</f>
        <v>46103.57953703704</v>
      </c>
    </row>
    <row r="1281" spans="2:20" ht="15" customHeight="1">
      <c r="B1281" s="765" t="s">
        <v>1440</v>
      </c>
      <c r="C1281" s="911" t="s">
        <v>3556</v>
      </c>
      <c r="D1281" s="1328">
        <v>46103.609212962961</v>
      </c>
      <c r="E1281" s="858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693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1450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4" t="e">
        <f>LEFT(base[[#This Row],[Evento / Mercado]],FIND("/",base[[#This Row],[Evento / Mercado]])-2)</f>
        <v>#VALUE!</v>
      </c>
      <c r="T1281" s="1420">
        <f>base[[#This Row],[Data de liquidação]]</f>
        <v>46103.609212962961</v>
      </c>
    </row>
    <row r="1282" spans="2:20" ht="15" customHeight="1">
      <c r="B1282" s="765" t="s">
        <v>1439</v>
      </c>
      <c r="C1282" s="911" t="s">
        <v>3556</v>
      </c>
      <c r="D1282" s="1328">
        <v>46103.630497685182</v>
      </c>
      <c r="E1282" s="858">
        <v>36.29</v>
      </c>
      <c r="F1282" s="235">
        <v>4.4999999999999998E-2</v>
      </c>
      <c r="G1282" s="349">
        <f t="shared" si="20"/>
        <v>38</v>
      </c>
      <c r="H1282" s="345" t="s">
        <v>179</v>
      </c>
      <c r="I1282" s="343" t="s">
        <v>392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1208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4" t="e">
        <f>LEFT(base[[#This Row],[Evento / Mercado]],FIND("/",base[[#This Row],[Evento / Mercado]])-2)</f>
        <v>#VALUE!</v>
      </c>
      <c r="T1282" s="1420">
        <f>base[[#This Row],[Data de liquidação]]</f>
        <v>46103.630497685182</v>
      </c>
    </row>
    <row r="1283" spans="2:20" ht="15" customHeight="1">
      <c r="B1283" s="765" t="s">
        <v>1438</v>
      </c>
      <c r="C1283" s="911" t="s">
        <v>3556</v>
      </c>
      <c r="D1283" s="1328">
        <v>46103.639282407406</v>
      </c>
      <c r="E1283" s="858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627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1208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4" t="e">
        <f>LEFT(base[[#This Row],[Evento / Mercado]],FIND("/",base[[#This Row],[Evento / Mercado]])-2)</f>
        <v>#VALUE!</v>
      </c>
      <c r="T1283" s="1420">
        <f>base[[#This Row],[Data de liquidação]]</f>
        <v>46103.639282407406</v>
      </c>
    </row>
    <row r="1284" spans="2:20" ht="15" customHeight="1">
      <c r="B1284" s="765" t="s">
        <v>1437</v>
      </c>
      <c r="C1284" s="911" t="s">
        <v>3556</v>
      </c>
      <c r="D1284" s="1328">
        <v>46103.670949074076</v>
      </c>
      <c r="E1284" s="858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627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1451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4" t="e">
        <f>LEFT(base[[#This Row],[Evento / Mercado]],FIND("/",base[[#This Row],[Evento / Mercado]])-2)</f>
        <v>#VALUE!</v>
      </c>
      <c r="T1284" s="1420">
        <f>base[[#This Row],[Data de liquidação]]</f>
        <v>46103.670949074076</v>
      </c>
    </row>
    <row r="1285" spans="2:20" ht="15" customHeight="1">
      <c r="B1285" s="765" t="s">
        <v>1436</v>
      </c>
      <c r="C1285" s="911" t="s">
        <v>3556</v>
      </c>
      <c r="D1285" s="1328">
        <v>46103.68582175926</v>
      </c>
      <c r="E1285" s="858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1369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1202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4" t="e">
        <f>LEFT(base[[#This Row],[Evento / Mercado]],FIND("/",base[[#This Row],[Evento / Mercado]])-2)</f>
        <v>#VALUE!</v>
      </c>
      <c r="T1285" s="1420">
        <f>base[[#This Row],[Data de liquidação]]</f>
        <v>46103.68582175926</v>
      </c>
    </row>
    <row r="1286" spans="2:20" ht="15" customHeight="1">
      <c r="B1286" s="765" t="s">
        <v>1435</v>
      </c>
      <c r="C1286" s="911" t="s">
        <v>3556</v>
      </c>
      <c r="D1286" s="1328">
        <v>46103.69462962963</v>
      </c>
      <c r="E1286" s="858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4" t="e">
        <f>LEFT(base[[#This Row],[Evento / Mercado]],FIND("/",base[[#This Row],[Evento / Mercado]])-2)</f>
        <v>#VALUE!</v>
      </c>
      <c r="T1286" s="1420">
        <f>base[[#This Row],[Data de liquidação]]</f>
        <v>46103.69462962963</v>
      </c>
    </row>
    <row r="1287" spans="2:20" ht="15" customHeight="1">
      <c r="B1287" s="765" t="s">
        <v>1434</v>
      </c>
      <c r="C1287" s="911" t="s">
        <v>3556</v>
      </c>
      <c r="D1287" s="1328">
        <v>46103.751238425924</v>
      </c>
      <c r="E1287" s="858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627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1370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4" t="e">
        <f>LEFT(base[[#This Row],[Evento / Mercado]],FIND("/",base[[#This Row],[Evento / Mercado]])-2)</f>
        <v>#VALUE!</v>
      </c>
      <c r="T1287" s="1420">
        <f>base[[#This Row],[Data de liquidação]]</f>
        <v>46103.751238425924</v>
      </c>
    </row>
    <row r="1288" spans="2:20" ht="15" customHeight="1">
      <c r="B1288" s="766" t="s">
        <v>1456</v>
      </c>
      <c r="C1288" s="911" t="s">
        <v>3556</v>
      </c>
      <c r="D1288" s="1329">
        <v>46109.78702546296</v>
      </c>
      <c r="E1288" s="859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627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1198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4" t="e">
        <f>LEFT(base[[#This Row],[Evento / Mercado]],FIND("/",base[[#This Row],[Evento / Mercado]])-2)</f>
        <v>#VALUE!</v>
      </c>
      <c r="T1288" s="1420">
        <f>base[[#This Row],[Data de liquidação]]</f>
        <v>46109.78702546296</v>
      </c>
    </row>
    <row r="1289" spans="2:20" ht="15" customHeight="1">
      <c r="B1289" s="766" t="s">
        <v>1455</v>
      </c>
      <c r="C1289" s="911" t="s">
        <v>3556</v>
      </c>
      <c r="D1289" s="1329">
        <v>46112.704155092593</v>
      </c>
      <c r="E1289" s="859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4" t="e">
        <f>LEFT(base[[#This Row],[Evento / Mercado]],FIND("/",base[[#This Row],[Evento / Mercado]])-2)</f>
        <v>#VALUE!</v>
      </c>
      <c r="T1289" s="1420">
        <f>base[[#This Row],[Data de liquidação]]</f>
        <v>46112.704155092593</v>
      </c>
    </row>
    <row r="1290" spans="2:20" ht="15" customHeight="1">
      <c r="B1290" s="766" t="s">
        <v>1454</v>
      </c>
      <c r="C1290" s="911" t="s">
        <v>3556</v>
      </c>
      <c r="D1290" s="1329">
        <v>46113.842974537038</v>
      </c>
      <c r="E1290" s="859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4" t="e">
        <f>LEFT(base[[#This Row],[Evento / Mercado]],FIND("/",base[[#This Row],[Evento / Mercado]])-2)</f>
        <v>#VALUE!</v>
      </c>
      <c r="T1290" s="1420">
        <f>base[[#This Row],[Data de liquidação]]</f>
        <v>46113.842974537038</v>
      </c>
    </row>
    <row r="1291" spans="2:20" ht="15" customHeight="1">
      <c r="B1291" s="766" t="s">
        <v>1453</v>
      </c>
      <c r="C1291" s="911" t="s">
        <v>3556</v>
      </c>
      <c r="D1291" s="1329">
        <v>46113.894560185188</v>
      </c>
      <c r="E1291" s="859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1369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1370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4" t="e">
        <f>LEFT(base[[#This Row],[Evento / Mercado]],FIND("/",base[[#This Row],[Evento / Mercado]])-2)</f>
        <v>#VALUE!</v>
      </c>
      <c r="T1291" s="1420">
        <f>base[[#This Row],[Data de liquidação]]</f>
        <v>46113.894560185188</v>
      </c>
    </row>
    <row r="1292" spans="2:20" ht="15" customHeight="1">
      <c r="B1292" s="766" t="s">
        <v>1452</v>
      </c>
      <c r="C1292" s="911" t="s">
        <v>3556</v>
      </c>
      <c r="D1292" s="1329">
        <v>46113.918356481481</v>
      </c>
      <c r="E1292" s="859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1369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1370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4" t="e">
        <f>LEFT(base[[#This Row],[Evento / Mercado]],FIND("/",base[[#This Row],[Evento / Mercado]])-2)</f>
        <v>#VALUE!</v>
      </c>
      <c r="T1292" s="1420">
        <f>base[[#This Row],[Data de liquidação]]</f>
        <v>46113.918356481481</v>
      </c>
    </row>
    <row r="1293" spans="2:20" ht="15" customHeight="1">
      <c r="B1293" s="766" t="s">
        <v>1452</v>
      </c>
      <c r="C1293" s="911" t="s">
        <v>3556</v>
      </c>
      <c r="D1293" s="1329">
        <v>46113.919224537036</v>
      </c>
      <c r="E1293" s="859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4" t="e">
        <f>LEFT(base[[#This Row],[Evento / Mercado]],FIND("/",base[[#This Row],[Evento / Mercado]])-2)</f>
        <v>#VALUE!</v>
      </c>
      <c r="T1293" s="1420">
        <f>base[[#This Row],[Data de liquidação]]</f>
        <v>46113.919224537036</v>
      </c>
    </row>
    <row r="1294" spans="2:20" ht="15" customHeight="1">
      <c r="B1294" s="767" t="s">
        <v>1487</v>
      </c>
      <c r="C1294" s="911" t="s">
        <v>3556</v>
      </c>
      <c r="D1294" s="1330">
        <v>46114.765879629631</v>
      </c>
      <c r="E1294" s="860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4" t="str">
        <f>LEFT(base[[#This Row],[Evento / Mercado]],FIND("/",base[[#This Row],[Evento / Mercado]])-2)</f>
        <v>Universidad Católica vs Palestino</v>
      </c>
      <c r="T1294" s="1420">
        <f>base[[#This Row],[Data de liquidação]]</f>
        <v>46114.765879629631</v>
      </c>
    </row>
    <row r="1295" spans="2:20" ht="15" customHeight="1">
      <c r="B1295" s="767" t="s">
        <v>1486</v>
      </c>
      <c r="C1295" s="911" t="s">
        <v>3556</v>
      </c>
      <c r="D1295" s="1330">
        <v>46114.959120370368</v>
      </c>
      <c r="E1295" s="860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4" t="str">
        <f>LEFT(base[[#This Row],[Evento / Mercado]],FIND("/",base[[#This Row],[Evento / Mercado]])-2)</f>
        <v>Palmeiras vs Grêmio FBPA</v>
      </c>
      <c r="T1295" s="1420">
        <f>base[[#This Row],[Data de liquidação]]</f>
        <v>46114.959120370368</v>
      </c>
    </row>
    <row r="1296" spans="2:20" ht="15" customHeight="1">
      <c r="B1296" s="767" t="s">
        <v>1485</v>
      </c>
      <c r="C1296" s="911" t="s">
        <v>3556</v>
      </c>
      <c r="D1296" s="1330">
        <v>46114.974791666667</v>
      </c>
      <c r="E1296" s="860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694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1370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4" t="str">
        <f>LEFT(base[[#This Row],[Evento / Mercado]],FIND("/",base[[#This Row],[Evento / Mercado]])-2)</f>
        <v>Red Bull Bragantino vs Flamengo</v>
      </c>
      <c r="T1296" s="1420">
        <f>base[[#This Row],[Data de liquidação]]</f>
        <v>46114.974791666667</v>
      </c>
    </row>
    <row r="1297" spans="2:20" ht="15" customHeight="1">
      <c r="B1297" s="767" t="s">
        <v>1484</v>
      </c>
      <c r="C1297" s="911" t="s">
        <v>3556</v>
      </c>
      <c r="D1297" s="1330">
        <v>46114.974803240744</v>
      </c>
      <c r="E1297" s="860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392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1370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4" t="str">
        <f>LEFT(base[[#This Row],[Evento / Mercado]],FIND("/",base[[#This Row],[Evento / Mercado]])-2)</f>
        <v>Palmeiras vs Grêmio FBPA</v>
      </c>
      <c r="T1297" s="1420">
        <f>base[[#This Row],[Data de liquidação]]</f>
        <v>46114.974803240744</v>
      </c>
    </row>
    <row r="1298" spans="2:20" ht="15" customHeight="1">
      <c r="B1298" s="767" t="s">
        <v>1483</v>
      </c>
      <c r="C1298" s="911" t="s">
        <v>3556</v>
      </c>
      <c r="D1298" s="1330">
        <v>46115.531527777777</v>
      </c>
      <c r="E1298" s="860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4" t="str">
        <f>LEFT(base[[#This Row],[Evento / Mercado]],FIND("/",base[[#This Row],[Evento / Mercado]])-2)</f>
        <v>Queens Park Rangers vs Watford</v>
      </c>
      <c r="T1298" s="1420">
        <f>base[[#This Row],[Data de liquidação]]</f>
        <v>46115.531527777777</v>
      </c>
    </row>
    <row r="1299" spans="2:20" ht="15" customHeight="1">
      <c r="B1299" s="767" t="s">
        <v>1482</v>
      </c>
      <c r="C1299" s="911" t="s">
        <v>3556</v>
      </c>
      <c r="D1299" s="1330">
        <v>46115.53628472222</v>
      </c>
      <c r="E1299" s="860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4" t="str">
        <f>LEFT(base[[#This Row],[Evento / Mercado]],FIND("/",base[[#This Row],[Evento / Mercado]])-2)</f>
        <v>Lincoln City vs AFC Wimbledon</v>
      </c>
      <c r="T1299" s="1420">
        <f>base[[#This Row],[Data de liquidação]]</f>
        <v>46115.53628472222</v>
      </c>
    </row>
    <row r="1300" spans="2:20" ht="15" customHeight="1">
      <c r="B1300" s="767" t="s">
        <v>1481</v>
      </c>
      <c r="C1300" s="911" t="s">
        <v>3556</v>
      </c>
      <c r="D1300" s="1330">
        <v>46115.707129629627</v>
      </c>
      <c r="E1300" s="860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693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1203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4" t="str">
        <f>LEFT(base[[#This Row],[Evento / Mercado]],FIND("/",base[[#This Row],[Evento / Mercado]])-2)</f>
        <v>MVV Maastricht vs RKC Waalwijk</v>
      </c>
      <c r="T1300" s="1420">
        <f>base[[#This Row],[Data de liquidação]]</f>
        <v>46115.707129629627</v>
      </c>
    </row>
    <row r="1301" spans="2:20" ht="15" customHeight="1">
      <c r="B1301" s="767" t="s">
        <v>1480</v>
      </c>
      <c r="C1301" s="911" t="s">
        <v>3556</v>
      </c>
      <c r="D1301" s="1330">
        <v>46115.771979166668</v>
      </c>
      <c r="E1301" s="860">
        <v>30.12</v>
      </c>
      <c r="F1301" s="235">
        <v>4.4999999999999998E-2</v>
      </c>
      <c r="G1301" s="356">
        <f t="shared" si="21"/>
        <v>31.539267015706809</v>
      </c>
      <c r="H1301" s="345" t="s">
        <v>179</v>
      </c>
      <c r="I1301" s="343" t="s">
        <v>392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1198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4" t="str">
        <f>LEFT(base[[#This Row],[Evento / Mercado]],FIND("/",base[[#This Row],[Evento / Mercado]])-2)</f>
        <v>Sporting CP vs Santa Clara</v>
      </c>
      <c r="T1301" s="1420">
        <f>base[[#This Row],[Data de liquidação]]</f>
        <v>46115.771979166668</v>
      </c>
    </row>
    <row r="1302" spans="2:20" ht="15" customHeight="1">
      <c r="B1302" s="767" t="s">
        <v>1479</v>
      </c>
      <c r="C1302" s="911" t="s">
        <v>3556</v>
      </c>
      <c r="D1302" s="1330">
        <v>46115.985092592593</v>
      </c>
      <c r="E1302" s="860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4" t="str">
        <f>LEFT(base[[#This Row],[Evento / Mercado]],FIND("/",base[[#This Row],[Evento / Mercado]])-2)</f>
        <v>Puebla vs FC Juárez</v>
      </c>
      <c r="T1302" s="1420">
        <f>base[[#This Row],[Data de liquidação]]</f>
        <v>46115.985092592593</v>
      </c>
    </row>
    <row r="1303" spans="2:20" ht="15" customHeight="1">
      <c r="B1303" s="767" t="s">
        <v>1478</v>
      </c>
      <c r="C1303" s="911" t="s">
        <v>3556</v>
      </c>
      <c r="D1303" s="1330">
        <v>46116.403599537036</v>
      </c>
      <c r="E1303" s="860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4" t="str">
        <f>LEFT(base[[#This Row],[Evento / Mercado]],FIND("/",base[[#This Row],[Evento / Mercado]])-2)</f>
        <v>Arminia Bielefeld vs SV Darmstadt 98</v>
      </c>
      <c r="T1303" s="1420">
        <f>base[[#This Row],[Data de liquidação]]</f>
        <v>46116.403599537036</v>
      </c>
    </row>
    <row r="1304" spans="2:20" ht="15" customHeight="1">
      <c r="B1304" s="767" t="s">
        <v>1477</v>
      </c>
      <c r="C1304" s="911" t="s">
        <v>3556</v>
      </c>
      <c r="D1304" s="1330">
        <v>46116.454236111109</v>
      </c>
      <c r="E1304" s="860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4" t="str">
        <f>LEFT(base[[#This Row],[Evento / Mercado]],FIND("/",base[[#This Row],[Evento / Mercado]])-2)</f>
        <v>1899 Hoffenheim vs 1. FSV Mainz 05</v>
      </c>
      <c r="T1304" s="1420">
        <f>base[[#This Row],[Data de liquidação]]</f>
        <v>46116.454236111109</v>
      </c>
    </row>
    <row r="1305" spans="2:20" ht="15" customHeight="1">
      <c r="B1305" s="767" t="s">
        <v>1476</v>
      </c>
      <c r="C1305" s="911" t="s">
        <v>3556</v>
      </c>
      <c r="D1305" s="1330">
        <v>46116.45684027778</v>
      </c>
      <c r="E1305" s="860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4" t="str">
        <f>LEFT(base[[#This Row],[Evento / Mercado]],FIND("/",base[[#This Row],[Evento / Mercado]])-2)</f>
        <v>Real Sociedad vs Levante UD</v>
      </c>
      <c r="T1305" s="1420">
        <f>base[[#This Row],[Data de liquidação]]</f>
        <v>46116.45684027778</v>
      </c>
    </row>
    <row r="1306" spans="2:20" ht="15" customHeight="1">
      <c r="B1306" s="767" t="s">
        <v>1475</v>
      </c>
      <c r="C1306" s="911" t="s">
        <v>3556</v>
      </c>
      <c r="D1306" s="1330">
        <v>46116.457962962966</v>
      </c>
      <c r="E1306" s="860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4" t="str">
        <f>LEFT(base[[#This Row],[Evento / Mercado]],FIND("/",base[[#This Row],[Evento / Mercado]])-2)</f>
        <v>TSV 1860 München vs Waldhof Mannheim</v>
      </c>
      <c r="T1306" s="1420">
        <f>base[[#This Row],[Data de liquidação]]</f>
        <v>46116.457962962966</v>
      </c>
    </row>
    <row r="1307" spans="2:20" ht="15" customHeight="1">
      <c r="B1307" s="767" t="s">
        <v>1474</v>
      </c>
      <c r="C1307" s="911" t="s">
        <v>3556</v>
      </c>
      <c r="D1307" s="1330">
        <v>46116.516782407409</v>
      </c>
      <c r="E1307" s="860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627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1200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4" t="str">
        <f>LEFT(base[[#This Row],[Evento / Mercado]],FIND("/",base[[#This Row],[Evento / Mercado]])-2)</f>
        <v>1899 Hoffenheim vs 1. FSV Mainz 05</v>
      </c>
      <c r="T1307" s="1420">
        <f>base[[#This Row],[Data de liquidação]]</f>
        <v>46116.516782407409</v>
      </c>
    </row>
    <row r="1308" spans="2:20" ht="15" customHeight="1">
      <c r="B1308" s="767" t="s">
        <v>1473</v>
      </c>
      <c r="C1308" s="911" t="s">
        <v>3556</v>
      </c>
      <c r="D1308" s="1330">
        <v>46116.522719907407</v>
      </c>
      <c r="E1308" s="860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693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1200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4" t="str">
        <f>LEFT(base[[#This Row],[Evento / Mercado]],FIND("/",base[[#This Row],[Evento / Mercado]])-2)</f>
        <v>SC Freiburg vs FC Bayern München</v>
      </c>
      <c r="T1308" s="1420">
        <f>base[[#This Row],[Data de liquidação]]</f>
        <v>46116.522719907407</v>
      </c>
    </row>
    <row r="1309" spans="2:20" ht="15" customHeight="1">
      <c r="B1309" s="767" t="s">
        <v>1472</v>
      </c>
      <c r="C1309" s="911" t="s">
        <v>3556</v>
      </c>
      <c r="D1309" s="1330">
        <v>46116.557256944441</v>
      </c>
      <c r="E1309" s="860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4" t="str">
        <f>LEFT(base[[#This Row],[Evento / Mercado]],FIND("/",base[[#This Row],[Evento / Mercado]])-2)</f>
        <v>Rot-Weiss Essen vs MSV Duisburg</v>
      </c>
      <c r="T1309" s="1420">
        <f>base[[#This Row],[Data de liquidação]]</f>
        <v>46116.557256944441</v>
      </c>
    </row>
    <row r="1310" spans="2:20" ht="15" customHeight="1">
      <c r="B1310" s="767" t="s">
        <v>1471</v>
      </c>
      <c r="C1310" s="911" t="s">
        <v>3556</v>
      </c>
      <c r="D1310" s="1330">
        <v>46116.644016203703</v>
      </c>
      <c r="E1310" s="860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628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1200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4" t="str">
        <f>LEFT(base[[#This Row],[Evento / Mercado]],FIND("/",base[[#This Row],[Evento / Mercado]])-2)</f>
        <v>VfB Stuttgart vs Borussia Dortmund</v>
      </c>
      <c r="T1310" s="1420">
        <f>base[[#This Row],[Data de liquidação]]</f>
        <v>46116.644016203703</v>
      </c>
    </row>
    <row r="1311" spans="2:20" ht="15" customHeight="1">
      <c r="B1311" s="767" t="s">
        <v>1470</v>
      </c>
      <c r="C1311" s="911" t="s">
        <v>3556</v>
      </c>
      <c r="D1311" s="1330">
        <v>46116.660937499997</v>
      </c>
      <c r="E1311" s="860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4" t="str">
        <f>LEFT(base[[#This Row],[Evento / Mercado]],FIND("/",base[[#This Row],[Evento / Mercado]])-2)</f>
        <v>AZ Alkmaar vs Fortuna Sittard</v>
      </c>
      <c r="T1311" s="1420">
        <f>base[[#This Row],[Data de liquidação]]</f>
        <v>46116.660937499997</v>
      </c>
    </row>
    <row r="1312" spans="2:20" ht="15" customHeight="1">
      <c r="B1312" s="767" t="s">
        <v>1469</v>
      </c>
      <c r="C1312" s="911" t="s">
        <v>3556</v>
      </c>
      <c r="D1312" s="1330">
        <v>46116.742708333331</v>
      </c>
      <c r="E1312" s="860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694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1205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4" t="str">
        <f>LEFT(base[[#This Row],[Evento / Mercado]],FIND("/",base[[#This Row],[Evento / Mercado]])-2)</f>
        <v>Excelsior Rotterdam vs NEC</v>
      </c>
      <c r="T1312" s="1420">
        <f>base[[#This Row],[Data de liquidação]]</f>
        <v>46116.742708333331</v>
      </c>
    </row>
    <row r="1313" spans="2:20" ht="15" customHeight="1">
      <c r="B1313" s="767" t="s">
        <v>1468</v>
      </c>
      <c r="C1313" s="911" t="s">
        <v>3556</v>
      </c>
      <c r="D1313" s="1330">
        <v>46116.742731481485</v>
      </c>
      <c r="E1313" s="860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4" t="str">
        <f>LEFT(base[[#This Row],[Evento / Mercado]],FIND("/",base[[#This Row],[Evento / Mercado]])-2)</f>
        <v>Dynamo Dresden vs Hertha BSC</v>
      </c>
      <c r="T1313" s="1420">
        <f>base[[#This Row],[Data de liquidação]]</f>
        <v>46116.742731481485</v>
      </c>
    </row>
    <row r="1314" spans="2:20" ht="15" customHeight="1">
      <c r="B1314" s="767" t="s">
        <v>1467</v>
      </c>
      <c r="C1314" s="911" t="s">
        <v>3556</v>
      </c>
      <c r="D1314" s="1330">
        <v>46116.948414351849</v>
      </c>
      <c r="E1314" s="860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4" t="str">
        <f>LEFT(base[[#This Row],[Evento / Mercado]],FIND("/",base[[#This Row],[Evento / Mercado]])-2)</f>
        <v>Vasco da Gama vs Botafogo FR</v>
      </c>
      <c r="T1314" s="1420">
        <f>base[[#This Row],[Data de liquidação]]</f>
        <v>46116.948414351849</v>
      </c>
    </row>
    <row r="1315" spans="2:20" ht="15" customHeight="1">
      <c r="B1315" s="767" t="s">
        <v>1466</v>
      </c>
      <c r="C1315" s="911" t="s">
        <v>3556</v>
      </c>
      <c r="D1315" s="1330">
        <v>46117.433263888888</v>
      </c>
      <c r="E1315" s="860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4" t="str">
        <f>LEFT(base[[#This Row],[Evento / Mercado]],FIND("/",base[[#This Row],[Evento / Mercado]])-2)</f>
        <v>SpVgg Greuther Fürth vs SC Paderborn 07</v>
      </c>
      <c r="T1315" s="1420">
        <f>base[[#This Row],[Data de liquidação]]</f>
        <v>46117.433263888888</v>
      </c>
    </row>
    <row r="1316" spans="2:20" ht="15" customHeight="1">
      <c r="B1316" s="767" t="s">
        <v>1465</v>
      </c>
      <c r="C1316" s="911" t="s">
        <v>3556</v>
      </c>
      <c r="D1316" s="1330">
        <v>46117.434259259258</v>
      </c>
      <c r="E1316" s="860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4" t="str">
        <f>LEFT(base[[#This Row],[Evento / Mercado]],FIND("/",base[[#This Row],[Evento / Mercado]])-2)</f>
        <v>FC Schalke 04 vs Karlsruher SC</v>
      </c>
      <c r="T1316" s="1420">
        <f>base[[#This Row],[Data de liquidação]]</f>
        <v>46117.434259259258</v>
      </c>
    </row>
    <row r="1317" spans="2:20" ht="15" customHeight="1">
      <c r="B1317" s="767" t="s">
        <v>1464</v>
      </c>
      <c r="C1317" s="911" t="s">
        <v>3556</v>
      </c>
      <c r="D1317" s="1330">
        <v>46117.435833333337</v>
      </c>
      <c r="E1317" s="860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4" t="str">
        <f>LEFT(base[[#This Row],[Evento / Mercado]],FIND("/",base[[#This Row],[Evento / Mercado]])-2)</f>
        <v>Hannover 96 vs SV Elversberg</v>
      </c>
      <c r="T1317" s="1420">
        <f>base[[#This Row],[Data de liquidação]]</f>
        <v>46117.435833333337</v>
      </c>
    </row>
    <row r="1318" spans="2:20" ht="15" customHeight="1">
      <c r="B1318" s="767" t="s">
        <v>1463</v>
      </c>
      <c r="C1318" s="911" t="s">
        <v>3556</v>
      </c>
      <c r="D1318" s="1330">
        <v>46117.49291666667</v>
      </c>
      <c r="E1318" s="860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4" t="str">
        <f>LEFT(base[[#This Row],[Evento / Mercado]],FIND("/",base[[#This Row],[Evento / Mercado]])-2)</f>
        <v>Andorra FC vs Racing Santander</v>
      </c>
      <c r="T1318" s="1420">
        <f>base[[#This Row],[Data de liquidação]]</f>
        <v>46117.49291666667</v>
      </c>
    </row>
    <row r="1319" spans="2:20" ht="15" customHeight="1">
      <c r="B1319" s="767" t="s">
        <v>1462</v>
      </c>
      <c r="C1319" s="911" t="s">
        <v>3556</v>
      </c>
      <c r="D1319" s="1330">
        <v>46117.525439814817</v>
      </c>
      <c r="E1319" s="860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4" t="str">
        <f>LEFT(base[[#This Row],[Evento / Mercado]],FIND("/",base[[#This Row],[Evento / Mercado]])-2)</f>
        <v>Valencia vs Celta de Vigo</v>
      </c>
      <c r="T1319" s="1420">
        <f>base[[#This Row],[Data de liquidação]]</f>
        <v>46117.525439814817</v>
      </c>
    </row>
    <row r="1320" spans="2:20" ht="15" customHeight="1">
      <c r="B1320" s="767" t="s">
        <v>1461</v>
      </c>
      <c r="C1320" s="911" t="s">
        <v>3556</v>
      </c>
      <c r="D1320" s="1330">
        <v>46117.582974537036</v>
      </c>
      <c r="E1320" s="860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4" t="str">
        <f>LEFT(base[[#This Row],[Evento / Mercado]],FIND("/",base[[#This Row],[Evento / Mercado]])-2)</f>
        <v>Eintracht Frankfurt vs 1. FC Köln</v>
      </c>
      <c r="T1320" s="1420">
        <f>base[[#This Row],[Data de liquidação]]</f>
        <v>46117.582974537036</v>
      </c>
    </row>
    <row r="1321" spans="2:20" ht="15" customHeight="1">
      <c r="B1321" s="767" t="s">
        <v>1460</v>
      </c>
      <c r="C1321" s="911" t="s">
        <v>3556</v>
      </c>
      <c r="D1321" s="1330">
        <v>46117.632523148146</v>
      </c>
      <c r="E1321" s="860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4" t="str">
        <f>LEFT(base[[#This Row],[Evento / Mercado]],FIND("/",base[[#This Row],[Evento / Mercado]])-2)</f>
        <v>Alemannia Aachen vs SV Wehen Wiesbaden</v>
      </c>
      <c r="T1321" s="1420">
        <f>base[[#This Row],[Data de liquidação]]</f>
        <v>46117.632523148146</v>
      </c>
    </row>
    <row r="1322" spans="2:20" ht="15" customHeight="1">
      <c r="B1322" s="767" t="s">
        <v>1459</v>
      </c>
      <c r="C1322" s="911" t="s">
        <v>3556</v>
      </c>
      <c r="D1322" s="1330">
        <v>46117.804375</v>
      </c>
      <c r="E1322" s="860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4" t="str">
        <f>LEFT(base[[#This Row],[Evento / Mercado]],FIND("/",base[[#This Row],[Evento / Mercado]])-2)</f>
        <v>Atlético Mineiro vs Athlético Paranaense</v>
      </c>
      <c r="T1322" s="1420">
        <f>base[[#This Row],[Data de liquidação]]</f>
        <v>46117.804375</v>
      </c>
    </row>
    <row r="1323" spans="2:20" ht="15" customHeight="1">
      <c r="B1323" s="767" t="s">
        <v>1458</v>
      </c>
      <c r="C1323" s="911" t="s">
        <v>3556</v>
      </c>
      <c r="D1323" s="1330">
        <v>46117.815266203703</v>
      </c>
      <c r="E1323" s="860">
        <v>39.159999999999997</v>
      </c>
      <c r="F1323" s="235">
        <v>4.4999999999999998E-2</v>
      </c>
      <c r="G1323" s="356">
        <f t="shared" si="21"/>
        <v>41.005235602094238</v>
      </c>
      <c r="H1323" s="345" t="s">
        <v>179</v>
      </c>
      <c r="I1323" s="343" t="s">
        <v>392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1370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4" t="str">
        <f>LEFT(base[[#This Row],[Evento / Mercado]],FIND("/",base[[#This Row],[Evento / Mercado]])-2)</f>
        <v>Flamengo vs Santos FC</v>
      </c>
      <c r="T1323" s="1420">
        <f>base[[#This Row],[Data de liquidação]]</f>
        <v>46117.815266203703</v>
      </c>
    </row>
    <row r="1324" spans="2:20" ht="15" customHeight="1">
      <c r="B1324" s="767" t="s">
        <v>1457</v>
      </c>
      <c r="C1324" s="911" t="s">
        <v>3556</v>
      </c>
      <c r="D1324" s="1330">
        <v>46117.938321759262</v>
      </c>
      <c r="E1324" s="860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392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1370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4" t="str">
        <f>LEFT(base[[#This Row],[Evento / Mercado]],FIND("/",base[[#This Row],[Evento / Mercado]])-2)</f>
        <v>Grêmio FBPA vs Clube do Remo</v>
      </c>
      <c r="T1324" s="1420">
        <f>base[[#This Row],[Data de liquidação]]</f>
        <v>46117.938321759262</v>
      </c>
    </row>
    <row r="1325" spans="2:20" ht="15" customHeight="1">
      <c r="B1325" s="768" t="s">
        <v>1495</v>
      </c>
      <c r="C1325" s="911" t="s">
        <v>3556</v>
      </c>
      <c r="D1325" s="1331">
        <v>46118.522962962961</v>
      </c>
      <c r="E1325" s="861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4" t="str">
        <f>LEFT(base[[#This Row],[Evento / Mercado]],FIND("/",base[[#This Row],[Evento / Mercado]])-2)</f>
        <v>De Graafschap vs Jong AZ Alkmaar</v>
      </c>
      <c r="T1325" s="1420">
        <f>base[[#This Row],[Data de liquidação]]</f>
        <v>46118.522962962961</v>
      </c>
    </row>
    <row r="1326" spans="2:20" ht="15" customHeight="1">
      <c r="B1326" s="768" t="s">
        <v>1494</v>
      </c>
      <c r="C1326" s="911" t="s">
        <v>3556</v>
      </c>
      <c r="D1326" s="1331">
        <v>46118.58965277778</v>
      </c>
      <c r="E1326" s="861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1496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4" t="str">
        <f>LEFT(base[[#This Row],[Evento / Mercado]],FIND("/",base[[#This Row],[Evento / Mercado]])-2)</f>
        <v>Sampdoria vs Empoli</v>
      </c>
      <c r="T1326" s="1420">
        <f>base[[#This Row],[Data de liquidação]]</f>
        <v>46118.58965277778</v>
      </c>
    </row>
    <row r="1327" spans="2:20" ht="15" customHeight="1">
      <c r="B1327" s="768" t="s">
        <v>1493</v>
      </c>
      <c r="C1327" s="911" t="s">
        <v>3556</v>
      </c>
      <c r="D1327" s="1331">
        <v>46118.62122685185</v>
      </c>
      <c r="E1327" s="861">
        <v>37.14</v>
      </c>
      <c r="F1327" s="235">
        <v>4.4999999999999998E-2</v>
      </c>
      <c r="G1327" s="360">
        <f t="shared" si="21"/>
        <v>38.890052356020945</v>
      </c>
      <c r="H1327" s="345" t="s">
        <v>179</v>
      </c>
      <c r="I1327" s="343" t="s">
        <v>392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1207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4" t="str">
        <f>LEFT(base[[#This Row],[Evento / Mercado]],FIND("/",base[[#This Row],[Evento / Mercado]])-2)</f>
        <v>Juventus vs Genoa</v>
      </c>
      <c r="T1327" s="1420">
        <f>base[[#This Row],[Data de liquidação]]</f>
        <v>46118.62122685185</v>
      </c>
    </row>
    <row r="1328" spans="2:20" ht="15" customHeight="1">
      <c r="B1328" s="768" t="s">
        <v>1492</v>
      </c>
      <c r="C1328" s="911" t="s">
        <v>3556</v>
      </c>
      <c r="D1328" s="1331">
        <v>46118.737754629627</v>
      </c>
      <c r="E1328" s="861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1496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4" t="str">
        <f>LEFT(base[[#This Row],[Evento / Mercado]],FIND("/",base[[#This Row],[Evento / Mercado]])-2)</f>
        <v>Napoli vs AC Milan</v>
      </c>
      <c r="T1328" s="1420">
        <f>base[[#This Row],[Data de liquidação]]</f>
        <v>46118.737754629627</v>
      </c>
    </row>
    <row r="1329" spans="2:20" ht="15" customHeight="1">
      <c r="B1329" s="768" t="s">
        <v>1491</v>
      </c>
      <c r="C1329" s="911" t="s">
        <v>3556</v>
      </c>
      <c r="D1329" s="1331">
        <v>46118.744664351849</v>
      </c>
      <c r="E1329" s="861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4" t="str">
        <f>LEFT(base[[#This Row],[Evento / Mercado]],FIND("/",base[[#This Row],[Evento / Mercado]])-2)</f>
        <v>Hull City vs Coventry City</v>
      </c>
      <c r="T1329" s="1420">
        <f>base[[#This Row],[Data de liquidação]]</f>
        <v>46118.744664351849</v>
      </c>
    </row>
    <row r="1330" spans="2:20" ht="15" customHeight="1">
      <c r="B1330" s="768" t="s">
        <v>1490</v>
      </c>
      <c r="C1330" s="911" t="s">
        <v>3556</v>
      </c>
      <c r="D1330" s="1331">
        <v>46118.746006944442</v>
      </c>
      <c r="E1330" s="861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4" t="str">
        <f>LEFT(base[[#This Row],[Evento / Mercado]],FIND("/",base[[#This Row],[Evento / Mercado]])-2)</f>
        <v>Girona vs Villarreal</v>
      </c>
      <c r="T1330" s="1420">
        <f>base[[#This Row],[Data de liquidação]]</f>
        <v>46118.746006944442</v>
      </c>
    </row>
    <row r="1331" spans="2:20" ht="15" customHeight="1">
      <c r="B1331" s="768" t="s">
        <v>1489</v>
      </c>
      <c r="C1331" s="911" t="s">
        <v>3556</v>
      </c>
      <c r="D1331" s="1331">
        <v>46118.746053240742</v>
      </c>
      <c r="E1331" s="861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1496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4" t="str">
        <f>LEFT(base[[#This Row],[Evento / Mercado]],FIND("/",base[[#This Row],[Evento / Mercado]])-2)</f>
        <v>Girona vs Villarreal</v>
      </c>
      <c r="T1331" s="1420">
        <f>base[[#This Row],[Data de liquidação]]</f>
        <v>46118.746053240742</v>
      </c>
    </row>
    <row r="1332" spans="2:20" ht="15" customHeight="1">
      <c r="B1332" s="769" t="s">
        <v>1509</v>
      </c>
      <c r="C1332" s="911" t="s">
        <v>3556</v>
      </c>
      <c r="D1332" s="1332">
        <v>46119.665925925925</v>
      </c>
      <c r="E1332" s="862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4" t="str">
        <f>LEFT(base[[#This Row],[Evento / Mercado]],FIND("/",base[[#This Row],[Evento / Mercado]])-2)</f>
        <v>MSV Duisburg vs VfL Osnabrück</v>
      </c>
      <c r="T1332" s="1420">
        <f>base[[#This Row],[Data de liquidação]]</f>
        <v>46119.665925925925</v>
      </c>
    </row>
    <row r="1333" spans="2:20" ht="15" customHeight="1">
      <c r="B1333" s="769" t="s">
        <v>1508</v>
      </c>
      <c r="C1333" s="911" t="s">
        <v>3556</v>
      </c>
      <c r="D1333" s="1332">
        <v>46119.691157407404</v>
      </c>
      <c r="E1333" s="862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4" t="str">
        <f>LEFT(base[[#This Row],[Evento / Mercado]],FIND("/",base[[#This Row],[Evento / Mercado]])-2)</f>
        <v>Wrexham vs Southampton</v>
      </c>
      <c r="T1333" s="1420">
        <f>base[[#This Row],[Data de liquidação]]</f>
        <v>46119.691157407404</v>
      </c>
    </row>
    <row r="1334" spans="2:20" ht="15" customHeight="1">
      <c r="B1334" s="769" t="s">
        <v>1507</v>
      </c>
      <c r="C1334" s="911" t="s">
        <v>3556</v>
      </c>
      <c r="D1334" s="1332">
        <v>46119.704351851855</v>
      </c>
      <c r="E1334" s="862">
        <v>33.85</v>
      </c>
      <c r="F1334" s="235">
        <v>4.4999999999999998E-2</v>
      </c>
      <c r="G1334" s="364">
        <f t="shared" si="21"/>
        <v>35.445026178010473</v>
      </c>
      <c r="H1334" s="345" t="s">
        <v>179</v>
      </c>
      <c r="I1334" s="343" t="s">
        <v>392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1510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4" t="str">
        <f>LEFT(base[[#This Row],[Evento / Mercado]],FIND("/",base[[#This Row],[Evento / Mercado]])-2)</f>
        <v>FC Vaduz vs AC Bellinzona</v>
      </c>
      <c r="T1334" s="1420">
        <f>base[[#This Row],[Data de liquidação]]</f>
        <v>46119.704351851855</v>
      </c>
    </row>
    <row r="1335" spans="2:20" ht="15" customHeight="1">
      <c r="B1335" s="769" t="s">
        <v>1506</v>
      </c>
      <c r="C1335" s="911" t="s">
        <v>3556</v>
      </c>
      <c r="D1335" s="1332">
        <v>46119.745567129627</v>
      </c>
      <c r="E1335" s="862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693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1210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4" t="str">
        <f>LEFT(base[[#This Row],[Evento / Mercado]],FIND("/",base[[#This Row],[Evento / Mercado]])-2)</f>
        <v>Real Madrid vs FC Bayern München</v>
      </c>
      <c r="T1335" s="1420">
        <f>base[[#This Row],[Data de liquidação]]</f>
        <v>46119.745567129627</v>
      </c>
    </row>
    <row r="1336" spans="2:20" ht="15" customHeight="1">
      <c r="B1336" s="769" t="s">
        <v>1505</v>
      </c>
      <c r="C1336" s="911" t="s">
        <v>3556</v>
      </c>
      <c r="D1336" s="1332">
        <v>46119.746111111112</v>
      </c>
      <c r="E1336" s="862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694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1210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4" t="str">
        <f>LEFT(base[[#This Row],[Evento / Mercado]],FIND("/",base[[#This Row],[Evento / Mercado]])-2)</f>
        <v>Sporting CP vs Arsenal</v>
      </c>
      <c r="T1336" s="1420">
        <f>base[[#This Row],[Data de liquidação]]</f>
        <v>46119.746111111112</v>
      </c>
    </row>
    <row r="1337" spans="2:20" ht="15" customHeight="1">
      <c r="B1337" s="769" t="s">
        <v>1504</v>
      </c>
      <c r="C1337" s="911" t="s">
        <v>3556</v>
      </c>
      <c r="D1337" s="1332">
        <v>46120.621168981481</v>
      </c>
      <c r="E1337" s="862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4" t="str">
        <f>LEFT(base[[#This Row],[Evento / Mercado]],FIND("/",base[[#This Row],[Evento / Mercado]])-2)</f>
        <v>Atromitos Athens vs Kifisia FC</v>
      </c>
      <c r="T1337" s="1420">
        <f>base[[#This Row],[Data de liquidação]]</f>
        <v>46120.621168981481</v>
      </c>
    </row>
    <row r="1338" spans="2:20" ht="15" customHeight="1">
      <c r="B1338" s="769" t="s">
        <v>1503</v>
      </c>
      <c r="C1338" s="911" t="s">
        <v>3556</v>
      </c>
      <c r="D1338" s="1332">
        <v>46120.639374999999</v>
      </c>
      <c r="E1338" s="862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4" t="str">
        <f>LEFT(base[[#This Row],[Evento / Mercado]],FIND("/",base[[#This Row],[Evento / Mercado]])-2)</f>
        <v>SC Verl vs Hansa Rostock</v>
      </c>
      <c r="T1338" s="1420">
        <f>base[[#This Row],[Data de liquidação]]</f>
        <v>46120.639374999999</v>
      </c>
    </row>
    <row r="1339" spans="2:20" ht="15" customHeight="1">
      <c r="B1339" s="769" t="s">
        <v>1502</v>
      </c>
      <c r="C1339" s="911" t="s">
        <v>3556</v>
      </c>
      <c r="D1339" s="1332">
        <v>46120.646574074075</v>
      </c>
      <c r="E1339" s="862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4" t="str">
        <f>LEFT(base[[#This Row],[Evento / Mercado]],FIND("/",base[[#This Row],[Evento / Mercado]])-2)</f>
        <v>VfB Stuttgart II vs SSV Ulm 1846</v>
      </c>
      <c r="T1339" s="1420">
        <f>base[[#This Row],[Data de liquidação]]</f>
        <v>46120.646574074075</v>
      </c>
    </row>
    <row r="1340" spans="2:20" ht="15" customHeight="1">
      <c r="B1340" s="769" t="s">
        <v>1501</v>
      </c>
      <c r="C1340" s="911" t="s">
        <v>3556</v>
      </c>
      <c r="D1340" s="1332">
        <v>46120.663807870369</v>
      </c>
      <c r="E1340" s="862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4" t="str">
        <f>LEFT(base[[#This Row],[Evento / Mercado]],FIND("/",base[[#This Row],[Evento / Mercado]])-2)</f>
        <v>1. FC Saarbrücken vs Alemannia Aachen</v>
      </c>
      <c r="T1340" s="1420">
        <f>base[[#This Row],[Data de liquidação]]</f>
        <v>46120.663807870369</v>
      </c>
    </row>
    <row r="1341" spans="2:20" ht="15" customHeight="1">
      <c r="B1341" s="769" t="s">
        <v>1500</v>
      </c>
      <c r="C1341" s="911" t="s">
        <v>3556</v>
      </c>
      <c r="D1341" s="1332">
        <v>46120.706342592595</v>
      </c>
      <c r="E1341" s="862">
        <v>27.99</v>
      </c>
      <c r="F1341" s="235">
        <v>4.4999999999999998E-2</v>
      </c>
      <c r="G1341" s="364">
        <f t="shared" si="21"/>
        <v>29.308900523560208</v>
      </c>
      <c r="H1341" s="345" t="s">
        <v>179</v>
      </c>
      <c r="I1341" s="343" t="s">
        <v>392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1211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4" t="str">
        <f>LEFT(base[[#This Row],[Evento / Mercado]],FIND("/",base[[#This Row],[Evento / Mercado]])-2)</f>
        <v>Al-Hilal Riyadh vs Al-Kholood Club</v>
      </c>
      <c r="T1341" s="1420">
        <f>base[[#This Row],[Data de liquidação]]</f>
        <v>46120.706342592595</v>
      </c>
    </row>
    <row r="1342" spans="2:20" ht="15" customHeight="1">
      <c r="B1342" s="769" t="s">
        <v>1499</v>
      </c>
      <c r="C1342" s="911" t="s">
        <v>3556</v>
      </c>
      <c r="D1342" s="1332">
        <v>46120.70884259259</v>
      </c>
      <c r="E1342" s="862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1369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1211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4" t="str">
        <f>LEFT(base[[#This Row],[Evento / Mercado]],FIND("/",base[[#This Row],[Evento / Mercado]])-2)</f>
        <v>Al-Ittihad Jeddah vs Neom SC</v>
      </c>
      <c r="T1342" s="1420">
        <f>base[[#This Row],[Data de liquidação]]</f>
        <v>46120.70884259259</v>
      </c>
    </row>
    <row r="1343" spans="2:20" ht="15" customHeight="1">
      <c r="B1343" s="769" t="s">
        <v>1498</v>
      </c>
      <c r="C1343" s="911" t="s">
        <v>3556</v>
      </c>
      <c r="D1343" s="1332">
        <v>46120.744606481479</v>
      </c>
      <c r="E1343" s="862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628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1210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4" t="str">
        <f>LEFT(base[[#This Row],[Evento / Mercado]],FIND("/",base[[#This Row],[Evento / Mercado]])-2)</f>
        <v>Paris Saint-Germain vs Liverpool</v>
      </c>
      <c r="T1343" s="1420">
        <f>base[[#This Row],[Data de liquidação]]</f>
        <v>46120.744606481479</v>
      </c>
    </row>
    <row r="1344" spans="2:20" ht="15" customHeight="1">
      <c r="B1344" s="770" t="s">
        <v>1512</v>
      </c>
      <c r="C1344" s="911" t="s">
        <v>3556</v>
      </c>
      <c r="D1344" s="1333">
        <v>46121.874247685184</v>
      </c>
      <c r="E1344" s="863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628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1513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4" t="e">
        <f>LEFT(base[[#This Row],[Evento / Mercado]],FIND("/",base[[#This Row],[Evento / Mercado]])-2)</f>
        <v>#VALUE!</v>
      </c>
      <c r="T1344" s="1420">
        <f>base[[#This Row],[Data de liquidação]]</f>
        <v>46121.874247685184</v>
      </c>
    </row>
    <row r="1345" spans="2:20" ht="15" customHeight="1">
      <c r="B1345" s="771" t="s">
        <v>1521</v>
      </c>
      <c r="C1345" s="911" t="s">
        <v>3556</v>
      </c>
      <c r="D1345" s="1334">
        <v>46122.620706018519</v>
      </c>
      <c r="E1345" s="864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4" t="e">
        <f>LEFT(base[[#This Row],[Evento / Mercado]],FIND("/",base[[#This Row],[Evento / Mercado]])-2)</f>
        <v>#VALUE!</v>
      </c>
      <c r="T1345" s="1420">
        <f>base[[#This Row],[Data de liquidação]]</f>
        <v>46122.620706018519</v>
      </c>
    </row>
    <row r="1346" spans="2:20" ht="15" customHeight="1">
      <c r="B1346" s="771" t="s">
        <v>1520</v>
      </c>
      <c r="C1346" s="911" t="s">
        <v>3556</v>
      </c>
      <c r="D1346" s="1334">
        <v>46122.627581018518</v>
      </c>
      <c r="E1346" s="864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4" t="e">
        <f>LEFT(base[[#This Row],[Evento / Mercado]],FIND("/",base[[#This Row],[Evento / Mercado]])-2)</f>
        <v>#VALUE!</v>
      </c>
      <c r="T1346" s="1420">
        <f>base[[#This Row],[Data de liquidação]]</f>
        <v>46122.627581018518</v>
      </c>
    </row>
    <row r="1347" spans="2:20" ht="15" customHeight="1">
      <c r="B1347" s="771" t="s">
        <v>1520</v>
      </c>
      <c r="C1347" s="911" t="s">
        <v>3556</v>
      </c>
      <c r="D1347" s="1334">
        <v>46122.647372685184</v>
      </c>
      <c r="E1347" s="864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1522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4" t="e">
        <f>LEFT(base[[#This Row],[Evento / Mercado]],FIND("/",base[[#This Row],[Evento / Mercado]])-2)</f>
        <v>#VALUE!</v>
      </c>
      <c r="T1347" s="1420">
        <f>base[[#This Row],[Data de liquidação]]</f>
        <v>46122.647372685184</v>
      </c>
    </row>
    <row r="1348" spans="2:20" ht="15" customHeight="1">
      <c r="B1348" s="771" t="s">
        <v>1519</v>
      </c>
      <c r="C1348" s="911" t="s">
        <v>3556</v>
      </c>
      <c r="D1348" s="1334">
        <v>46122.72550925926</v>
      </c>
      <c r="E1348" s="864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694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1200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4" t="e">
        <f>LEFT(base[[#This Row],[Evento / Mercado]],FIND("/",base[[#This Row],[Evento / Mercado]])-2)</f>
        <v>#VALUE!</v>
      </c>
      <c r="T1348" s="1420">
        <f>base[[#This Row],[Data de liquidação]]</f>
        <v>46122.72550925926</v>
      </c>
    </row>
    <row r="1349" spans="2:20" ht="15" customHeight="1">
      <c r="B1349" s="771" t="s">
        <v>1518</v>
      </c>
      <c r="C1349" s="911" t="s">
        <v>3556</v>
      </c>
      <c r="D1349" s="1334">
        <v>46122.726493055554</v>
      </c>
      <c r="E1349" s="864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4" t="e">
        <f>LEFT(base[[#This Row],[Evento / Mercado]],FIND("/",base[[#This Row],[Evento / Mercado]])-2)</f>
        <v>#VALUE!</v>
      </c>
      <c r="T1349" s="1420">
        <f>base[[#This Row],[Data de liquidação]]</f>
        <v>46122.726493055554</v>
      </c>
    </row>
    <row r="1350" spans="2:20" ht="15" customHeight="1">
      <c r="B1350" s="771" t="s">
        <v>1518</v>
      </c>
      <c r="C1350" s="911" t="s">
        <v>3556</v>
      </c>
      <c r="D1350" s="1334">
        <v>46122.726527777777</v>
      </c>
      <c r="E1350" s="864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1522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4" t="e">
        <f>LEFT(base[[#This Row],[Evento / Mercado]],FIND("/",base[[#This Row],[Evento / Mercado]])-2)</f>
        <v>#VALUE!</v>
      </c>
      <c r="T1350" s="1420">
        <f>base[[#This Row],[Data de liquidação]]</f>
        <v>46122.726527777777</v>
      </c>
    </row>
    <row r="1351" spans="2:20" ht="15" customHeight="1">
      <c r="B1351" s="771" t="s">
        <v>1517</v>
      </c>
      <c r="C1351" s="911" t="s">
        <v>3556</v>
      </c>
      <c r="D1351" s="1334">
        <v>46122.744733796295</v>
      </c>
      <c r="E1351" s="864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1522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4" t="e">
        <f>LEFT(base[[#This Row],[Evento / Mercado]],FIND("/",base[[#This Row],[Evento / Mercado]])-2)</f>
        <v>#VALUE!</v>
      </c>
      <c r="T1351" s="1420">
        <f>base[[#This Row],[Data de liquidação]]</f>
        <v>46122.744733796295</v>
      </c>
    </row>
    <row r="1352" spans="2:20" ht="15" customHeight="1">
      <c r="B1352" s="771" t="s">
        <v>1517</v>
      </c>
      <c r="C1352" s="911" t="s">
        <v>3556</v>
      </c>
      <c r="D1352" s="1334">
        <v>46122.744814814818</v>
      </c>
      <c r="E1352" s="864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4" t="e">
        <f>LEFT(base[[#This Row],[Evento / Mercado]],FIND("/",base[[#This Row],[Evento / Mercado]])-2)</f>
        <v>#VALUE!</v>
      </c>
      <c r="T1352" s="1420">
        <f>base[[#This Row],[Data de liquidação]]</f>
        <v>46122.744814814818</v>
      </c>
    </row>
    <row r="1353" spans="2:20" ht="15" customHeight="1">
      <c r="B1353" s="771" t="s">
        <v>1516</v>
      </c>
      <c r="C1353" s="911" t="s">
        <v>3556</v>
      </c>
      <c r="D1353" s="1334">
        <v>46122.747291666667</v>
      </c>
      <c r="E1353" s="864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1496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4" t="e">
        <f>LEFT(base[[#This Row],[Evento / Mercado]],FIND("/",base[[#This Row],[Evento / Mercado]])-2)</f>
        <v>#VALUE!</v>
      </c>
      <c r="T1353" s="1420">
        <f>base[[#This Row],[Data de liquidação]]</f>
        <v>46122.747291666667</v>
      </c>
    </row>
    <row r="1354" spans="2:20" ht="15" customHeight="1">
      <c r="B1354" s="771" t="s">
        <v>1515</v>
      </c>
      <c r="C1354" s="911" t="s">
        <v>3556</v>
      </c>
      <c r="D1354" s="1334">
        <v>46122.747615740744</v>
      </c>
      <c r="E1354" s="864">
        <v>47.75</v>
      </c>
      <c r="F1354" s="235">
        <v>4.4999999999999998E-2</v>
      </c>
      <c r="G1354" s="371">
        <f t="shared" si="22"/>
        <v>50</v>
      </c>
      <c r="H1354" s="345" t="s">
        <v>179</v>
      </c>
      <c r="I1354" s="343" t="s">
        <v>392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1202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4" t="e">
        <f>LEFT(base[[#This Row],[Evento / Mercado]],FIND("/",base[[#This Row],[Evento / Mercado]])-2)</f>
        <v>#VALUE!</v>
      </c>
      <c r="T1354" s="1420">
        <f>base[[#This Row],[Data de liquidação]]</f>
        <v>46122.747615740744</v>
      </c>
    </row>
    <row r="1355" spans="2:20" ht="15" customHeight="1">
      <c r="B1355" s="771" t="s">
        <v>1514</v>
      </c>
      <c r="C1355" s="911" t="s">
        <v>3556</v>
      </c>
      <c r="D1355" s="1334">
        <v>46122.7497337963</v>
      </c>
      <c r="E1355" s="864">
        <v>33.06</v>
      </c>
      <c r="F1355" s="235">
        <v>4.4999999999999998E-2</v>
      </c>
      <c r="G1355" s="371">
        <f t="shared" si="22"/>
        <v>34.617801047120423</v>
      </c>
      <c r="H1355" s="345" t="s">
        <v>179</v>
      </c>
      <c r="I1355" s="343" t="s">
        <v>392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1208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4" t="e">
        <f>LEFT(base[[#This Row],[Evento / Mercado]],FIND("/",base[[#This Row],[Evento / Mercado]])-2)</f>
        <v>#VALUE!</v>
      </c>
      <c r="T1355" s="1420">
        <f>base[[#This Row],[Data de liquidação]]</f>
        <v>46122.7497337963</v>
      </c>
    </row>
    <row r="1356" spans="2:20" ht="15" customHeight="1">
      <c r="B1356" s="772" t="s">
        <v>1537</v>
      </c>
      <c r="C1356" s="911" t="s">
        <v>3556</v>
      </c>
      <c r="D1356" s="1335">
        <v>46123.413240740738</v>
      </c>
      <c r="E1356" s="865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4" t="e">
        <f>LEFT(base[[#This Row],[Evento / Mercado]],FIND("/",base[[#This Row],[Evento / Mercado]])-2)</f>
        <v>#VALUE!</v>
      </c>
      <c r="T1356" s="1420">
        <f>base[[#This Row],[Data de liquidação]]</f>
        <v>46123.413240740738</v>
      </c>
    </row>
    <row r="1357" spans="2:20" ht="15" customHeight="1">
      <c r="B1357" s="772" t="s">
        <v>1536</v>
      </c>
      <c r="C1357" s="911" t="s">
        <v>3556</v>
      </c>
      <c r="D1357" s="1335">
        <v>46123.423032407409</v>
      </c>
      <c r="E1357" s="865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4" t="e">
        <f>LEFT(base[[#This Row],[Evento / Mercado]],FIND("/",base[[#This Row],[Evento / Mercado]])-2)</f>
        <v>#VALUE!</v>
      </c>
      <c r="T1357" s="1420">
        <f>base[[#This Row],[Data de liquidação]]</f>
        <v>46123.423032407409</v>
      </c>
    </row>
    <row r="1358" spans="2:20" ht="15" customHeight="1">
      <c r="B1358" s="772" t="s">
        <v>1535</v>
      </c>
      <c r="C1358" s="911" t="s">
        <v>3556</v>
      </c>
      <c r="D1358" s="1335">
        <v>46123.472673611112</v>
      </c>
      <c r="E1358" s="865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4" t="e">
        <f>LEFT(base[[#This Row],[Evento / Mercado]],FIND("/",base[[#This Row],[Evento / Mercado]])-2)</f>
        <v>#VALUE!</v>
      </c>
      <c r="T1358" s="1420">
        <f>base[[#This Row],[Data de liquidação]]</f>
        <v>46123.472673611112</v>
      </c>
    </row>
    <row r="1359" spans="2:20" ht="15" customHeight="1">
      <c r="B1359" s="772" t="s">
        <v>1534</v>
      </c>
      <c r="C1359" s="911" t="s">
        <v>3556</v>
      </c>
      <c r="D1359" s="1335">
        <v>46123.516226851854</v>
      </c>
      <c r="E1359" s="865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628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1200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4" t="e">
        <f>LEFT(base[[#This Row],[Evento / Mercado]],FIND("/",base[[#This Row],[Evento / Mercado]])-2)</f>
        <v>#VALUE!</v>
      </c>
      <c r="T1359" s="1420">
        <f>base[[#This Row],[Data de liquidação]]</f>
        <v>46123.516226851854</v>
      </c>
    </row>
    <row r="1360" spans="2:20" ht="15" customHeight="1">
      <c r="B1360" s="772" t="s">
        <v>1533</v>
      </c>
      <c r="C1360" s="911" t="s">
        <v>3556</v>
      </c>
      <c r="D1360" s="1335">
        <v>46123.517835648148</v>
      </c>
      <c r="E1360" s="865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628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1200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4" t="e">
        <f>LEFT(base[[#This Row],[Evento / Mercado]],FIND("/",base[[#This Row],[Evento / Mercado]])-2)</f>
        <v>#VALUE!</v>
      </c>
      <c r="T1360" s="1420">
        <f>base[[#This Row],[Data de liquidação]]</f>
        <v>46123.517835648148</v>
      </c>
    </row>
    <row r="1361" spans="2:20" ht="15" customHeight="1">
      <c r="B1361" s="772" t="s">
        <v>1532</v>
      </c>
      <c r="C1361" s="911" t="s">
        <v>3556</v>
      </c>
      <c r="D1361" s="1335">
        <v>46123.521620370368</v>
      </c>
      <c r="E1361" s="865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4" t="e">
        <f>LEFT(base[[#This Row],[Evento / Mercado]],FIND("/",base[[#This Row],[Evento / Mercado]])-2)</f>
        <v>#VALUE!</v>
      </c>
      <c r="T1361" s="1420">
        <f>base[[#This Row],[Data de liquidação]]</f>
        <v>46123.521620370368</v>
      </c>
    </row>
    <row r="1362" spans="2:20" ht="15" customHeight="1">
      <c r="B1362" s="772" t="s">
        <v>1531</v>
      </c>
      <c r="C1362" s="911" t="s">
        <v>3556</v>
      </c>
      <c r="D1362" s="1335">
        <v>46123.539305555554</v>
      </c>
      <c r="E1362" s="865">
        <v>30.39</v>
      </c>
      <c r="F1362" s="235">
        <v>4.4999999999999998E-2</v>
      </c>
      <c r="G1362" s="376">
        <f t="shared" si="22"/>
        <v>31.821989528795815</v>
      </c>
      <c r="H1362" s="345" t="s">
        <v>179</v>
      </c>
      <c r="I1362" s="343" t="s">
        <v>392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1219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4" t="e">
        <f>LEFT(base[[#This Row],[Evento / Mercado]],FIND("/",base[[#This Row],[Evento / Mercado]])-2)</f>
        <v>#VALUE!</v>
      </c>
      <c r="T1362" s="1420">
        <f>base[[#This Row],[Data de liquidação]]</f>
        <v>46123.539305555554</v>
      </c>
    </row>
    <row r="1363" spans="2:20" ht="15" customHeight="1">
      <c r="B1363" s="772" t="s">
        <v>1530</v>
      </c>
      <c r="C1363" s="911" t="s">
        <v>3556</v>
      </c>
      <c r="D1363" s="1335">
        <v>46123.547858796293</v>
      </c>
      <c r="E1363" s="865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4" t="e">
        <f>LEFT(base[[#This Row],[Evento / Mercado]],FIND("/",base[[#This Row],[Evento / Mercado]])-2)</f>
        <v>#VALUE!</v>
      </c>
      <c r="T1363" s="1420">
        <f>base[[#This Row],[Data de liquidação]]</f>
        <v>46123.547858796293</v>
      </c>
    </row>
    <row r="1364" spans="2:20" ht="15" customHeight="1">
      <c r="B1364" s="772" t="s">
        <v>1529</v>
      </c>
      <c r="C1364" s="911" t="s">
        <v>3556</v>
      </c>
      <c r="D1364" s="1335">
        <v>46123.640347222223</v>
      </c>
      <c r="E1364" s="865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4" t="e">
        <f>LEFT(base[[#This Row],[Evento / Mercado]],FIND("/",base[[#This Row],[Evento / Mercado]])-2)</f>
        <v>#VALUE!</v>
      </c>
      <c r="T1364" s="1420">
        <f>base[[#This Row],[Data de liquidação]]</f>
        <v>46123.640347222223</v>
      </c>
    </row>
    <row r="1365" spans="2:20" ht="15" customHeight="1">
      <c r="B1365" s="772" t="s">
        <v>1528</v>
      </c>
      <c r="C1365" s="911" t="s">
        <v>3556</v>
      </c>
      <c r="D1365" s="1335">
        <v>46123.645949074074</v>
      </c>
      <c r="E1365" s="865">
        <v>41.24</v>
      </c>
      <c r="F1365" s="235">
        <v>4.4999999999999998E-2</v>
      </c>
      <c r="G1365" s="376">
        <f t="shared" si="22"/>
        <v>43.183246073298434</v>
      </c>
      <c r="H1365" s="345" t="s">
        <v>179</v>
      </c>
      <c r="I1365" s="343" t="s">
        <v>392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1202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4" t="e">
        <f>LEFT(base[[#This Row],[Evento / Mercado]],FIND("/",base[[#This Row],[Evento / Mercado]])-2)</f>
        <v>#VALUE!</v>
      </c>
      <c r="T1365" s="1420">
        <f>base[[#This Row],[Data de liquidação]]</f>
        <v>46123.645949074074</v>
      </c>
    </row>
    <row r="1366" spans="2:20" ht="15" customHeight="1">
      <c r="B1366" s="772" t="s">
        <v>1527</v>
      </c>
      <c r="C1366" s="911" t="s">
        <v>3556</v>
      </c>
      <c r="D1366" s="1335">
        <v>46123.727442129632</v>
      </c>
      <c r="E1366" s="865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4" t="e">
        <f>LEFT(base[[#This Row],[Evento / Mercado]],FIND("/",base[[#This Row],[Evento / Mercado]])-2)</f>
        <v>#VALUE!</v>
      </c>
      <c r="T1366" s="1420">
        <f>base[[#This Row],[Data de liquidação]]</f>
        <v>46123.727442129632</v>
      </c>
    </row>
    <row r="1367" spans="2:20" ht="15" customHeight="1">
      <c r="B1367" s="772" t="s">
        <v>1526</v>
      </c>
      <c r="C1367" s="911" t="s">
        <v>3556</v>
      </c>
      <c r="D1367" s="1335">
        <v>46123.746817129628</v>
      </c>
      <c r="E1367" s="865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693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1205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4" t="e">
        <f>LEFT(base[[#This Row],[Evento / Mercado]],FIND("/",base[[#This Row],[Evento / Mercado]])-2)</f>
        <v>#VALUE!</v>
      </c>
      <c r="T1367" s="1420">
        <f>base[[#This Row],[Data de liquidação]]</f>
        <v>46123.746817129628</v>
      </c>
    </row>
    <row r="1368" spans="2:20" ht="15" customHeight="1">
      <c r="B1368" s="772" t="s">
        <v>1525</v>
      </c>
      <c r="C1368" s="911" t="s">
        <v>3556</v>
      </c>
      <c r="D1368" s="1335">
        <v>46123.769375000003</v>
      </c>
      <c r="E1368" s="865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4" t="e">
        <f>LEFT(base[[#This Row],[Evento / Mercado]],FIND("/",base[[#This Row],[Evento / Mercado]])-2)</f>
        <v>#VALUE!</v>
      </c>
      <c r="T1368" s="1420">
        <f>base[[#This Row],[Data de liquidação]]</f>
        <v>46123.769375000003</v>
      </c>
    </row>
    <row r="1369" spans="2:20" ht="15" customHeight="1">
      <c r="B1369" s="772" t="s">
        <v>1524</v>
      </c>
      <c r="C1369" s="911" t="s">
        <v>3556</v>
      </c>
      <c r="D1369" s="1335">
        <v>46123.771643518521</v>
      </c>
      <c r="E1369" s="865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693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1203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4" t="e">
        <f>LEFT(base[[#This Row],[Evento / Mercado]],FIND("/",base[[#This Row],[Evento / Mercado]])-2)</f>
        <v>#VALUE!</v>
      </c>
      <c r="T1369" s="1420">
        <f>base[[#This Row],[Data de liquidação]]</f>
        <v>46123.771643518521</v>
      </c>
    </row>
    <row r="1370" spans="2:20" ht="15" customHeight="1">
      <c r="B1370" s="772" t="s">
        <v>1523</v>
      </c>
      <c r="C1370" s="911" t="s">
        <v>3556</v>
      </c>
      <c r="D1370" s="1335">
        <v>46123.780949074076</v>
      </c>
      <c r="E1370" s="865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4" t="e">
        <f>LEFT(base[[#This Row],[Evento / Mercado]],FIND("/",base[[#This Row],[Evento / Mercado]])-2)</f>
        <v>#VALUE!</v>
      </c>
      <c r="T1370" s="1420">
        <f>base[[#This Row],[Data de liquidação]]</f>
        <v>46123.780949074076</v>
      </c>
    </row>
    <row r="1371" spans="2:20" ht="15" customHeight="1">
      <c r="B1371" s="773" t="s">
        <v>1548</v>
      </c>
      <c r="C1371" s="911" t="s">
        <v>3556</v>
      </c>
      <c r="D1371" s="1336">
        <v>46124.414513888885</v>
      </c>
      <c r="E1371" s="866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4" t="str">
        <f>LEFT(base[[#This Row],[Evento / Mercado]],FIND("/",base[[#This Row],[Evento / Mercado]])-2)</f>
        <v>Birmingham City vs Wrexham</v>
      </c>
      <c r="T1371" s="1420">
        <f>base[[#This Row],[Data de liquidação]]</f>
        <v>46124.414513888885</v>
      </c>
    </row>
    <row r="1372" spans="2:20" ht="15" customHeight="1">
      <c r="B1372" s="773" t="s">
        <v>1547</v>
      </c>
      <c r="C1372" s="911" t="s">
        <v>3556</v>
      </c>
      <c r="D1372" s="1336">
        <v>46124.443460648145</v>
      </c>
      <c r="E1372" s="866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4" t="str">
        <f>LEFT(base[[#This Row],[Evento / Mercado]],FIND("/",base[[#This Row],[Evento / Mercado]])-2)</f>
        <v>Nottingham Forest vs Aston Villa</v>
      </c>
      <c r="T1372" s="1420">
        <f>base[[#This Row],[Data de liquidação]]</f>
        <v>46124.443460648145</v>
      </c>
    </row>
    <row r="1373" spans="2:20" ht="15" customHeight="1">
      <c r="B1373" s="773" t="s">
        <v>1546</v>
      </c>
      <c r="C1373" s="911" t="s">
        <v>3556</v>
      </c>
      <c r="D1373" s="1336">
        <v>46124.463368055556</v>
      </c>
      <c r="E1373" s="866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4" t="str">
        <f>LEFT(base[[#This Row],[Evento / Mercado]],FIND("/",base[[#This Row],[Evento / Mercado]])-2)</f>
        <v>SønderjyskE vs Viborg FF</v>
      </c>
      <c r="T1373" s="1420">
        <f>base[[#This Row],[Data de liquidação]]</f>
        <v>46124.463368055556</v>
      </c>
    </row>
    <row r="1374" spans="2:20" ht="15" customHeight="1">
      <c r="B1374" s="773" t="s">
        <v>1545</v>
      </c>
      <c r="C1374" s="911" t="s">
        <v>3556</v>
      </c>
      <c r="D1374" s="1336">
        <v>46124.479571759257</v>
      </c>
      <c r="E1374" s="866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627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1205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4" t="str">
        <f>LEFT(base[[#This Row],[Evento / Mercado]],FIND("/",base[[#This Row],[Evento / Mercado]])-2)</f>
        <v>NEC vs Feyenoord</v>
      </c>
      <c r="T1374" s="1420">
        <f>base[[#This Row],[Data de liquidação]]</f>
        <v>46124.479571759257</v>
      </c>
    </row>
    <row r="1375" spans="2:20" ht="15" customHeight="1">
      <c r="B1375" s="773" t="s">
        <v>1544</v>
      </c>
      <c r="C1375" s="911" t="s">
        <v>3556</v>
      </c>
      <c r="D1375" s="1336">
        <v>46124.539039351854</v>
      </c>
      <c r="E1375" s="866">
        <v>53.4</v>
      </c>
      <c r="F1375" s="235">
        <v>4.4999999999999998E-2</v>
      </c>
      <c r="G1375" s="381">
        <f t="shared" si="22"/>
        <v>55.916230366492151</v>
      </c>
      <c r="H1375" s="345" t="s">
        <v>179</v>
      </c>
      <c r="I1375" s="343" t="s">
        <v>392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1370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4" t="str">
        <f>LEFT(base[[#This Row],[Evento / Mercado]],FIND("/",base[[#This Row],[Evento / Mercado]])-2)</f>
        <v>Athlético Paranaense vs Chapecoense</v>
      </c>
      <c r="T1375" s="1420">
        <f>base[[#This Row],[Data de liquidação]]</f>
        <v>46124.539039351854</v>
      </c>
    </row>
    <row r="1376" spans="2:20" ht="15" customHeight="1">
      <c r="B1376" s="773" t="s">
        <v>1543</v>
      </c>
      <c r="C1376" s="911" t="s">
        <v>3556</v>
      </c>
      <c r="D1376" s="1336">
        <v>46124.558553240742</v>
      </c>
      <c r="E1376" s="866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4" t="str">
        <f>LEFT(base[[#This Row],[Evento / Mercado]],FIND("/",base[[#This Row],[Evento / Mercado]])-2)</f>
        <v>FC Erzgebirge Aue vs SC Verl</v>
      </c>
      <c r="T1376" s="1420">
        <f>base[[#This Row],[Data de liquidação]]</f>
        <v>46124.558553240742</v>
      </c>
    </row>
    <row r="1377" spans="2:20" ht="15" customHeight="1">
      <c r="B1377" s="773" t="s">
        <v>1542</v>
      </c>
      <c r="C1377" s="911" t="s">
        <v>3556</v>
      </c>
      <c r="D1377" s="1336">
        <v>46124.599641203706</v>
      </c>
      <c r="E1377" s="866">
        <v>45.1</v>
      </c>
      <c r="F1377" s="235">
        <v>4.4999999999999998E-2</v>
      </c>
      <c r="G1377" s="381">
        <f t="shared" si="22"/>
        <v>47.225130890052363</v>
      </c>
      <c r="H1377" s="345" t="s">
        <v>179</v>
      </c>
      <c r="I1377" s="343" t="s">
        <v>392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1200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4" t="str">
        <f>LEFT(base[[#This Row],[Evento / Mercado]],FIND("/",base[[#This Row],[Evento / Mercado]])-2)</f>
        <v>VfB Stuttgart vs Hamburger SV</v>
      </c>
      <c r="T1377" s="1420">
        <f>base[[#This Row],[Data de liquidação]]</f>
        <v>46124.599641203706</v>
      </c>
    </row>
    <row r="1378" spans="2:20" ht="15" customHeight="1">
      <c r="B1378" s="773" t="s">
        <v>1541</v>
      </c>
      <c r="C1378" s="911" t="s">
        <v>3556</v>
      </c>
      <c r="D1378" s="1336">
        <v>46124.645324074074</v>
      </c>
      <c r="E1378" s="866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4" t="str">
        <f>LEFT(base[[#This Row],[Evento / Mercado]],FIND("/",base[[#This Row],[Evento / Mercado]])-2)</f>
        <v>Hajduk Split vs HNK Gorica</v>
      </c>
      <c r="T1378" s="1420">
        <f>base[[#This Row],[Data de liquidação]]</f>
        <v>46124.645324074074</v>
      </c>
    </row>
    <row r="1379" spans="2:20" ht="15" customHeight="1">
      <c r="B1379" s="773" t="s">
        <v>1540</v>
      </c>
      <c r="C1379" s="911" t="s">
        <v>3556</v>
      </c>
      <c r="D1379" s="1336">
        <v>46124.661620370367</v>
      </c>
      <c r="E1379" s="866">
        <v>20.29</v>
      </c>
      <c r="F1379" s="235">
        <v>4.4999999999999998E-2</v>
      </c>
      <c r="G1379" s="381">
        <f t="shared" si="22"/>
        <v>21.246073298429319</v>
      </c>
      <c r="H1379" s="345" t="s">
        <v>179</v>
      </c>
      <c r="I1379" s="343" t="s">
        <v>392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1203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4" t="str">
        <f>LEFT(base[[#This Row],[Evento / Mercado]],FIND("/",base[[#This Row],[Evento / Mercado]])-2)</f>
        <v>Benfica vs Nacional da Madeira</v>
      </c>
      <c r="T1379" s="1420">
        <f>base[[#This Row],[Data de liquidação]]</f>
        <v>46124.661620370367</v>
      </c>
    </row>
    <row r="1380" spans="2:20" ht="15" customHeight="1">
      <c r="B1380" s="773" t="s">
        <v>1539</v>
      </c>
      <c r="C1380" s="911" t="s">
        <v>3556</v>
      </c>
      <c r="D1380" s="1336">
        <v>46124.665844907409</v>
      </c>
      <c r="E1380" s="866">
        <v>31.22</v>
      </c>
      <c r="F1380" s="235">
        <v>4.4999999999999998E-2</v>
      </c>
      <c r="G1380" s="381">
        <f t="shared" si="22"/>
        <v>32.691099476439788</v>
      </c>
      <c r="H1380" s="345" t="s">
        <v>179</v>
      </c>
      <c r="I1380" s="343" t="s">
        <v>392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1204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4" t="str">
        <f>LEFT(base[[#This Row],[Evento / Mercado]],FIND("/",base[[#This Row],[Evento / Mercado]])-2)</f>
        <v>Galatasaray SK vs Kocaelispor</v>
      </c>
      <c r="T1380" s="1420">
        <f>base[[#This Row],[Data de liquidação]]</f>
        <v>46124.665844907409</v>
      </c>
    </row>
    <row r="1381" spans="2:20" ht="15" customHeight="1">
      <c r="B1381" s="773" t="s">
        <v>1538</v>
      </c>
      <c r="C1381" s="911" t="s">
        <v>3556</v>
      </c>
      <c r="D1381" s="1336">
        <v>46125.746840277781</v>
      </c>
      <c r="E1381" s="866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392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1201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4" t="str">
        <f>LEFT(base[[#This Row],[Evento / Mercado]],FIND("/",base[[#This Row],[Evento / Mercado]])-2)</f>
        <v>Manchester United vs Leeds United</v>
      </c>
      <c r="T1381" s="1420">
        <f>base[[#This Row],[Data de liquidação]]</f>
        <v>46125.746840277781</v>
      </c>
    </row>
    <row r="1382" spans="2:20" ht="15" customHeight="1">
      <c r="B1382" s="774" t="s">
        <v>1554</v>
      </c>
      <c r="C1382" s="911" t="s">
        <v>3556</v>
      </c>
      <c r="D1382" s="1337">
        <v>46126.709675925929</v>
      </c>
      <c r="E1382" s="867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1522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4" t="str">
        <f>LEFT(base[[#This Row],[Evento / Mercado]],FIND("/",base[[#This Row],[Evento / Mercado]])-2)</f>
        <v>Al-Qadisiyah vs Al-Shabab Riyadh</v>
      </c>
      <c r="T1382" s="1420">
        <f>base[[#This Row],[Data de liquidação]]</f>
        <v>46126.709675925929</v>
      </c>
    </row>
    <row r="1383" spans="2:20" ht="15" customHeight="1">
      <c r="B1383" s="774" t="s">
        <v>1553</v>
      </c>
      <c r="C1383" s="911" t="s">
        <v>3556</v>
      </c>
      <c r="D1383" s="1337">
        <v>46126.750567129631</v>
      </c>
      <c r="E1383" s="867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1369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1210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4" t="str">
        <f>LEFT(base[[#This Row],[Evento / Mercado]],FIND("/",base[[#This Row],[Evento / Mercado]])-2)</f>
        <v>Atlético de Madrid vs FC Barcelona</v>
      </c>
      <c r="T1383" s="1420">
        <f>base[[#This Row],[Data de liquidação]]</f>
        <v>46126.750567129631</v>
      </c>
    </row>
    <row r="1384" spans="2:20" ht="15" customHeight="1">
      <c r="B1384" s="774" t="s">
        <v>1552</v>
      </c>
      <c r="C1384" s="911" t="s">
        <v>3556</v>
      </c>
      <c r="D1384" s="1337">
        <v>46126.750879629632</v>
      </c>
      <c r="E1384" s="867">
        <v>24.49</v>
      </c>
      <c r="F1384" s="235">
        <v>4.4999999999999998E-2</v>
      </c>
      <c r="G1384" s="385">
        <f t="shared" si="22"/>
        <v>25.643979057591622</v>
      </c>
      <c r="H1384" s="385" t="s">
        <v>1555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1210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4" t="str">
        <f>LEFT(base[[#This Row],[Evento / Mercado]],FIND("/",base[[#This Row],[Evento / Mercado]])-2)</f>
        <v>Atlético de Madrid vs FC Barcelona</v>
      </c>
      <c r="T1384" s="1420">
        <f>base[[#This Row],[Data de liquidação]]</f>
        <v>46126.750879629632</v>
      </c>
    </row>
    <row r="1385" spans="2:20" ht="15" customHeight="1">
      <c r="B1385" s="775" t="s">
        <v>1557</v>
      </c>
      <c r="C1385" s="911" t="s">
        <v>3556</v>
      </c>
      <c r="D1385" s="1338">
        <v>46127.706145833334</v>
      </c>
      <c r="E1385" s="868">
        <v>20.81</v>
      </c>
      <c r="F1385" s="235">
        <v>4.4999999999999998E-2</v>
      </c>
      <c r="G1385" s="389">
        <f t="shared" si="22"/>
        <v>21.790575916230367</v>
      </c>
      <c r="H1385" s="345" t="s">
        <v>179</v>
      </c>
      <c r="I1385" s="343" t="s">
        <v>392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1211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4" t="str">
        <f>LEFT(base[[#This Row],[Evento / Mercado]],FIND("/",base[[#This Row],[Evento / Mercado]])-2)</f>
        <v>Al-Nassr Riyadh vs Al-Ettifaq</v>
      </c>
      <c r="T1385" s="1420">
        <f>base[[#This Row],[Data de liquidação]]</f>
        <v>46127.706145833334</v>
      </c>
    </row>
    <row r="1386" spans="2:20" ht="15" customHeight="1">
      <c r="B1386" s="775" t="s">
        <v>1556</v>
      </c>
      <c r="C1386" s="911" t="s">
        <v>3556</v>
      </c>
      <c r="D1386" s="1338">
        <v>46128.695833333331</v>
      </c>
      <c r="E1386" s="868">
        <v>47.75</v>
      </c>
      <c r="F1386" s="235">
        <v>4.4999999999999998E-2</v>
      </c>
      <c r="G1386" s="389">
        <f t="shared" si="22"/>
        <v>50</v>
      </c>
      <c r="H1386" s="389" t="s">
        <v>1558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4" t="str">
        <f>LEFT(base[[#This Row],[Evento / Mercado]],FIND("/",base[[#This Row],[Evento / Mercado]])-2)</f>
        <v>Aston Villa vs Bologna</v>
      </c>
      <c r="T1386" s="1420">
        <f>base[[#This Row],[Data de liquidação]]</f>
        <v>46128.695833333331</v>
      </c>
    </row>
    <row r="1387" spans="2:20" ht="15" customHeight="1">
      <c r="B1387" s="776" t="s">
        <v>1577</v>
      </c>
      <c r="C1387" s="911" t="s">
        <v>3556</v>
      </c>
      <c r="D1387" s="1339">
        <v>46128.820891203701</v>
      </c>
      <c r="E1387" s="869">
        <v>47.75</v>
      </c>
      <c r="F1387" s="235">
        <v>4.4999999999999998E-2</v>
      </c>
      <c r="G1387" s="393">
        <f t="shared" si="22"/>
        <v>50</v>
      </c>
      <c r="H1387" s="389" t="s">
        <v>1558</v>
      </c>
      <c r="I1387" s="391" t="s">
        <v>1572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4" t="str">
        <f>LEFT(base[[#This Row],[Evento / Mercado]],FIND("/",base[[#This Row],[Evento / Mercado]])-2)</f>
        <v>Palmeiras vs Sporting Cristal</v>
      </c>
      <c r="T1387" s="1420">
        <f>base[[#This Row],[Data de liquidação]]</f>
        <v>46128.820891203701</v>
      </c>
    </row>
    <row r="1388" spans="2:20" ht="15" customHeight="1">
      <c r="B1388" s="776" t="s">
        <v>1576</v>
      </c>
      <c r="C1388" s="911" t="s">
        <v>3556</v>
      </c>
      <c r="D1388" s="1339">
        <v>46128.860902777778</v>
      </c>
      <c r="E1388" s="869">
        <v>-63.85</v>
      </c>
      <c r="F1388" s="235">
        <v>4.4999999999999998E-2</v>
      </c>
      <c r="G1388" s="393">
        <f t="shared" si="22"/>
        <v>-63.85</v>
      </c>
      <c r="H1388" s="389" t="s">
        <v>1558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4" t="str">
        <f>LEFT(base[[#This Row],[Evento / Mercado]],FIND("/",base[[#This Row],[Evento / Mercado]])-2)</f>
        <v>Palmeiras vs Sporting Cristal</v>
      </c>
      <c r="T1388" s="1420">
        <f>base[[#This Row],[Data de liquidação]]</f>
        <v>46128.860902777778</v>
      </c>
    </row>
    <row r="1389" spans="2:20" ht="15" customHeight="1">
      <c r="B1389" s="776" t="s">
        <v>1575</v>
      </c>
      <c r="C1389" s="911" t="s">
        <v>3556</v>
      </c>
      <c r="D1389" s="1339">
        <v>46128.928495370368</v>
      </c>
      <c r="E1389" s="869">
        <v>47.75</v>
      </c>
      <c r="F1389" s="235">
        <v>4.4999999999999998E-2</v>
      </c>
      <c r="G1389" s="393">
        <f t="shared" si="22"/>
        <v>50</v>
      </c>
      <c r="H1389" s="389" t="s">
        <v>1558</v>
      </c>
      <c r="I1389" s="391" t="s">
        <v>1572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4" t="str">
        <f>LEFT(base[[#This Row],[Evento / Mercado]],FIND("/",base[[#This Row],[Evento / Mercado]])-2)</f>
        <v>Red Bull Bragantino vs Blooming Santa Cruz</v>
      </c>
      <c r="T1389" s="1420">
        <f>base[[#This Row],[Data de liquidação]]</f>
        <v>46128.928495370368</v>
      </c>
    </row>
    <row r="1390" spans="2:20" ht="15" customHeight="1">
      <c r="B1390" s="776" t="s">
        <v>1571</v>
      </c>
      <c r="C1390" s="911" t="s">
        <v>3556</v>
      </c>
      <c r="D1390" s="1339">
        <v>46129.404120370367</v>
      </c>
      <c r="E1390" s="869">
        <v>47.75</v>
      </c>
      <c r="F1390" s="235">
        <v>4.4999999999999998E-2</v>
      </c>
      <c r="G1390" s="393">
        <f t="shared" si="22"/>
        <v>50</v>
      </c>
      <c r="H1390" s="389" t="s">
        <v>1558</v>
      </c>
      <c r="I1390" s="391" t="s">
        <v>498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4" t="str">
        <f>LEFT(base[[#This Row],[Evento / Mercado]],FIND("/",base[[#This Row],[Evento / Mercado]])-2)</f>
        <v>Yunnan Yukun vs Tianjin Jinmenhu</v>
      </c>
      <c r="T1390" s="1420">
        <f>base[[#This Row],[Data de liquidação]]</f>
        <v>46129.404120370367</v>
      </c>
    </row>
    <row r="1391" spans="2:20" ht="15" customHeight="1">
      <c r="B1391" s="776" t="s">
        <v>1570</v>
      </c>
      <c r="C1391" s="911" t="s">
        <v>3556</v>
      </c>
      <c r="D1391" s="1339">
        <v>46129.671597222223</v>
      </c>
      <c r="E1391" s="869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628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1204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4" t="str">
        <f>LEFT(base[[#This Row],[Evento / Mercado]],FIND("/",base[[#This Row],[Evento / Mercado]])-2)</f>
        <v>Fenerbahçe SK vs Caykur Rizespor</v>
      </c>
      <c r="T1391" s="1420">
        <f>base[[#This Row],[Data de liquidação]]</f>
        <v>46129.671597222223</v>
      </c>
    </row>
    <row r="1392" spans="2:20" ht="15" customHeight="1">
      <c r="B1392" s="776" t="s">
        <v>1569</v>
      </c>
      <c r="C1392" s="911" t="s">
        <v>3556</v>
      </c>
      <c r="D1392" s="1339">
        <v>46129.672071759262</v>
      </c>
      <c r="E1392" s="869">
        <v>40.69</v>
      </c>
      <c r="F1392" s="235">
        <v>4.4999999999999998E-2</v>
      </c>
      <c r="G1392" s="393">
        <f t="shared" si="22"/>
        <v>42.607329842931939</v>
      </c>
      <c r="H1392" s="345" t="s">
        <v>179</v>
      </c>
      <c r="I1392" s="343" t="s">
        <v>392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1204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4" t="str">
        <f>LEFT(base[[#This Row],[Evento / Mercado]],FIND("/",base[[#This Row],[Evento / Mercado]])-2)</f>
        <v>Fenerbahçe SK vs Caykur Rizespor</v>
      </c>
      <c r="T1392" s="1420">
        <f>base[[#This Row],[Data de liquidação]]</f>
        <v>46129.672071759262</v>
      </c>
    </row>
    <row r="1393" spans="2:22" ht="15" customHeight="1">
      <c r="B1393" s="776" t="s">
        <v>1568</v>
      </c>
      <c r="C1393" s="911" t="s">
        <v>3556</v>
      </c>
      <c r="D1393" s="1339">
        <v>46129.70212962963</v>
      </c>
      <c r="E1393" s="869">
        <v>-75</v>
      </c>
      <c r="F1393" s="235">
        <v>4.4999999999999998E-2</v>
      </c>
      <c r="G1393" s="393">
        <f t="shared" si="22"/>
        <v>-75</v>
      </c>
      <c r="H1393" s="389" t="s">
        <v>1558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4" t="str">
        <f>LEFT(base[[#This Row],[Evento / Mercado]],FIND("/",base[[#This Row],[Evento / Mercado]])-2)</f>
        <v>Real Sociedad B vs Racing Santander</v>
      </c>
      <c r="T1393" s="142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76" t="s">
        <v>1567</v>
      </c>
      <c r="C1394" s="911" t="s">
        <v>3556</v>
      </c>
      <c r="D1394" s="1339">
        <v>46129.73746527778</v>
      </c>
      <c r="E1394" s="869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392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1208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4" t="str">
        <f>LEFT(base[[#This Row],[Evento / Mercado]],FIND("/",base[[#This Row],[Evento / Mercado]])-2)</f>
        <v>RC Lens vs Toulouse FC</v>
      </c>
      <c r="T1394" s="142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76" t="s">
        <v>1566</v>
      </c>
      <c r="C1395" s="911" t="s">
        <v>3556</v>
      </c>
      <c r="D1395" s="1339">
        <v>46129.737928240742</v>
      </c>
      <c r="E1395" s="869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628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1207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4" t="str">
        <f>LEFT(base[[#This Row],[Evento / Mercado]],FIND("/",base[[#This Row],[Evento / Mercado]])-2)</f>
        <v>Internazionale vs Cagliari</v>
      </c>
      <c r="T1395" s="1420">
        <f>base[[#This Row],[Data de liquidação]]</f>
        <v>46129.737928240742</v>
      </c>
    </row>
    <row r="1396" spans="2:22" ht="15" customHeight="1">
      <c r="B1396" s="776" t="s">
        <v>1565</v>
      </c>
      <c r="C1396" s="911" t="s">
        <v>3556</v>
      </c>
      <c r="D1396" s="1339">
        <v>46129.73814814815</v>
      </c>
      <c r="E1396" s="869">
        <v>15.91985</v>
      </c>
      <c r="F1396" s="235">
        <v>4.4999999999999998E-2</v>
      </c>
      <c r="G1396" s="393">
        <f t="shared" si="22"/>
        <v>16.670000000000002</v>
      </c>
      <c r="H1396" s="385" t="s">
        <v>1555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1207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4" t="str">
        <f>LEFT(base[[#This Row],[Evento / Mercado]],FIND("/",base[[#This Row],[Evento / Mercado]])-2)</f>
        <v>Internazionale vs Cagliari</v>
      </c>
      <c r="T1396" s="1420">
        <f>base[[#This Row],[Data de liquidação]]</f>
        <v>46129.73814814815</v>
      </c>
    </row>
    <row r="1397" spans="2:22" ht="15" customHeight="1">
      <c r="B1397" s="776" t="s">
        <v>1565</v>
      </c>
      <c r="C1397" s="911" t="s">
        <v>3556</v>
      </c>
      <c r="D1397" s="1339">
        <v>46129.73814814815</v>
      </c>
      <c r="E1397" s="869">
        <v>23.559850000000001</v>
      </c>
      <c r="F1397" s="235">
        <v>4.4999999999999998E-2</v>
      </c>
      <c r="G1397" s="393">
        <f t="shared" si="22"/>
        <v>24.67</v>
      </c>
      <c r="H1397" s="345" t="s">
        <v>179</v>
      </c>
      <c r="I1397" s="343" t="s">
        <v>392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1207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4" t="str">
        <f>LEFT(base[[#This Row],[Evento / Mercado]],FIND("/",base[[#This Row],[Evento / Mercado]])-2)</f>
        <v>Internazionale vs Cagliari</v>
      </c>
      <c r="T1397" s="1420">
        <f>base[[#This Row],[Data de liquidação]]</f>
        <v>46129.73814814815</v>
      </c>
    </row>
    <row r="1398" spans="2:22" ht="15" customHeight="1">
      <c r="B1398" s="776" t="s">
        <v>1564</v>
      </c>
      <c r="C1398" s="911" t="s">
        <v>3556</v>
      </c>
      <c r="D1398" s="1339">
        <v>46130.449976851851</v>
      </c>
      <c r="E1398" s="869">
        <v>47.75</v>
      </c>
      <c r="F1398" s="235">
        <v>4.4999999999999998E-2</v>
      </c>
      <c r="G1398" s="393">
        <f t="shared" si="22"/>
        <v>50</v>
      </c>
      <c r="H1398" s="389" t="s">
        <v>1558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4" t="str">
        <f>LEFT(base[[#This Row],[Evento / Mercado]],FIND("/",base[[#This Row],[Evento / Mercado]])-2)</f>
        <v>IK Sirius vs Västerås SK FK</v>
      </c>
      <c r="T1398" s="1420">
        <f>base[[#This Row],[Data de liquidação]]</f>
        <v>46130.449976851851</v>
      </c>
    </row>
    <row r="1399" spans="2:22" ht="15" customHeight="1">
      <c r="B1399" s="776" t="s">
        <v>1563</v>
      </c>
      <c r="C1399" s="911" t="s">
        <v>3556</v>
      </c>
      <c r="D1399" s="1339">
        <v>46130.464513888888</v>
      </c>
      <c r="E1399" s="869">
        <v>47.75</v>
      </c>
      <c r="F1399" s="235">
        <v>4.4999999999999998E-2</v>
      </c>
      <c r="G1399" s="393">
        <f t="shared" si="22"/>
        <v>50</v>
      </c>
      <c r="H1399" s="389" t="s">
        <v>1558</v>
      </c>
      <c r="I1399" s="391" t="s">
        <v>498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4" t="str">
        <f>LEFT(base[[#This Row],[Evento / Mercado]],FIND("/",base[[#This Row],[Evento / Mercado]])-2)</f>
        <v>Werder Bremen vs Hamburger SV</v>
      </c>
      <c r="T1399" s="1420">
        <f>base[[#This Row],[Data de liquidação]]</f>
        <v>46130.464513888888</v>
      </c>
    </row>
    <row r="1400" spans="2:22" ht="15" customHeight="1">
      <c r="B1400" s="776" t="s">
        <v>1562</v>
      </c>
      <c r="C1400" s="911" t="s">
        <v>3556</v>
      </c>
      <c r="D1400" s="1339">
        <v>46130.571412037039</v>
      </c>
      <c r="E1400" s="869">
        <v>47.75</v>
      </c>
      <c r="F1400" s="235">
        <v>4.4999999999999998E-2</v>
      </c>
      <c r="G1400" s="393">
        <f t="shared" si="22"/>
        <v>50</v>
      </c>
      <c r="H1400" s="389" t="s">
        <v>1558</v>
      </c>
      <c r="I1400" s="391" t="s">
        <v>1572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4" t="str">
        <f>LEFT(base[[#This Row],[Evento / Mercado]],FIND("/",base[[#This Row],[Evento / Mercado]])-2)</f>
        <v>Aris Thessaloniki vs NFC Volos</v>
      </c>
      <c r="T1400" s="1420">
        <f>base[[#This Row],[Data de liquidação]]</f>
        <v>46130.571412037039</v>
      </c>
    </row>
    <row r="1401" spans="2:22" ht="15" customHeight="1">
      <c r="B1401" s="776" t="s">
        <v>1561</v>
      </c>
      <c r="C1401" s="911" t="s">
        <v>3556</v>
      </c>
      <c r="D1401" s="1339">
        <v>46130.574780092589</v>
      </c>
      <c r="E1401" s="869">
        <v>-72.08</v>
      </c>
      <c r="F1401" s="235">
        <v>4.4999999999999998E-2</v>
      </c>
      <c r="G1401" s="393">
        <f t="shared" si="22"/>
        <v>-72.08</v>
      </c>
      <c r="H1401" s="389" t="s">
        <v>1558</v>
      </c>
      <c r="I1401" s="391" t="s">
        <v>1572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4" t="str">
        <f>LEFT(base[[#This Row],[Evento / Mercado]],FIND("/",base[[#This Row],[Evento / Mercado]])-2)</f>
        <v>Palermo vs Cesena</v>
      </c>
      <c r="T1401" s="1420">
        <f>base[[#This Row],[Data de liquidação]]</f>
        <v>46130.574780092589</v>
      </c>
    </row>
    <row r="1402" spans="2:22" ht="15" customHeight="1">
      <c r="B1402" s="776" t="s">
        <v>1560</v>
      </c>
      <c r="C1402" s="911" t="s">
        <v>3556</v>
      </c>
      <c r="D1402" s="1339">
        <v>46130.602060185185</v>
      </c>
      <c r="E1402" s="869">
        <v>47.75</v>
      </c>
      <c r="F1402" s="235">
        <v>4.4999999999999998E-2</v>
      </c>
      <c r="G1402" s="393">
        <f t="shared" si="22"/>
        <v>50</v>
      </c>
      <c r="H1402" s="389" t="s">
        <v>1558</v>
      </c>
      <c r="I1402" s="391" t="s">
        <v>1572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4" t="str">
        <f>LEFT(base[[#This Row],[Evento / Mercado]],FIND("/",base[[#This Row],[Evento / Mercado]])-2)</f>
        <v>Buriram United vs Shabab Al-Ahli Dubai FC</v>
      </c>
      <c r="T1402" s="1420">
        <f>base[[#This Row],[Data de liquidação]]</f>
        <v>46130.602060185185</v>
      </c>
    </row>
    <row r="1403" spans="2:22" ht="15" customHeight="1">
      <c r="B1403" s="777" t="s">
        <v>1593</v>
      </c>
      <c r="C1403" s="911" t="s">
        <v>3556</v>
      </c>
      <c r="D1403" s="1340">
        <v>46130.827326388891</v>
      </c>
      <c r="E1403" s="870">
        <v>47.75</v>
      </c>
      <c r="F1403" s="235">
        <v>4.4999999999999998E-2</v>
      </c>
      <c r="G1403" s="395">
        <f t="shared" si="22"/>
        <v>50</v>
      </c>
      <c r="H1403" s="389" t="s">
        <v>1558</v>
      </c>
      <c r="I1403" s="391" t="s">
        <v>498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4" t="str">
        <f>LEFT(base[[#This Row],[Evento / Mercado]],FIND("/",base[[#This Row],[Evento / Mercado]])-2)</f>
        <v>Universidad Católica del Ecuador vs Libertad FC</v>
      </c>
      <c r="T1403" s="1420">
        <f>base[[#This Row],[Data de liquidação]]</f>
        <v>46130.827326388891</v>
      </c>
    </row>
    <row r="1404" spans="2:22" ht="15" customHeight="1">
      <c r="B1404" s="777" t="s">
        <v>1592</v>
      </c>
      <c r="C1404" s="911" t="s">
        <v>3556</v>
      </c>
      <c r="D1404" s="1340">
        <v>46130.890879629631</v>
      </c>
      <c r="E1404" s="870">
        <v>47.75</v>
      </c>
      <c r="F1404" s="235">
        <v>4.4999999999999998E-2</v>
      </c>
      <c r="G1404" s="395">
        <f t="shared" si="22"/>
        <v>50</v>
      </c>
      <c r="H1404" s="389" t="s">
        <v>1558</v>
      </c>
      <c r="I1404" s="391" t="s">
        <v>1572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4" t="str">
        <f>LEFT(base[[#This Row],[Evento / Mercado]],FIND("/",base[[#This Row],[Evento / Mercado]])-2)</f>
        <v>FC Cincinnati vs Chicago Fire</v>
      </c>
      <c r="T1404" s="1420">
        <f>base[[#This Row],[Data de liquidação]]</f>
        <v>46130.890879629631</v>
      </c>
    </row>
    <row r="1405" spans="2:22" ht="15" customHeight="1">
      <c r="B1405" s="777" t="s">
        <v>1591</v>
      </c>
      <c r="C1405" s="911" t="s">
        <v>3556</v>
      </c>
      <c r="D1405" s="1340">
        <v>46130.907187500001</v>
      </c>
      <c r="E1405" s="870">
        <v>47.75</v>
      </c>
      <c r="F1405" s="235">
        <v>4.4999999999999998E-2</v>
      </c>
      <c r="G1405" s="395">
        <f t="shared" si="22"/>
        <v>50</v>
      </c>
      <c r="H1405" s="389" t="s">
        <v>1558</v>
      </c>
      <c r="I1405" s="391" t="s">
        <v>1572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4" t="str">
        <f>LEFT(base[[#This Row],[Evento / Mercado]],FIND("/",base[[#This Row],[Evento / Mercado]])-2)</f>
        <v>Club Deportes Santa Cruz vs Union San Felipe</v>
      </c>
      <c r="T1405" s="1420">
        <f>base[[#This Row],[Data de liquidação]]</f>
        <v>46130.907187500001</v>
      </c>
    </row>
    <row r="1406" spans="2:22" ht="15" customHeight="1">
      <c r="B1406" s="777" t="s">
        <v>1590</v>
      </c>
      <c r="C1406" s="911" t="s">
        <v>3556</v>
      </c>
      <c r="D1406" s="1340">
        <v>46130.912349537037</v>
      </c>
      <c r="E1406" s="870">
        <v>47.75</v>
      </c>
      <c r="F1406" s="235">
        <v>4.4999999999999998E-2</v>
      </c>
      <c r="G1406" s="395">
        <f t="shared" si="22"/>
        <v>50</v>
      </c>
      <c r="H1406" s="389" t="s">
        <v>1558</v>
      </c>
      <c r="I1406" s="391" t="s">
        <v>498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4" t="str">
        <f>LEFT(base[[#This Row],[Evento / Mercado]],FIND("/",base[[#This Row],[Evento / Mercado]])-2)</f>
        <v>New York City FC vs Charlotte FC</v>
      </c>
      <c r="T1406" s="1420">
        <f>base[[#This Row],[Data de liquidação]]</f>
        <v>46130.912349537037</v>
      </c>
    </row>
    <row r="1407" spans="2:22" ht="15" customHeight="1">
      <c r="B1407" s="777" t="s">
        <v>1589</v>
      </c>
      <c r="C1407" s="911" t="s">
        <v>3556</v>
      </c>
      <c r="D1407" s="1340">
        <v>46130.9372337963</v>
      </c>
      <c r="E1407" s="870">
        <v>47.75</v>
      </c>
      <c r="F1407" s="235">
        <v>4.4999999999999998E-2</v>
      </c>
      <c r="G1407" s="395">
        <f t="shared" si="22"/>
        <v>50</v>
      </c>
      <c r="H1407" s="389" t="s">
        <v>1558</v>
      </c>
      <c r="I1407" s="391" t="s">
        <v>498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4" t="str">
        <f>LEFT(base[[#This Row],[Evento / Mercado]],FIND("/",base[[#This Row],[Evento / Mercado]])-2)</f>
        <v>Cruzeiro vs Grêmio FBPA</v>
      </c>
      <c r="T1407" s="1420">
        <f>base[[#This Row],[Data de liquidação]]</f>
        <v>46130.9372337963</v>
      </c>
    </row>
    <row r="1408" spans="2:22" ht="15" customHeight="1">
      <c r="B1408" s="777" t="s">
        <v>1588</v>
      </c>
      <c r="C1408" s="911" t="s">
        <v>3556</v>
      </c>
      <c r="D1408" s="1340">
        <v>46130.937291666669</v>
      </c>
      <c r="E1408" s="870">
        <v>42.55</v>
      </c>
      <c r="F1408" s="235">
        <v>4.4999999999999998E-2</v>
      </c>
      <c r="G1408" s="395">
        <f t="shared" si="22"/>
        <v>44.554973821989527</v>
      </c>
      <c r="H1408" s="345" t="s">
        <v>179</v>
      </c>
      <c r="I1408" s="396" t="s">
        <v>1594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1370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4" t="str">
        <f>LEFT(base[[#This Row],[Evento / Mercado]],FIND("/",base[[#This Row],[Evento / Mercado]])-2)</f>
        <v>Cruzeiro vs Grêmio FBPA</v>
      </c>
      <c r="T1408" s="1420">
        <f>base[[#This Row],[Data de liquidação]]</f>
        <v>46130.937291666669</v>
      </c>
    </row>
    <row r="1409" spans="2:22" ht="15" customHeight="1">
      <c r="B1409" s="777" t="s">
        <v>1587</v>
      </c>
      <c r="C1409" s="911" t="s">
        <v>3556</v>
      </c>
      <c r="D1409" s="1340">
        <v>46130.958877314813</v>
      </c>
      <c r="E1409" s="870">
        <v>-65.38</v>
      </c>
      <c r="F1409" s="235">
        <v>4.4999999999999998E-2</v>
      </c>
      <c r="G1409" s="395">
        <f t="shared" si="22"/>
        <v>-65.38</v>
      </c>
      <c r="H1409" s="389" t="s">
        <v>1558</v>
      </c>
      <c r="I1409" s="391" t="s">
        <v>1572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4" t="str">
        <f>LEFT(base[[#This Row],[Evento / Mercado]],FIND("/",base[[#This Row],[Evento / Mercado]])-2)</f>
        <v>Minnesota United vs Portland Timbers</v>
      </c>
      <c r="T1409" s="1420">
        <f>base[[#This Row],[Data de liquidação]]</f>
        <v>46130.958877314813</v>
      </c>
    </row>
    <row r="1410" spans="2:22" ht="15" customHeight="1">
      <c r="B1410" s="777" t="s">
        <v>1586</v>
      </c>
      <c r="C1410" s="911" t="s">
        <v>3556</v>
      </c>
      <c r="D1410" s="1340">
        <v>46131.498495370368</v>
      </c>
      <c r="E1410" s="870">
        <v>-100</v>
      </c>
      <c r="F1410" s="235">
        <v>4.4999999999999998E-2</v>
      </c>
      <c r="G1410" s="395">
        <f t="shared" si="22"/>
        <v>-100</v>
      </c>
      <c r="H1410" s="385" t="s">
        <v>1555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1208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4" t="str">
        <f>LEFT(base[[#This Row],[Evento / Mercado]],FIND("/",base[[#This Row],[Evento / Mercado]])-2)</f>
        <v>AS Monaco vs AJ Auxerre</v>
      </c>
      <c r="T1410" s="142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77" t="s">
        <v>1586</v>
      </c>
      <c r="C1411" s="911" t="s">
        <v>3556</v>
      </c>
      <c r="D1411" s="1340">
        <v>46131.498495370368</v>
      </c>
      <c r="E1411" s="870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392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1208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4" t="str">
        <f>LEFT(base[[#This Row],[Evento / Mercado]],FIND("/",base[[#This Row],[Evento / Mercado]])-2)</f>
        <v>AS Monaco vs AJ Auxerre</v>
      </c>
      <c r="T1411" s="142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77" t="s">
        <v>1585</v>
      </c>
      <c r="C1412" s="911" t="s">
        <v>3556</v>
      </c>
      <c r="D1412" s="1340">
        <v>46131.59983796296</v>
      </c>
      <c r="E1412" s="870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628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1200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4" t="str">
        <f>LEFT(base[[#This Row],[Evento / Mercado]],FIND("/",base[[#This Row],[Evento / Mercado]])-2)</f>
        <v>FC Bayern München vs VfB Stuttgart</v>
      </c>
      <c r="T1412" s="1420">
        <f>base[[#This Row],[Data de liquidação]]</f>
        <v>46131.59983796296</v>
      </c>
    </row>
    <row r="1413" spans="2:22" ht="15" customHeight="1">
      <c r="B1413" s="777" t="s">
        <v>1584</v>
      </c>
      <c r="C1413" s="911" t="s">
        <v>3556</v>
      </c>
      <c r="D1413" s="1340">
        <v>46131.600474537037</v>
      </c>
      <c r="E1413" s="870">
        <v>19.489999999999998</v>
      </c>
      <c r="F1413" s="235">
        <v>4.4999999999999998E-2</v>
      </c>
      <c r="G1413" s="395">
        <f t="shared" si="23"/>
        <v>20.408376963350786</v>
      </c>
      <c r="H1413" s="385" t="s">
        <v>1555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1200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4" t="str">
        <f>LEFT(base[[#This Row],[Evento / Mercado]],FIND("/",base[[#This Row],[Evento / Mercado]])-2)</f>
        <v>FC Bayern München vs VfB Stuttgart</v>
      </c>
      <c r="T1413" s="1420">
        <f>base[[#This Row],[Data de liquidação]]</f>
        <v>46131.600474537037</v>
      </c>
    </row>
    <row r="1414" spans="2:22" ht="15" customHeight="1">
      <c r="B1414" s="777" t="s">
        <v>1583</v>
      </c>
      <c r="C1414" s="911" t="s">
        <v>3556</v>
      </c>
      <c r="D1414" s="1340">
        <v>46131.601076388892</v>
      </c>
      <c r="E1414" s="870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627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1201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4" t="str">
        <f>LEFT(base[[#This Row],[Evento / Mercado]],FIND("/",base[[#This Row],[Evento / Mercado]])-2)</f>
        <v>Manchester City vs Arsenal</v>
      </c>
      <c r="T1414" s="1420">
        <f>base[[#This Row],[Data de liquidação]]</f>
        <v>46131.601076388892</v>
      </c>
    </row>
    <row r="1415" spans="2:22" ht="15" customHeight="1">
      <c r="B1415" s="777" t="s">
        <v>1582</v>
      </c>
      <c r="C1415" s="911" t="s">
        <v>3556</v>
      </c>
      <c r="D1415" s="1340">
        <v>46131.853067129632</v>
      </c>
      <c r="E1415" s="870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392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1370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4" t="str">
        <f>LEFT(base[[#This Row],[Evento / Mercado]],FIND("/",base[[#This Row],[Evento / Mercado]])-2)</f>
        <v>Palmeiras vs Athlético Paranaense</v>
      </c>
      <c r="T1415" s="1420">
        <f>base[[#This Row],[Data de liquidação]]</f>
        <v>46131.853067129632</v>
      </c>
    </row>
    <row r="1416" spans="2:22" ht="15" customHeight="1">
      <c r="B1416" s="777" t="s">
        <v>1581</v>
      </c>
      <c r="C1416" s="911" t="s">
        <v>3556</v>
      </c>
      <c r="D1416" s="1340">
        <v>46131.881249999999</v>
      </c>
      <c r="E1416" s="870">
        <v>-62.68</v>
      </c>
      <c r="F1416" s="235">
        <v>4.4999999999999998E-2</v>
      </c>
      <c r="G1416" s="395">
        <f t="shared" si="23"/>
        <v>-62.68</v>
      </c>
      <c r="H1416" s="389" t="s">
        <v>1558</v>
      </c>
      <c r="I1416" s="391" t="s">
        <v>1572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4" t="str">
        <f>LEFT(base[[#This Row],[Evento / Mercado]],FIND("/",base[[#This Row],[Evento / Mercado]])-2)</f>
        <v>Flamengo vs Esporte Clube Bahia</v>
      </c>
      <c r="T1416" s="1420">
        <f>base[[#This Row],[Data de liquidação]]</f>
        <v>46131.881249999999</v>
      </c>
    </row>
    <row r="1417" spans="2:22" ht="15" customHeight="1">
      <c r="B1417" s="777" t="s">
        <v>1580</v>
      </c>
      <c r="C1417" s="911" t="s">
        <v>3556</v>
      </c>
      <c r="D1417" s="1340">
        <v>46131.890833333331</v>
      </c>
      <c r="E1417" s="870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392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1370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4" t="str">
        <f>LEFT(base[[#This Row],[Evento / Mercado]],FIND("/",base[[#This Row],[Evento / Mercado]])-2)</f>
        <v>Flamengo vs Esporte Clube Bahia</v>
      </c>
      <c r="T1417" s="1420">
        <f>base[[#This Row],[Data de liquidação]]</f>
        <v>46131.890833333331</v>
      </c>
    </row>
    <row r="1418" spans="2:22" ht="15" customHeight="1">
      <c r="B1418" s="777" t="s">
        <v>1579</v>
      </c>
      <c r="C1418" s="911" t="s">
        <v>3556</v>
      </c>
      <c r="D1418" s="1340">
        <v>46131.890914351854</v>
      </c>
      <c r="E1418" s="870">
        <v>47.75</v>
      </c>
      <c r="F1418" s="235">
        <v>4.4999999999999998E-2</v>
      </c>
      <c r="G1418" s="395">
        <f t="shared" si="23"/>
        <v>50</v>
      </c>
      <c r="H1418" s="389" t="s">
        <v>1558</v>
      </c>
      <c r="I1418" s="391" t="s">
        <v>498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4" t="str">
        <f>LEFT(base[[#This Row],[Evento / Mercado]],FIND("/",base[[#This Row],[Evento / Mercado]])-2)</f>
        <v>Los Angeles FC vs San Jose Earthquakes</v>
      </c>
      <c r="T1418" s="1420">
        <f>base[[#This Row],[Data de liquidação]]</f>
        <v>46131.890914351854</v>
      </c>
    </row>
    <row r="1419" spans="2:22" ht="15" customHeight="1">
      <c r="B1419" s="778" t="s">
        <v>1602</v>
      </c>
      <c r="C1419" s="911" t="s">
        <v>3556</v>
      </c>
      <c r="D1419" s="1341">
        <v>46132.483217592591</v>
      </c>
      <c r="E1419" s="871">
        <v>-82.35</v>
      </c>
      <c r="F1419" s="235">
        <v>4.4999999999999998E-2</v>
      </c>
      <c r="G1419" s="400">
        <f t="shared" si="23"/>
        <v>-82.35</v>
      </c>
      <c r="H1419" s="389" t="s">
        <v>1558</v>
      </c>
      <c r="I1419" s="391" t="s">
        <v>1572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4" t="str">
        <f>LEFT(base[[#This Row],[Evento / Mercado]],FIND("/",base[[#This Row],[Evento / Mercado]])-2)</f>
        <v>Cardiff City U21 vs Hull City U21</v>
      </c>
      <c r="T1419" s="1420">
        <f>base[[#This Row],[Data de liquidação]]</f>
        <v>46132.483217592591</v>
      </c>
    </row>
    <row r="1420" spans="2:22" ht="15" customHeight="1">
      <c r="B1420" s="778" t="s">
        <v>1601</v>
      </c>
      <c r="C1420" s="911" t="s">
        <v>3556</v>
      </c>
      <c r="D1420" s="1341">
        <v>46132.642743055556</v>
      </c>
      <c r="E1420" s="871">
        <v>-89.53</v>
      </c>
      <c r="F1420" s="235">
        <v>4.4999999999999998E-2</v>
      </c>
      <c r="G1420" s="400">
        <f t="shared" si="23"/>
        <v>-89.53</v>
      </c>
      <c r="H1420" s="389" t="s">
        <v>1558</v>
      </c>
      <c r="I1420" s="391" t="s">
        <v>498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4" t="str">
        <f>LEFT(base[[#This Row],[Evento / Mercado]],FIND("/",base[[#This Row],[Evento / Mercado]])-2)</f>
        <v>FK Lyn vs Sandnes Ulf</v>
      </c>
      <c r="T1420" s="1420">
        <f>base[[#This Row],[Data de liquidação]]</f>
        <v>46132.642743055556</v>
      </c>
    </row>
    <row r="1421" spans="2:22" ht="15" customHeight="1">
      <c r="B1421" s="778" t="s">
        <v>1600</v>
      </c>
      <c r="C1421" s="911" t="s">
        <v>3556</v>
      </c>
      <c r="D1421" s="1341">
        <v>46132.661134259259</v>
      </c>
      <c r="E1421" s="871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1662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1220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4" t="str">
        <f>LEFT(base[[#This Row],[Evento / Mercado]],FIND("/",base[[#This Row],[Evento / Mercado]])-2)</f>
        <v>FC Midtjylland vs AGF Aarhus</v>
      </c>
      <c r="T1421" s="1420">
        <f>base[[#This Row],[Data de liquidação]]</f>
        <v>46132.661134259259</v>
      </c>
    </row>
    <row r="1422" spans="2:22" ht="15" customHeight="1">
      <c r="B1422" s="778" t="s">
        <v>1599</v>
      </c>
      <c r="C1422" s="911" t="s">
        <v>3556</v>
      </c>
      <c r="D1422" s="1341">
        <v>46132.662037037036</v>
      </c>
      <c r="E1422" s="871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1662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1204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4" t="str">
        <f>LEFT(base[[#This Row],[Evento / Mercado]],FIND("/",base[[#This Row],[Evento / Mercado]])-2)</f>
        <v>Gazişehir Gaziantep F.K. vs Kayserispor</v>
      </c>
      <c r="T1422" s="1420">
        <f>base[[#This Row],[Data de liquidação]]</f>
        <v>46132.662037037036</v>
      </c>
    </row>
    <row r="1423" spans="2:22" ht="15" customHeight="1">
      <c r="B1423" s="778" t="s">
        <v>1598</v>
      </c>
      <c r="C1423" s="911" t="s">
        <v>3556</v>
      </c>
      <c r="D1423" s="1341">
        <v>46132.727453703701</v>
      </c>
      <c r="E1423" s="871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1662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1215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4" t="str">
        <f>LEFT(base[[#This Row],[Evento / Mercado]],FIND("/",base[[#This Row],[Evento / Mercado]])-2)</f>
        <v>Deportivo La Coruña vs Mirandés</v>
      </c>
      <c r="T1423" s="1420">
        <f>base[[#This Row],[Data de liquidação]]</f>
        <v>46132.727453703701</v>
      </c>
    </row>
    <row r="1424" spans="2:22" ht="15" customHeight="1">
      <c r="B1424" s="778" t="s">
        <v>1597</v>
      </c>
      <c r="C1424" s="911" t="s">
        <v>3556</v>
      </c>
      <c r="D1424" s="1341">
        <v>46132.822245370371</v>
      </c>
      <c r="E1424" s="871">
        <v>47.75</v>
      </c>
      <c r="F1424" s="235">
        <v>4.4999999999999998E-2</v>
      </c>
      <c r="G1424" s="400">
        <f t="shared" si="23"/>
        <v>50</v>
      </c>
      <c r="H1424" s="389" t="s">
        <v>1558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4" t="str">
        <f>LEFT(base[[#This Row],[Evento / Mercado]],FIND("/",base[[#This Row],[Evento / Mercado]])-2)</f>
        <v>Carabobo FC vs Anzoategui FC</v>
      </c>
      <c r="T1424" s="1420">
        <f>base[[#This Row],[Data de liquidação]]</f>
        <v>46132.822245370371</v>
      </c>
    </row>
    <row r="1425" spans="2:22" ht="15" customHeight="1">
      <c r="B1425" s="778" t="s">
        <v>1596</v>
      </c>
      <c r="C1425" s="911" t="s">
        <v>3556</v>
      </c>
      <c r="D1425" s="1341">
        <v>46132.93310185185</v>
      </c>
      <c r="E1425" s="871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1662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1603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4" t="str">
        <f>LEFT(base[[#This Row],[Evento / Mercado]],FIND("/",base[[#This Row],[Evento / Mercado]])-2)</f>
        <v>CA Peñarol vs Juventud de Las Piedras</v>
      </c>
      <c r="T1425" s="1420">
        <f>base[[#This Row],[Data de liquidação]]</f>
        <v>46132.93310185185</v>
      </c>
    </row>
    <row r="1426" spans="2:22" ht="15" customHeight="1">
      <c r="B1426" s="778" t="s">
        <v>1595</v>
      </c>
      <c r="C1426" s="911" t="s">
        <v>3556</v>
      </c>
      <c r="D1426" s="1341">
        <v>46132.933171296296</v>
      </c>
      <c r="E1426" s="871">
        <v>38.770000000000003</v>
      </c>
      <c r="F1426" s="235">
        <v>4.4999999999999998E-2</v>
      </c>
      <c r="G1426" s="400">
        <f t="shared" si="23"/>
        <v>40.596858638743463</v>
      </c>
      <c r="H1426" s="345" t="s">
        <v>179</v>
      </c>
      <c r="I1426" s="343" t="s">
        <v>392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1603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4" t="str">
        <f>LEFT(base[[#This Row],[Evento / Mercado]],FIND("/",base[[#This Row],[Evento / Mercado]])-2)</f>
        <v>CA Peñarol vs Juventud de Las Piedras</v>
      </c>
      <c r="T1426" s="1420">
        <f>base[[#This Row],[Data de liquidação]]</f>
        <v>46132.933171296296</v>
      </c>
    </row>
    <row r="1427" spans="2:22" ht="15" customHeight="1">
      <c r="B1427" s="779" t="s">
        <v>1612</v>
      </c>
      <c r="C1427" s="911" t="s">
        <v>3556</v>
      </c>
      <c r="D1427" s="1342">
        <v>46133.640949074077</v>
      </c>
      <c r="E1427" s="872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1662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1614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4" t="str">
        <f>LEFT(base[[#This Row],[Evento / Mercado]],FIND("/",base[[#This Row],[Evento / Mercado]])-2)</f>
        <v>FC Blau-Weiss Linz vs RZ Pellets WAC</v>
      </c>
      <c r="T1427" s="1420">
        <f>base[[#This Row],[Data de liquidação]]</f>
        <v>46133.640949074077</v>
      </c>
    </row>
    <row r="1428" spans="2:22" ht="15" customHeight="1">
      <c r="B1428" s="779" t="s">
        <v>1611</v>
      </c>
      <c r="C1428" s="911" t="s">
        <v>3556</v>
      </c>
      <c r="D1428" s="1342">
        <v>46133.685335648152</v>
      </c>
      <c r="E1428" s="872">
        <v>47.75</v>
      </c>
      <c r="F1428" s="235">
        <v>4.4999999999999998E-2</v>
      </c>
      <c r="G1428" s="404">
        <f t="shared" si="23"/>
        <v>50</v>
      </c>
      <c r="H1428" s="389" t="s">
        <v>1558</v>
      </c>
      <c r="I1428" s="391" t="s">
        <v>1572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4" t="str">
        <f>LEFT(base[[#This Row],[Evento / Mercado]],FIND("/",base[[#This Row],[Evento / Mercado]])-2)</f>
        <v>West Bromwich Albion vs Watford</v>
      </c>
      <c r="T1428" s="1420">
        <f>base[[#This Row],[Data de liquidação]]</f>
        <v>46133.685335648152</v>
      </c>
    </row>
    <row r="1429" spans="2:22" ht="15" customHeight="1">
      <c r="B1429" s="779" t="s">
        <v>1610</v>
      </c>
      <c r="C1429" s="911" t="s">
        <v>3556</v>
      </c>
      <c r="D1429" s="1342">
        <v>46133.704953703702</v>
      </c>
      <c r="E1429" s="872">
        <v>47.75</v>
      </c>
      <c r="F1429" s="235">
        <v>4.4999999999999998E-2</v>
      </c>
      <c r="G1429" s="404">
        <f t="shared" si="23"/>
        <v>50</v>
      </c>
      <c r="H1429" s="389" t="s">
        <v>1558</v>
      </c>
      <c r="I1429" s="391" t="s">
        <v>1572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4" t="str">
        <f>LEFT(base[[#This Row],[Evento / Mercado]],FIND("/",base[[#This Row],[Evento / Mercado]])-2)</f>
        <v>Leicester City vs Hull City</v>
      </c>
      <c r="T1429" s="1420">
        <f>base[[#This Row],[Data de liquidação]]</f>
        <v>46133.704953703702</v>
      </c>
    </row>
    <row r="1430" spans="2:22" ht="15" customHeight="1">
      <c r="B1430" s="779" t="s">
        <v>1609</v>
      </c>
      <c r="C1430" s="911" t="s">
        <v>3556</v>
      </c>
      <c r="D1430" s="1342">
        <v>46133.725937499999</v>
      </c>
      <c r="E1430" s="872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1662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1615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4" t="str">
        <f>LEFT(base[[#This Row],[Evento / Mercado]],FIND("/",base[[#This Row],[Evento / Mercado]])-2)</f>
        <v>Racing Genk vs Sporting de Charleroi</v>
      </c>
      <c r="T1430" s="1420">
        <f>base[[#This Row],[Data de liquidação]]</f>
        <v>46133.725937499999</v>
      </c>
    </row>
    <row r="1431" spans="2:22" ht="15" customHeight="1">
      <c r="B1431" s="779" t="s">
        <v>1608</v>
      </c>
      <c r="C1431" s="911" t="s">
        <v>3556</v>
      </c>
      <c r="D1431" s="1342">
        <v>46133.72761574074</v>
      </c>
      <c r="E1431" s="872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1662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1615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4" t="str">
        <f>LEFT(base[[#This Row],[Evento / Mercado]],FIND("/",base[[#This Row],[Evento / Mercado]])-2)</f>
        <v>Oud-Heverlee Leuven vs Westerlo</v>
      </c>
      <c r="T1431" s="1420">
        <f>base[[#This Row],[Data de liquidação]]</f>
        <v>46133.72761574074</v>
      </c>
    </row>
    <row r="1432" spans="2:22" ht="15" customHeight="1">
      <c r="B1432" s="779" t="s">
        <v>1607</v>
      </c>
      <c r="C1432" s="911" t="s">
        <v>3556</v>
      </c>
      <c r="D1432" s="1342">
        <v>46133.735671296294</v>
      </c>
      <c r="E1432" s="872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1662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1206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4" t="str">
        <f>LEFT(base[[#This Row],[Evento / Mercado]],FIND("/",base[[#This Row],[Evento / Mercado]])-2)</f>
        <v>Leicester City vs Hull City</v>
      </c>
      <c r="T1432" s="1420">
        <f>base[[#This Row],[Data de liquidação]]</f>
        <v>46133.735671296294</v>
      </c>
    </row>
    <row r="1433" spans="2:22" ht="15" customHeight="1">
      <c r="B1433" s="779" t="s">
        <v>1606</v>
      </c>
      <c r="C1433" s="911" t="s">
        <v>3556</v>
      </c>
      <c r="D1433" s="1342">
        <v>46133.742256944446</v>
      </c>
      <c r="E1433" s="872">
        <v>47.75</v>
      </c>
      <c r="F1433" s="235">
        <v>4.4999999999999998E-2</v>
      </c>
      <c r="G1433" s="404">
        <f t="shared" si="23"/>
        <v>50</v>
      </c>
      <c r="H1433" s="389" t="s">
        <v>1558</v>
      </c>
      <c r="I1433" s="391" t="s">
        <v>1572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4" t="str">
        <f>LEFT(base[[#This Row],[Evento / Mercado]],FIND("/",base[[#This Row],[Evento / Mercado]])-2)</f>
        <v>Real Madrid vs Deportivo Alaves</v>
      </c>
      <c r="T1433" s="1420">
        <f>base[[#This Row],[Data de liquidação]]</f>
        <v>46133.742256944446</v>
      </c>
    </row>
    <row r="1434" spans="2:22" ht="15" customHeight="1">
      <c r="B1434" s="779" t="s">
        <v>1605</v>
      </c>
      <c r="C1434" s="911" t="s">
        <v>3556</v>
      </c>
      <c r="D1434" s="1342">
        <v>46133.772812499999</v>
      </c>
      <c r="E1434" s="872">
        <v>27.589949999999998</v>
      </c>
      <c r="F1434" s="235">
        <v>4.4999999999999998E-2</v>
      </c>
      <c r="G1434" s="404">
        <f t="shared" si="23"/>
        <v>28.89</v>
      </c>
      <c r="H1434" s="345" t="s">
        <v>179</v>
      </c>
      <c r="I1434" s="343" t="s">
        <v>392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1202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4" t="str">
        <f>LEFT(base[[#This Row],[Evento / Mercado]],FIND("/",base[[#This Row],[Evento / Mercado]])-2)</f>
        <v>Real Madrid vs Deportivo Alaves</v>
      </c>
      <c r="T1434" s="142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79" t="s">
        <v>1605</v>
      </c>
      <c r="C1435" s="911" t="s">
        <v>3556</v>
      </c>
      <c r="D1435" s="1342">
        <v>46133.772812499999</v>
      </c>
      <c r="E1435" s="872">
        <v>14.04805</v>
      </c>
      <c r="F1435" s="235">
        <v>4.4999999999999998E-2</v>
      </c>
      <c r="G1435" s="404">
        <f t="shared" si="23"/>
        <v>14.71</v>
      </c>
      <c r="H1435" s="385" t="s">
        <v>1555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1202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4" t="str">
        <f>LEFT(base[[#This Row],[Evento / Mercado]],FIND("/",base[[#This Row],[Evento / Mercado]])-2)</f>
        <v>Real Madrid vs Deportivo Alaves</v>
      </c>
      <c r="T1435" s="142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80" t="s">
        <v>1613</v>
      </c>
      <c r="C1436" s="911" t="s">
        <v>3556</v>
      </c>
      <c r="D1436" s="1343">
        <v>46134.00953703704</v>
      </c>
      <c r="E1436" s="873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1662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1616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5" t="str">
        <f>LEFT(base[[#This Row],[Evento / Mercado]],FIND("/",base[[#This Row],[Evento / Mercado]])-2)</f>
        <v>Pumas UNAM vs FC Juárez</v>
      </c>
      <c r="T1436" s="1420">
        <f>base[[#This Row],[Data de liquidação]]</f>
        <v>46134.00953703704</v>
      </c>
    </row>
    <row r="1437" spans="2:22" ht="15" customHeight="1">
      <c r="B1437" s="781" t="s">
        <v>1661</v>
      </c>
      <c r="C1437" s="911" t="s">
        <v>3556</v>
      </c>
      <c r="D1437" s="1344">
        <v>46134.437708333331</v>
      </c>
      <c r="E1437" s="874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1662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4" t="str">
        <f>LEFT(base[[#This Row],[Evento / Mercado]],FIND("/",base[[#This Row],[Evento / Mercado]])-2)</f>
        <v>Liaoning Tieren F.C. vs Dalian Yingbo</v>
      </c>
      <c r="T1437" s="1420">
        <f>base[[#This Row],[Data de liquidação]]</f>
        <v>46134.437708333331</v>
      </c>
    </row>
    <row r="1438" spans="2:22" ht="15" customHeight="1">
      <c r="B1438" s="781" t="s">
        <v>1660</v>
      </c>
      <c r="C1438" s="911" t="s">
        <v>3556</v>
      </c>
      <c r="D1438" s="1344">
        <v>46134.571539351855</v>
      </c>
      <c r="E1438" s="874">
        <v>47.75</v>
      </c>
      <c r="F1438" s="408">
        <v>4.4999999999999998E-2</v>
      </c>
      <c r="G1438" s="413">
        <f t="shared" si="23"/>
        <v>50</v>
      </c>
      <c r="H1438" s="389" t="s">
        <v>1558</v>
      </c>
      <c r="I1438" s="391" t="s">
        <v>1572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4" t="str">
        <f>LEFT(base[[#This Row],[Evento / Mercado]],FIND("/",base[[#This Row],[Evento / Mercado]])-2)</f>
        <v>FC København vs Odense BK</v>
      </c>
      <c r="T1438" s="1420">
        <f>base[[#This Row],[Data de liquidação]]</f>
        <v>46134.571539351855</v>
      </c>
    </row>
    <row r="1439" spans="2:22" ht="15" customHeight="1">
      <c r="B1439" s="781" t="s">
        <v>1659</v>
      </c>
      <c r="C1439" s="911" t="s">
        <v>3556</v>
      </c>
      <c r="D1439" s="1344">
        <v>46134.637152777781</v>
      </c>
      <c r="E1439" s="874">
        <v>-84.26</v>
      </c>
      <c r="F1439" s="408">
        <v>4.4999999999999998E-2</v>
      </c>
      <c r="G1439" s="413">
        <f t="shared" si="23"/>
        <v>-84.26</v>
      </c>
      <c r="H1439" s="389" t="s">
        <v>1558</v>
      </c>
      <c r="I1439" s="391" t="s">
        <v>1572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4" t="str">
        <f>LEFT(base[[#This Row],[Evento / Mercado]],FIND("/",base[[#This Row],[Evento / Mercado]])-2)</f>
        <v>Hammarby IF vs Halmstads BK</v>
      </c>
      <c r="T1439" s="1420">
        <f>base[[#This Row],[Data de liquidação]]</f>
        <v>46134.637152777781</v>
      </c>
    </row>
    <row r="1440" spans="2:22" ht="15" customHeight="1">
      <c r="B1440" s="781" t="s">
        <v>1658</v>
      </c>
      <c r="C1440" s="911" t="s">
        <v>3556</v>
      </c>
      <c r="D1440" s="1344">
        <v>46134.668333333335</v>
      </c>
      <c r="E1440" s="874">
        <v>47.75</v>
      </c>
      <c r="F1440" s="408">
        <v>4.4999999999999998E-2</v>
      </c>
      <c r="G1440" s="413">
        <f t="shared" si="23"/>
        <v>50</v>
      </c>
      <c r="H1440" s="389" t="s">
        <v>1558</v>
      </c>
      <c r="I1440" s="391" t="s">
        <v>1572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4" t="str">
        <f>LEFT(base[[#This Row],[Evento / Mercado]],FIND("/",base[[#This Row],[Evento / Mercado]])-2)</f>
        <v>Istra 1961 vs Dinamo Zagreb</v>
      </c>
      <c r="T1440" s="1420">
        <f>base[[#This Row],[Data de liquidação]]</f>
        <v>46134.668333333335</v>
      </c>
    </row>
    <row r="1441" spans="2:22" ht="15" customHeight="1">
      <c r="B1441" s="781" t="s">
        <v>1657</v>
      </c>
      <c r="C1441" s="911" t="s">
        <v>3556</v>
      </c>
      <c r="D1441" s="1344">
        <v>46134.681979166664</v>
      </c>
      <c r="E1441" s="874">
        <v>2.99</v>
      </c>
      <c r="F1441" s="408">
        <v>4.4999999999999998E-2</v>
      </c>
      <c r="G1441" s="413">
        <f t="shared" si="23"/>
        <v>3.1308900523560212</v>
      </c>
      <c r="H1441" s="419" t="s">
        <v>1666</v>
      </c>
      <c r="I1441" s="415" t="s">
        <v>1715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4" t="str">
        <f>LEFT(base[[#This Row],[Evento / Mercado]],FIND("/",base[[#This Row],[Evento / Mercado]])-2)</f>
        <v>FC Yverdon-Sport vs Neuchâtel Xamax</v>
      </c>
      <c r="T1441" s="1420">
        <f>base[[#This Row],[Data de liquidação]]</f>
        <v>46134.681979166664</v>
      </c>
    </row>
    <row r="1442" spans="2:22" ht="15" customHeight="1">
      <c r="B1442" s="781" t="s">
        <v>1656</v>
      </c>
      <c r="C1442" s="911" t="s">
        <v>3556</v>
      </c>
      <c r="D1442" s="1344">
        <v>46134.70416666667</v>
      </c>
      <c r="E1442" s="874">
        <v>3.98</v>
      </c>
      <c r="F1442" s="408">
        <v>4.4999999999999998E-2</v>
      </c>
      <c r="G1442" s="413">
        <f t="shared" si="23"/>
        <v>4.167539267015707</v>
      </c>
      <c r="H1442" s="419" t="s">
        <v>1666</v>
      </c>
      <c r="I1442" s="415" t="s">
        <v>1715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4" t="str">
        <f>LEFT(base[[#This Row],[Evento / Mercado]],FIND("/",base[[#This Row],[Evento / Mercado]])-2)</f>
        <v>Viborg FF vs Brøndby IF</v>
      </c>
      <c r="T1442" s="1420">
        <f>base[[#This Row],[Data de liquidação]]</f>
        <v>46134.70416666667</v>
      </c>
    </row>
    <row r="1443" spans="2:22" ht="15" customHeight="1">
      <c r="B1443" s="781" t="s">
        <v>1655</v>
      </c>
      <c r="C1443" s="911" t="s">
        <v>3556</v>
      </c>
      <c r="D1443" s="1344">
        <v>46134.704652777778</v>
      </c>
      <c r="E1443" s="874">
        <v>-79.319999999999993</v>
      </c>
      <c r="F1443" s="408">
        <v>4.4999999999999998E-2</v>
      </c>
      <c r="G1443" s="413">
        <f t="shared" si="23"/>
        <v>-79.319999999999993</v>
      </c>
      <c r="H1443" s="389" t="s">
        <v>1558</v>
      </c>
      <c r="I1443" s="411" t="s">
        <v>498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4" t="str">
        <f>LEFT(base[[#This Row],[Evento / Mercado]],FIND("/",base[[#This Row],[Evento / Mercado]])-2)</f>
        <v>Viborg FF vs Brøndby IF</v>
      </c>
      <c r="T1443" s="1420">
        <f>base[[#This Row],[Data de liquidação]]</f>
        <v>46134.704652777778</v>
      </c>
    </row>
    <row r="1444" spans="2:22" ht="15" customHeight="1">
      <c r="B1444" s="781" t="s">
        <v>1654</v>
      </c>
      <c r="C1444" s="911" t="s">
        <v>3556</v>
      </c>
      <c r="D1444" s="1344">
        <v>46134.73574074074</v>
      </c>
      <c r="E1444" s="874">
        <v>-89.91</v>
      </c>
      <c r="F1444" s="408">
        <v>4.4999999999999998E-2</v>
      </c>
      <c r="G1444" s="413">
        <f t="shared" si="23"/>
        <v>-89.91</v>
      </c>
      <c r="H1444" s="389" t="s">
        <v>1558</v>
      </c>
      <c r="I1444" s="391" t="s">
        <v>1572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4" t="str">
        <f>LEFT(base[[#This Row],[Evento / Mercado]],FIND("/",base[[#This Row],[Evento / Mercado]])-2)</f>
        <v>Middlesbrough vs Sheffield Wednesday</v>
      </c>
      <c r="T1444" s="1420">
        <f>base[[#This Row],[Data de liquidação]]</f>
        <v>46134.73574074074</v>
      </c>
    </row>
    <row r="1445" spans="2:22" ht="15" customHeight="1">
      <c r="B1445" s="781" t="s">
        <v>1653</v>
      </c>
      <c r="C1445" s="911" t="s">
        <v>3556</v>
      </c>
      <c r="D1445" s="1344">
        <v>46134.736956018518</v>
      </c>
      <c r="E1445" s="874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693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1200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4" t="str">
        <f>LEFT(base[[#This Row],[Evento / Mercado]],FIND("/",base[[#This Row],[Evento / Mercado]])-2)</f>
        <v>Bayer 04 Leverkusen vs FC Bayern München</v>
      </c>
      <c r="T1445" s="1420">
        <f>base[[#This Row],[Data de liquidação]]</f>
        <v>46134.736956018518</v>
      </c>
    </row>
    <row r="1446" spans="2:22" ht="15" customHeight="1">
      <c r="B1446" s="781" t="s">
        <v>1652</v>
      </c>
      <c r="C1446" s="911" t="s">
        <v>3556</v>
      </c>
      <c r="D1446" s="1344">
        <v>46134.737696759257</v>
      </c>
      <c r="E1446" s="874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392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1200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4" t="str">
        <f>LEFT(base[[#This Row],[Evento / Mercado]],FIND("/",base[[#This Row],[Evento / Mercado]])-2)</f>
        <v>Bayer 04 Leverkusen vs FC Bayern München</v>
      </c>
      <c r="T1446" s="142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81" t="s">
        <v>1652</v>
      </c>
      <c r="C1447" s="911" t="s">
        <v>3556</v>
      </c>
      <c r="D1447" s="1344">
        <v>46134.737696759257</v>
      </c>
      <c r="E1447" s="874">
        <v>22.738549999999996</v>
      </c>
      <c r="F1447" s="408">
        <v>4.4999999999999998E-2</v>
      </c>
      <c r="G1447" s="413">
        <f t="shared" si="23"/>
        <v>23.81</v>
      </c>
      <c r="H1447" s="413" t="s">
        <v>1555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4" t="str">
        <f>LEFT(base[[#This Row],[Evento / Mercado]],FIND("/",base[[#This Row],[Evento / Mercado]])-2)</f>
        <v>Bayer 04 Leverkusen vs FC Bayern München</v>
      </c>
      <c r="T1447" s="142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81" t="s">
        <v>1651</v>
      </c>
      <c r="C1448" s="911" t="s">
        <v>3556</v>
      </c>
      <c r="D1448" s="1344">
        <v>46134.745439814818</v>
      </c>
      <c r="E1448" s="874">
        <v>18.87</v>
      </c>
      <c r="F1448" s="408">
        <v>4.4999999999999998E-2</v>
      </c>
      <c r="G1448" s="413">
        <f t="shared" si="23"/>
        <v>19.759162303664922</v>
      </c>
      <c r="H1448" s="413" t="s">
        <v>179</v>
      </c>
      <c r="I1448" s="411" t="s">
        <v>391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1201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4" t="str">
        <f>LEFT(base[[#This Row],[Evento / Mercado]],FIND("/",base[[#This Row],[Evento / Mercado]])-2)</f>
        <v>Burnley vs Manchester City</v>
      </c>
      <c r="T1448" s="1420">
        <f>base[[#This Row],[Data de liquidação]]</f>
        <v>46134.745439814818</v>
      </c>
    </row>
    <row r="1449" spans="2:22" ht="15" customHeight="1">
      <c r="B1449" s="781" t="s">
        <v>1650</v>
      </c>
      <c r="C1449" s="911" t="s">
        <v>3556</v>
      </c>
      <c r="D1449" s="1344">
        <v>46134.782650462963</v>
      </c>
      <c r="E1449" s="874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628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1202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4" t="str">
        <f>LEFT(base[[#This Row],[Evento / Mercado]],FIND("/",base[[#This Row],[Evento / Mercado]])-2)</f>
        <v>FC Barcelona vs Celta de Vigo</v>
      </c>
      <c r="T1449" s="1420">
        <f>base[[#This Row],[Data de liquidação]]</f>
        <v>46134.782650462963</v>
      </c>
    </row>
    <row r="1450" spans="2:22" ht="15" customHeight="1">
      <c r="B1450" s="781" t="s">
        <v>1649</v>
      </c>
      <c r="C1450" s="911" t="s">
        <v>3556</v>
      </c>
      <c r="D1450" s="1344">
        <v>46134.783113425925</v>
      </c>
      <c r="E1450" s="874">
        <v>36.03</v>
      </c>
      <c r="F1450" s="408">
        <v>4.4999999999999998E-2</v>
      </c>
      <c r="G1450" s="413">
        <f t="shared" si="23"/>
        <v>37.727748691099478</v>
      </c>
      <c r="H1450" s="413" t="s">
        <v>179</v>
      </c>
      <c r="I1450" s="411" t="s">
        <v>392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1202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4" t="str">
        <f>LEFT(base[[#This Row],[Evento / Mercado]],FIND("/",base[[#This Row],[Evento / Mercado]])-2)</f>
        <v>FC Barcelona vs Celta de Vigo</v>
      </c>
      <c r="T1450" s="1420">
        <f>base[[#This Row],[Data de liquidação]]</f>
        <v>46134.783113425925</v>
      </c>
    </row>
    <row r="1451" spans="2:22" ht="15" customHeight="1">
      <c r="B1451" s="781" t="s">
        <v>1648</v>
      </c>
      <c r="C1451" s="911" t="s">
        <v>3556</v>
      </c>
      <c r="D1451" s="1344">
        <v>46134.98369212963</v>
      </c>
      <c r="E1451" s="874">
        <v>2.17</v>
      </c>
      <c r="F1451" s="408">
        <v>4.4999999999999998E-2</v>
      </c>
      <c r="G1451" s="413">
        <f t="shared" si="23"/>
        <v>2.2722513089005236</v>
      </c>
      <c r="H1451" s="419" t="s">
        <v>1666</v>
      </c>
      <c r="I1451" s="415" t="s">
        <v>1715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4" t="str">
        <f>LEFT(base[[#This Row],[Evento / Mercado]],FIND("/",base[[#This Row],[Evento / Mercado]])-2)</f>
        <v>FC Dallas vs Minnesota United</v>
      </c>
      <c r="T1451" s="1420">
        <f>base[[#This Row],[Data de liquidação]]</f>
        <v>46134.98369212963</v>
      </c>
    </row>
    <row r="1452" spans="2:22" ht="15" customHeight="1">
      <c r="B1452" s="781" t="s">
        <v>1647</v>
      </c>
      <c r="C1452" s="911" t="s">
        <v>3556</v>
      </c>
      <c r="D1452" s="1344">
        <v>46134.984849537039</v>
      </c>
      <c r="E1452" s="874">
        <v>2.0699999999999998</v>
      </c>
      <c r="F1452" s="408">
        <v>4.4999999999999998E-2</v>
      </c>
      <c r="G1452" s="413">
        <f t="shared" si="23"/>
        <v>2.1675392670157065</v>
      </c>
      <c r="H1452" s="419" t="s">
        <v>1666</v>
      </c>
      <c r="I1452" s="415" t="s">
        <v>1715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4" t="str">
        <f>LEFT(base[[#This Row],[Evento / Mercado]],FIND("/",base[[#This Row],[Evento / Mercado]])-2)</f>
        <v>Houston Dynamo vs San Diego FC</v>
      </c>
      <c r="T1452" s="1420">
        <f>base[[#This Row],[Data de liquidação]]</f>
        <v>46134.984849537039</v>
      </c>
    </row>
    <row r="1453" spans="2:22" ht="15" customHeight="1">
      <c r="B1453" s="781" t="s">
        <v>1646</v>
      </c>
      <c r="C1453" s="911" t="s">
        <v>3556</v>
      </c>
      <c r="D1453" s="1344">
        <v>46134.991747685184</v>
      </c>
      <c r="E1453" s="874">
        <v>-72.150000000000006</v>
      </c>
      <c r="F1453" s="408">
        <v>4.4999999999999998E-2</v>
      </c>
      <c r="G1453" s="413">
        <f t="shared" si="23"/>
        <v>-72.150000000000006</v>
      </c>
      <c r="H1453" s="389" t="s">
        <v>1558</v>
      </c>
      <c r="I1453" s="411" t="s">
        <v>498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4" t="str">
        <f>LEFT(base[[#This Row],[Evento / Mercado]],FIND("/",base[[#This Row],[Evento / Mercado]])-2)</f>
        <v>Atlético San Luis vs Santos Laguna</v>
      </c>
      <c r="T1453" s="1420">
        <f>base[[#This Row],[Data de liquidação]]</f>
        <v>46134.991747685184</v>
      </c>
    </row>
    <row r="1454" spans="2:22" ht="15" customHeight="1">
      <c r="B1454" s="781" t="s">
        <v>1645</v>
      </c>
      <c r="C1454" s="911" t="s">
        <v>3556</v>
      </c>
      <c r="D1454" s="1344">
        <v>46135.000451388885</v>
      </c>
      <c r="E1454" s="874">
        <v>3.08</v>
      </c>
      <c r="F1454" s="408">
        <v>4.4999999999999998E-2</v>
      </c>
      <c r="G1454" s="413">
        <f t="shared" si="23"/>
        <v>3.2251308900523563</v>
      </c>
      <c r="H1454" s="419" t="s">
        <v>1666</v>
      </c>
      <c r="I1454" s="415" t="s">
        <v>1715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4" t="str">
        <f>LEFT(base[[#This Row],[Evento / Mercado]],FIND("/",base[[#This Row],[Evento / Mercado]])-2)</f>
        <v>Atlético San Luis vs Santos Laguna</v>
      </c>
      <c r="T1454" s="1420">
        <f>base[[#This Row],[Data de liquidação]]</f>
        <v>46135.000451388885</v>
      </c>
    </row>
    <row r="1455" spans="2:22" ht="15" customHeight="1">
      <c r="B1455" s="781" t="s">
        <v>1644</v>
      </c>
      <c r="C1455" s="911" t="s">
        <v>3556</v>
      </c>
      <c r="D1455" s="1344">
        <v>46135.041539351849</v>
      </c>
      <c r="E1455" s="874">
        <v>1.91</v>
      </c>
      <c r="F1455" s="408">
        <v>4.4999999999999998E-2</v>
      </c>
      <c r="G1455" s="413">
        <f t="shared" si="23"/>
        <v>2</v>
      </c>
      <c r="H1455" s="417" t="s">
        <v>1666</v>
      </c>
      <c r="I1455" s="415" t="s">
        <v>1558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4" t="str">
        <f>LEFT(base[[#This Row],[Evento / Mercado]],FIND("/",base[[#This Row],[Evento / Mercado]])-2)</f>
        <v>San Jose Earthquakes vs Austin FC</v>
      </c>
      <c r="T1455" s="1420">
        <f>base[[#This Row],[Data de liquidação]]</f>
        <v>46135.041539351849</v>
      </c>
    </row>
    <row r="1456" spans="2:22" ht="15" customHeight="1">
      <c r="B1456" s="781" t="s">
        <v>1643</v>
      </c>
      <c r="C1456" s="911" t="s">
        <v>3556</v>
      </c>
      <c r="D1456" s="1344">
        <v>46135.606585648151</v>
      </c>
      <c r="E1456" s="874">
        <v>-1.47</v>
      </c>
      <c r="F1456" s="408">
        <v>4.4999999999999998E-2</v>
      </c>
      <c r="G1456" s="413">
        <f t="shared" si="23"/>
        <v>-1.47</v>
      </c>
      <c r="H1456" s="417" t="s">
        <v>1666</v>
      </c>
      <c r="I1456" s="415" t="s">
        <v>1558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4" t="str">
        <f>LEFT(base[[#This Row],[Evento / Mercado]],FIND("/",base[[#This Row],[Evento / Mercado]])-2)</f>
        <v>Al Najma Club vs Al-Taawoun Buraidah</v>
      </c>
      <c r="T1456" s="1420">
        <f>base[[#This Row],[Data de liquidação]]</f>
        <v>46135.606585648151</v>
      </c>
    </row>
    <row r="1457" spans="2:20" ht="15" customHeight="1">
      <c r="B1457" s="781" t="s">
        <v>1642</v>
      </c>
      <c r="C1457" s="911" t="s">
        <v>3556</v>
      </c>
      <c r="D1457" s="1344">
        <v>46135.618668981479</v>
      </c>
      <c r="E1457" s="874">
        <v>2.65</v>
      </c>
      <c r="F1457" s="408">
        <v>4.4999999999999998E-2</v>
      </c>
      <c r="G1457" s="413">
        <f t="shared" si="23"/>
        <v>2.7748691099476441</v>
      </c>
      <c r="H1457" s="419" t="s">
        <v>1666</v>
      </c>
      <c r="I1457" s="415" t="s">
        <v>1715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4" t="str">
        <f>LEFT(base[[#This Row],[Evento / Mercado]],FIND("/",base[[#This Row],[Evento / Mercado]])-2)</f>
        <v>Randers FC vs FC Fredericia</v>
      </c>
      <c r="T1457" s="1420">
        <f>base[[#This Row],[Data de liquidação]]</f>
        <v>46135.618668981479</v>
      </c>
    </row>
    <row r="1458" spans="2:20" ht="15" customHeight="1">
      <c r="B1458" s="781" t="s">
        <v>1641</v>
      </c>
      <c r="C1458" s="911" t="s">
        <v>3556</v>
      </c>
      <c r="D1458" s="1344">
        <v>46135.620289351849</v>
      </c>
      <c r="E1458" s="874">
        <v>1.99</v>
      </c>
      <c r="F1458" s="408">
        <v>4.4999999999999998E-2</v>
      </c>
      <c r="G1458" s="413">
        <f t="shared" si="23"/>
        <v>2.0837696335078535</v>
      </c>
      <c r="H1458" s="419" t="s">
        <v>1666</v>
      </c>
      <c r="I1458" s="415" t="s">
        <v>1715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4" t="str">
        <f>LEFT(base[[#This Row],[Evento / Mercado]],FIND("/",base[[#This Row],[Evento / Mercado]])-2)</f>
        <v>FC Nordsjælland vs AGF Aarhus</v>
      </c>
      <c r="T1458" s="1420">
        <f>base[[#This Row],[Data de liquidação]]</f>
        <v>46135.620289351849</v>
      </c>
    </row>
    <row r="1459" spans="2:20" ht="15" customHeight="1">
      <c r="B1459" s="781" t="s">
        <v>1640</v>
      </c>
      <c r="C1459" s="911" t="s">
        <v>3556</v>
      </c>
      <c r="D1459" s="1344">
        <v>46135.636331018519</v>
      </c>
      <c r="E1459" s="874">
        <v>-0.95</v>
      </c>
      <c r="F1459" s="408">
        <v>4.4999999999999998E-2</v>
      </c>
      <c r="G1459" s="413">
        <f t="shared" si="23"/>
        <v>-0.95</v>
      </c>
      <c r="H1459" s="417" t="s">
        <v>1666</v>
      </c>
      <c r="I1459" s="415" t="s">
        <v>1558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4" t="str">
        <f>LEFT(base[[#This Row],[Evento / Mercado]],FIND("/",base[[#This Row],[Evento / Mercado]])-2)</f>
        <v>Malmö FF vs IK Sirius</v>
      </c>
      <c r="T1459" s="1420">
        <f>base[[#This Row],[Data de liquidação]]</f>
        <v>46135.636331018519</v>
      </c>
    </row>
    <row r="1460" spans="2:20" ht="15" customHeight="1">
      <c r="B1460" s="781" t="s">
        <v>1639</v>
      </c>
      <c r="C1460" s="911" t="s">
        <v>3556</v>
      </c>
      <c r="D1460" s="1344">
        <v>46135.66547453704</v>
      </c>
      <c r="E1460" s="874">
        <v>1.64</v>
      </c>
      <c r="F1460" s="408">
        <v>4.4999999999999998E-2</v>
      </c>
      <c r="G1460" s="413">
        <f t="shared" si="23"/>
        <v>1.7172774869109948</v>
      </c>
      <c r="H1460" s="419" t="s">
        <v>1666</v>
      </c>
      <c r="I1460" s="415" t="s">
        <v>1715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4" t="str">
        <f>LEFT(base[[#This Row],[Evento / Mercado]],FIND("/",base[[#This Row],[Evento / Mercado]])-2)</f>
        <v>Malmö FF vs IK Sirius</v>
      </c>
      <c r="T1460" s="1420">
        <f>base[[#This Row],[Data de liquidação]]</f>
        <v>46135.66547453704</v>
      </c>
    </row>
    <row r="1461" spans="2:20" ht="15" customHeight="1">
      <c r="B1461" s="781" t="s">
        <v>1638</v>
      </c>
      <c r="C1461" s="911" t="s">
        <v>3556</v>
      </c>
      <c r="D1461" s="1344">
        <v>46135.714884259258</v>
      </c>
      <c r="E1461" s="874">
        <v>1.91</v>
      </c>
      <c r="F1461" s="408">
        <v>4.4999999999999998E-2</v>
      </c>
      <c r="G1461" s="413">
        <f t="shared" si="23"/>
        <v>2</v>
      </c>
      <c r="H1461" s="417" t="s">
        <v>1666</v>
      </c>
      <c r="I1461" s="415" t="s">
        <v>1558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4" t="str">
        <f>LEFT(base[[#This Row],[Evento / Mercado]],FIND("/",base[[#This Row],[Evento / Mercado]])-2)</f>
        <v>PSV Eindhoven vs PEC Zwolle</v>
      </c>
      <c r="T1461" s="1420">
        <f>base[[#This Row],[Data de liquidação]]</f>
        <v>46135.714884259258</v>
      </c>
    </row>
    <row r="1462" spans="2:20" ht="15" customHeight="1">
      <c r="B1462" s="781" t="s">
        <v>1637</v>
      </c>
      <c r="C1462" s="911" t="s">
        <v>3556</v>
      </c>
      <c r="D1462" s="1344">
        <v>46135.748379629629</v>
      </c>
      <c r="E1462" s="874">
        <v>1.64</v>
      </c>
      <c r="F1462" s="408">
        <v>4.4999999999999998E-2</v>
      </c>
      <c r="G1462" s="413">
        <f t="shared" si="23"/>
        <v>1.7172774869109948</v>
      </c>
      <c r="H1462" s="419" t="s">
        <v>1666</v>
      </c>
      <c r="I1462" s="415" t="s">
        <v>1715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4" t="str">
        <f>LEFT(base[[#This Row],[Evento / Mercado]],FIND("/",base[[#This Row],[Evento / Mercado]])-2)</f>
        <v>Salford City vs Bromley</v>
      </c>
      <c r="T1462" s="1420">
        <f>base[[#This Row],[Data de liquidação]]</f>
        <v>46135.748379629629</v>
      </c>
    </row>
    <row r="1463" spans="2:20" ht="15" customHeight="1">
      <c r="B1463" s="781" t="s">
        <v>1636</v>
      </c>
      <c r="C1463" s="911" t="s">
        <v>3556</v>
      </c>
      <c r="D1463" s="1344">
        <v>46136.434374999997</v>
      </c>
      <c r="E1463" s="874">
        <v>-1.17</v>
      </c>
      <c r="F1463" s="408">
        <v>4.4999999999999998E-2</v>
      </c>
      <c r="G1463" s="413">
        <f t="shared" si="23"/>
        <v>-1.17</v>
      </c>
      <c r="H1463" s="417" t="s">
        <v>1666</v>
      </c>
      <c r="I1463" s="415" t="s">
        <v>1558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4" t="str">
        <f>LEFT(base[[#This Row],[Evento / Mercado]],FIND("/",base[[#This Row],[Evento / Mercado]])-2)</f>
        <v>Sukhothai FC vs Ratchaburi</v>
      </c>
      <c r="T1463" s="1420">
        <f>base[[#This Row],[Data de liquidação]]</f>
        <v>46136.434374999997</v>
      </c>
    </row>
    <row r="1464" spans="2:20" ht="15" customHeight="1">
      <c r="B1464" s="781" t="s">
        <v>1635</v>
      </c>
      <c r="C1464" s="911" t="s">
        <v>3556</v>
      </c>
      <c r="D1464" s="1344">
        <v>46136.458715277775</v>
      </c>
      <c r="E1464" s="874">
        <v>-79.58</v>
      </c>
      <c r="F1464" s="408">
        <v>4.4999999999999998E-2</v>
      </c>
      <c r="G1464" s="413">
        <f t="shared" si="23"/>
        <v>-79.58</v>
      </c>
      <c r="H1464" s="389" t="s">
        <v>1558</v>
      </c>
      <c r="I1464" s="411" t="s">
        <v>498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4" t="str">
        <f>LEFT(base[[#This Row],[Evento / Mercado]],FIND("/",base[[#This Row],[Evento / Mercado]])-2)</f>
        <v>Persib Bandung vs Arema</v>
      </c>
      <c r="T1464" s="1420">
        <f>base[[#This Row],[Data de liquidação]]</f>
        <v>46136.458715277775</v>
      </c>
    </row>
    <row r="1465" spans="2:20" ht="15" customHeight="1">
      <c r="B1465" s="781" t="s">
        <v>1634</v>
      </c>
      <c r="C1465" s="911" t="s">
        <v>3556</v>
      </c>
      <c r="D1465" s="1344">
        <v>46136.573321759257</v>
      </c>
      <c r="E1465" s="874">
        <v>47.75</v>
      </c>
      <c r="F1465" s="408">
        <v>4.4999999999999998E-2</v>
      </c>
      <c r="G1465" s="413">
        <f t="shared" si="23"/>
        <v>50</v>
      </c>
      <c r="H1465" s="389" t="s">
        <v>1558</v>
      </c>
      <c r="I1465" s="411" t="s">
        <v>1572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4" t="str">
        <f>LEFT(base[[#This Row],[Evento / Mercado]],FIND("/",base[[#This Row],[Evento / Mercado]])-2)</f>
        <v>Ústí nad Labem vs FK Viktoria Žižkov</v>
      </c>
      <c r="T1465" s="1420">
        <f>base[[#This Row],[Data de liquidação]]</f>
        <v>46136.573321759257</v>
      </c>
    </row>
    <row r="1466" spans="2:20" ht="15" customHeight="1">
      <c r="B1466" s="781" t="s">
        <v>1633</v>
      </c>
      <c r="C1466" s="911" t="s">
        <v>3556</v>
      </c>
      <c r="D1466" s="1344">
        <v>46136.589837962965</v>
      </c>
      <c r="E1466" s="874">
        <v>47.75</v>
      </c>
      <c r="F1466" s="408">
        <v>4.4999999999999998E-2</v>
      </c>
      <c r="G1466" s="413">
        <f t="shared" si="23"/>
        <v>50</v>
      </c>
      <c r="H1466" s="389" t="s">
        <v>1558</v>
      </c>
      <c r="I1466" s="411" t="s">
        <v>1572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4" t="str">
        <f>LEFT(base[[#This Row],[Evento / Mercado]],FIND("/",base[[#This Row],[Evento / Mercado]])-2)</f>
        <v>SJK vs FF Jaro</v>
      </c>
      <c r="T1466" s="1420">
        <f>base[[#This Row],[Data de liquidação]]</f>
        <v>46136.589837962965</v>
      </c>
    </row>
    <row r="1467" spans="2:20" ht="15" customHeight="1">
      <c r="B1467" s="781" t="s">
        <v>1632</v>
      </c>
      <c r="C1467" s="911" t="s">
        <v>3556</v>
      </c>
      <c r="D1467" s="1344">
        <v>46136.59648148148</v>
      </c>
      <c r="E1467" s="874">
        <v>-71.25</v>
      </c>
      <c r="F1467" s="408">
        <v>4.4999999999999998E-2</v>
      </c>
      <c r="G1467" s="413">
        <f t="shared" si="23"/>
        <v>-71.25</v>
      </c>
      <c r="H1467" s="389" t="s">
        <v>1558</v>
      </c>
      <c r="I1467" s="411" t="s">
        <v>1572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4" t="str">
        <f>LEFT(base[[#This Row],[Evento / Mercado]],FIND("/",base[[#This Row],[Evento / Mercado]])-2)</f>
        <v>Zaglebie Lubin vs Termalica Bruk-Bet Nieciecza</v>
      </c>
      <c r="T1467" s="1420">
        <f>base[[#This Row],[Data de liquidação]]</f>
        <v>46136.59648148148</v>
      </c>
    </row>
    <row r="1468" spans="2:20" ht="15" customHeight="1">
      <c r="B1468" s="781" t="s">
        <v>1632</v>
      </c>
      <c r="C1468" s="911" t="s">
        <v>3556</v>
      </c>
      <c r="D1468" s="1344">
        <v>46136.59648148148</v>
      </c>
      <c r="E1468" s="874">
        <v>-1.44</v>
      </c>
      <c r="F1468" s="408">
        <v>4.4999999999999998E-2</v>
      </c>
      <c r="G1468" s="413">
        <f t="shared" si="23"/>
        <v>-1.44</v>
      </c>
      <c r="H1468" s="417" t="s">
        <v>1666</v>
      </c>
      <c r="I1468" s="415" t="s">
        <v>1558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4" t="str">
        <f>LEFT(base[[#This Row],[Evento / Mercado]],FIND("/",base[[#This Row],[Evento / Mercado]])-2)</f>
        <v>Zaglebie Lubin vs Termalica Bruk-Bet Nieciecza</v>
      </c>
      <c r="T1468" s="1420">
        <f>base[[#This Row],[Data de liquidação]]</f>
        <v>46136.59648148148</v>
      </c>
    </row>
    <row r="1469" spans="2:20" ht="15" customHeight="1">
      <c r="B1469" s="781" t="s">
        <v>1631</v>
      </c>
      <c r="C1469" s="911" t="s">
        <v>3556</v>
      </c>
      <c r="D1469" s="1344">
        <v>46136.597071759257</v>
      </c>
      <c r="E1469" s="874">
        <v>1.91</v>
      </c>
      <c r="F1469" s="408">
        <v>4.4999999999999998E-2</v>
      </c>
      <c r="G1469" s="413">
        <f t="shared" si="23"/>
        <v>2</v>
      </c>
      <c r="H1469" s="417" t="s">
        <v>1666</v>
      </c>
      <c r="I1469" s="415" t="s">
        <v>1558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4" t="str">
        <f>LEFT(base[[#This Row],[Evento / Mercado]],FIND("/",base[[#This Row],[Evento / Mercado]])-2)</f>
        <v>Al Hazm vs Al-Riyadh</v>
      </c>
      <c r="T1469" s="1420">
        <f>base[[#This Row],[Data de liquidação]]</f>
        <v>46136.597071759257</v>
      </c>
    </row>
    <row r="1470" spans="2:20" ht="15" customHeight="1">
      <c r="B1470" s="781" t="s">
        <v>1630</v>
      </c>
      <c r="C1470" s="911" t="s">
        <v>3556</v>
      </c>
      <c r="D1470" s="1344">
        <v>46136.612650462965</v>
      </c>
      <c r="E1470" s="874">
        <v>1.77</v>
      </c>
      <c r="F1470" s="408">
        <v>4.4999999999999998E-2</v>
      </c>
      <c r="G1470" s="413">
        <f t="shared" si="23"/>
        <v>1.8534031413612566</v>
      </c>
      <c r="H1470" s="419" t="s">
        <v>1666</v>
      </c>
      <c r="I1470" s="415" t="s">
        <v>1715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4" t="str">
        <f>LEFT(base[[#This Row],[Evento / Mercado]],FIND("/",base[[#This Row],[Evento / Mercado]])-2)</f>
        <v>Al-Fateh Al-Hasa vs Al-Khaleej Saihat</v>
      </c>
      <c r="T1470" s="1420">
        <f>base[[#This Row],[Data de liquidação]]</f>
        <v>46136.612650462965</v>
      </c>
    </row>
    <row r="1471" spans="2:20" ht="15" customHeight="1">
      <c r="B1471" s="781" t="s">
        <v>1629</v>
      </c>
      <c r="C1471" s="911" t="s">
        <v>3556</v>
      </c>
      <c r="D1471" s="1344">
        <v>46136.663900462961</v>
      </c>
      <c r="E1471" s="874">
        <v>-1.6</v>
      </c>
      <c r="F1471" s="408">
        <v>4.4999999999999998E-2</v>
      </c>
      <c r="G1471" s="413">
        <f t="shared" si="23"/>
        <v>-1.6</v>
      </c>
      <c r="H1471" s="417" t="s">
        <v>1666</v>
      </c>
      <c r="I1471" s="415" t="s">
        <v>1558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4" t="str">
        <f>LEFT(base[[#This Row],[Evento / Mercado]],FIND("/",base[[#This Row],[Evento / Mercado]])-2)</f>
        <v>Monza vs Modena FC 2018</v>
      </c>
      <c r="T1471" s="1420">
        <f>base[[#This Row],[Data de liquidação]]</f>
        <v>46136.663900462961</v>
      </c>
    </row>
    <row r="1472" spans="2:20" ht="15" customHeight="1">
      <c r="B1472" s="781" t="s">
        <v>1628</v>
      </c>
      <c r="C1472" s="911" t="s">
        <v>3556</v>
      </c>
      <c r="D1472" s="1344">
        <v>46136.673090277778</v>
      </c>
      <c r="E1472" s="874">
        <v>1.91</v>
      </c>
      <c r="F1472" s="408">
        <v>4.4999999999999998E-2</v>
      </c>
      <c r="G1472" s="413">
        <f t="shared" si="23"/>
        <v>2</v>
      </c>
      <c r="H1472" s="417" t="s">
        <v>1666</v>
      </c>
      <c r="I1472" s="415" t="s">
        <v>1558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4" t="str">
        <f>LEFT(base[[#This Row],[Evento / Mercado]],FIND("/",base[[#This Row],[Evento / Mercado]])-2)</f>
        <v>Jong AZ Alkmaar vs Roda JC</v>
      </c>
      <c r="T1472" s="1420">
        <f>base[[#This Row],[Data de liquidação]]</f>
        <v>46136.673090277778</v>
      </c>
    </row>
    <row r="1473" spans="2:20" ht="15" customHeight="1">
      <c r="B1473" s="781" t="s">
        <v>1627</v>
      </c>
      <c r="C1473" s="911" t="s">
        <v>3556</v>
      </c>
      <c r="D1473" s="1344">
        <v>46136.674791666665</v>
      </c>
      <c r="E1473" s="874">
        <v>1.91</v>
      </c>
      <c r="F1473" s="408">
        <v>4.4999999999999998E-2</v>
      </c>
      <c r="G1473" s="413">
        <f t="shared" si="23"/>
        <v>2</v>
      </c>
      <c r="H1473" s="417" t="s">
        <v>1666</v>
      </c>
      <c r="I1473" s="415" t="s">
        <v>1558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4" t="str">
        <f>LEFT(base[[#This Row],[Evento / Mercado]],FIND("/",base[[#This Row],[Evento / Mercado]])-2)</f>
        <v>Den Bosch vs ADO Den Haag</v>
      </c>
      <c r="T1473" s="1420">
        <f>base[[#This Row],[Data de liquidação]]</f>
        <v>46136.674791666665</v>
      </c>
    </row>
    <row r="1474" spans="2:20" ht="15" customHeight="1">
      <c r="B1474" s="781" t="s">
        <v>1626</v>
      </c>
      <c r="C1474" s="911" t="s">
        <v>3556</v>
      </c>
      <c r="D1474" s="1344">
        <v>46136.686874999999</v>
      </c>
      <c r="E1474" s="874">
        <v>47.75</v>
      </c>
      <c r="F1474" s="408">
        <v>4.4999999999999998E-2</v>
      </c>
      <c r="G1474" s="413">
        <f t="shared" si="23"/>
        <v>50</v>
      </c>
      <c r="H1474" s="389" t="s">
        <v>1558</v>
      </c>
      <c r="I1474" s="411" t="s">
        <v>1572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4" t="str">
        <f>LEFT(base[[#This Row],[Evento / Mercado]],FIND("/",base[[#This Row],[Evento / Mercado]])-2)</f>
        <v>Shelbourne FC vs Drogheda United</v>
      </c>
      <c r="T1474" s="1420">
        <f>base[[#This Row],[Data de liquidação]]</f>
        <v>46136.686874999999</v>
      </c>
    </row>
    <row r="1475" spans="2:20" ht="15" customHeight="1">
      <c r="B1475" s="781" t="s">
        <v>1625</v>
      </c>
      <c r="C1475" s="911" t="s">
        <v>3556</v>
      </c>
      <c r="D1475" s="1344">
        <v>46136.688171296293</v>
      </c>
      <c r="E1475" s="874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1666</v>
      </c>
      <c r="I1475" s="415" t="s">
        <v>1558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4" t="str">
        <f>LEFT(base[[#This Row],[Evento / Mercado]],FIND("/",base[[#This Row],[Evento / Mercado]])-2)</f>
        <v>Napoli vs Cremonese</v>
      </c>
      <c r="T1475" s="1420">
        <f>base[[#This Row],[Data de liquidação]]</f>
        <v>46136.688171296293</v>
      </c>
    </row>
    <row r="1476" spans="2:20" ht="15" customHeight="1">
      <c r="B1476" s="781" t="s">
        <v>1624</v>
      </c>
      <c r="C1476" s="911" t="s">
        <v>3556</v>
      </c>
      <c r="D1476" s="1344">
        <v>46136.701990740738</v>
      </c>
      <c r="E1476" s="874">
        <v>-77.849999999999994</v>
      </c>
      <c r="F1476" s="408">
        <v>4.4999999999999998E-2</v>
      </c>
      <c r="G1476" s="413">
        <f t="shared" si="24"/>
        <v>-77.849999999999994</v>
      </c>
      <c r="H1476" s="389" t="s">
        <v>1558</v>
      </c>
      <c r="I1476" s="411" t="s">
        <v>498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4" t="str">
        <f>LEFT(base[[#This Row],[Evento / Mercado]],FIND("/",base[[#This Row],[Evento / Mercado]])-2)</f>
        <v>Kazincbarcika SC vs MTK Budapest</v>
      </c>
      <c r="T1476" s="1420">
        <f>base[[#This Row],[Data de liquidação]]</f>
        <v>46136.701990740738</v>
      </c>
    </row>
    <row r="1477" spans="2:20" ht="15" customHeight="1">
      <c r="B1477" s="781" t="s">
        <v>1623</v>
      </c>
      <c r="C1477" s="911" t="s">
        <v>3556</v>
      </c>
      <c r="D1477" s="1344">
        <v>46136.704375000001</v>
      </c>
      <c r="E1477" s="874">
        <v>-66.67</v>
      </c>
      <c r="F1477" s="408">
        <v>4.4999999999999998E-2</v>
      </c>
      <c r="G1477" s="413">
        <f t="shared" si="24"/>
        <v>-66.67</v>
      </c>
      <c r="H1477" s="389" t="s">
        <v>1558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4" t="str">
        <f>LEFT(base[[#This Row],[Evento / Mercado]],FIND("/",base[[#This Row],[Evento / Mercado]])-2)</f>
        <v>RB Leipzig vs 1. FC Union Berlin</v>
      </c>
      <c r="T1477" s="1420">
        <f>base[[#This Row],[Data de liquidação]]</f>
        <v>46136.704375000001</v>
      </c>
    </row>
    <row r="1478" spans="2:20" ht="15" customHeight="1">
      <c r="B1478" s="781" t="s">
        <v>1622</v>
      </c>
      <c r="C1478" s="911" t="s">
        <v>3556</v>
      </c>
      <c r="D1478" s="1344">
        <v>46136.708321759259</v>
      </c>
      <c r="E1478" s="874">
        <v>3.29</v>
      </c>
      <c r="F1478" s="408">
        <v>4.4999999999999998E-2</v>
      </c>
      <c r="G1478" s="413">
        <f t="shared" si="24"/>
        <v>3.4450261780104712</v>
      </c>
      <c r="H1478" s="419" t="s">
        <v>1666</v>
      </c>
      <c r="I1478" s="415" t="s">
        <v>1715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4" t="str">
        <f>LEFT(base[[#This Row],[Evento / Mercado]],FIND("/",base[[#This Row],[Evento / Mercado]])-2)</f>
        <v>Red Star FC 93 vs En Avant Guingamp</v>
      </c>
      <c r="T1478" s="1420">
        <f>base[[#This Row],[Data de liquidação]]</f>
        <v>46136.708321759259</v>
      </c>
    </row>
    <row r="1479" spans="2:20" ht="15" customHeight="1">
      <c r="B1479" s="781" t="s">
        <v>1621</v>
      </c>
      <c r="C1479" s="911" t="s">
        <v>3556</v>
      </c>
      <c r="D1479" s="1344">
        <v>46136.709479166668</v>
      </c>
      <c r="E1479" s="874">
        <v>0.39</v>
      </c>
      <c r="F1479" s="408">
        <v>4.4999999999999998E-2</v>
      </c>
      <c r="G1479" s="413">
        <f t="shared" si="24"/>
        <v>0.40837696335078538</v>
      </c>
      <c r="H1479" s="417" t="s">
        <v>1666</v>
      </c>
      <c r="I1479" s="411" t="s">
        <v>1663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4" t="str">
        <f>LEFT(base[[#This Row],[Evento / Mercado]],FIND("/",base[[#This Row],[Evento / Mercado]])-2)</f>
        <v>FC Eindhoven vs Helmond Sport</v>
      </c>
      <c r="T1479" s="1420">
        <f>base[[#This Row],[Data de liquidação]]</f>
        <v>46136.709479166668</v>
      </c>
    </row>
    <row r="1480" spans="2:20" ht="15" customHeight="1">
      <c r="B1480" s="781" t="s">
        <v>1620</v>
      </c>
      <c r="C1480" s="911" t="s">
        <v>3556</v>
      </c>
      <c r="D1480" s="1344">
        <v>46136.725127314814</v>
      </c>
      <c r="E1480" s="874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392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1200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4" t="str">
        <f>LEFT(base[[#This Row],[Evento / Mercado]],FIND("/",base[[#This Row],[Evento / Mercado]])-2)</f>
        <v>RB Leipzig vs 1. FC Union Berlin</v>
      </c>
      <c r="T1480" s="1420">
        <f>base[[#This Row],[Data de liquidação]]</f>
        <v>46136.725127314814</v>
      </c>
    </row>
    <row r="1481" spans="2:20" ht="15" customHeight="1">
      <c r="B1481" s="781" t="s">
        <v>1619</v>
      </c>
      <c r="C1481" s="911" t="s">
        <v>3556</v>
      </c>
      <c r="D1481" s="1344">
        <v>46136.735324074078</v>
      </c>
      <c r="E1481" s="874">
        <v>41.71</v>
      </c>
      <c r="F1481" s="408">
        <v>4.4999999999999998E-2</v>
      </c>
      <c r="G1481" s="413">
        <f t="shared" si="24"/>
        <v>43.675392670157073</v>
      </c>
      <c r="H1481" s="413" t="s">
        <v>179</v>
      </c>
      <c r="I1481" s="411" t="s">
        <v>392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1207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4" t="str">
        <f>LEFT(base[[#This Row],[Evento / Mercado]],FIND("/",base[[#This Row],[Evento / Mercado]])-2)</f>
        <v>Napoli vs Cremonese</v>
      </c>
      <c r="T1481" s="1420">
        <f>base[[#This Row],[Data de liquidação]]</f>
        <v>46136.735324074078</v>
      </c>
    </row>
    <row r="1482" spans="2:20" ht="15" customHeight="1">
      <c r="B1482" s="781" t="s">
        <v>1618</v>
      </c>
      <c r="C1482" s="911" t="s">
        <v>3556</v>
      </c>
      <c r="D1482" s="1344">
        <v>46136.750925925924</v>
      </c>
      <c r="E1482" s="874">
        <v>-80.28</v>
      </c>
      <c r="F1482" s="408">
        <v>4.4999999999999998E-2</v>
      </c>
      <c r="G1482" s="413">
        <f t="shared" si="24"/>
        <v>-80.28</v>
      </c>
      <c r="H1482" s="389" t="s">
        <v>1558</v>
      </c>
      <c r="I1482" s="411" t="s">
        <v>1572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4" t="str">
        <f>LEFT(base[[#This Row],[Evento / Mercado]],FIND("/",base[[#This Row],[Evento / Mercado]])-2)</f>
        <v>Real Betis vs Real Madrid</v>
      </c>
      <c r="T1482" s="1420">
        <f>base[[#This Row],[Data de liquidação]]</f>
        <v>46136.750925925924</v>
      </c>
    </row>
    <row r="1483" spans="2:20" ht="15" customHeight="1">
      <c r="B1483" s="781" t="s">
        <v>1618</v>
      </c>
      <c r="C1483" s="911" t="s">
        <v>3556</v>
      </c>
      <c r="D1483" s="1344">
        <v>46136.750925925924</v>
      </c>
      <c r="E1483" s="874">
        <v>-2.1</v>
      </c>
      <c r="F1483" s="408">
        <v>4.4999999999999998E-2</v>
      </c>
      <c r="G1483" s="413">
        <f t="shared" si="24"/>
        <v>-2.1</v>
      </c>
      <c r="H1483" s="417" t="s">
        <v>1666</v>
      </c>
      <c r="I1483" s="415" t="s">
        <v>1558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4" t="str">
        <f>LEFT(base[[#This Row],[Evento / Mercado]],FIND("/",base[[#This Row],[Evento / Mercado]])-2)</f>
        <v>Real Betis vs Real Madrid</v>
      </c>
      <c r="T1483" s="1420">
        <f>base[[#This Row],[Data de liquidação]]</f>
        <v>46136.750925925924</v>
      </c>
    </row>
    <row r="1484" spans="2:20" ht="15" customHeight="1">
      <c r="B1484" s="781" t="s">
        <v>1617</v>
      </c>
      <c r="C1484" s="911" t="s">
        <v>3556</v>
      </c>
      <c r="D1484" s="1344">
        <v>46136.751331018517</v>
      </c>
      <c r="E1484" s="874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1368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1202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4" t="str">
        <f>LEFT(base[[#This Row],[Evento / Mercado]],FIND("/",base[[#This Row],[Evento / Mercado]])-2)</f>
        <v>Real Betis vs Real Madrid</v>
      </c>
      <c r="T1484" s="1420">
        <f>base[[#This Row],[Data de liquidação]]</f>
        <v>46136.751331018517</v>
      </c>
    </row>
    <row r="1485" spans="2:20" ht="15" customHeight="1">
      <c r="B1485" s="782" t="s">
        <v>1664</v>
      </c>
      <c r="C1485" s="911" t="s">
        <v>3556</v>
      </c>
      <c r="D1485" s="1345">
        <v>46136.938402777778</v>
      </c>
      <c r="E1485" s="875">
        <v>-2</v>
      </c>
      <c r="F1485" s="408">
        <v>4.4999999999999998E-2</v>
      </c>
      <c r="G1485" s="417">
        <f t="shared" si="24"/>
        <v>-2</v>
      </c>
      <c r="H1485" s="417" t="s">
        <v>1666</v>
      </c>
      <c r="I1485" s="415" t="s">
        <v>1665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4" t="str">
        <f>LEFT(base[[#This Row],[Evento / Mercado]],FIND("/",base[[#This Row],[Evento / Mercado]])-2)</f>
        <v>Club Independiente Petrolero vs Universitario de Vinto</v>
      </c>
      <c r="T1485" s="1420">
        <f>base[[#This Row],[Data de liquidação]]</f>
        <v>46136.938402777778</v>
      </c>
    </row>
    <row r="1486" spans="2:20" ht="15" customHeight="1">
      <c r="B1486" s="782" t="s">
        <v>1714</v>
      </c>
      <c r="C1486" s="911" t="s">
        <v>3556</v>
      </c>
      <c r="D1486" s="1345">
        <v>46137.364363425928</v>
      </c>
      <c r="E1486" s="875">
        <v>0.4</v>
      </c>
      <c r="F1486" s="408">
        <v>4.4999999999999998E-2</v>
      </c>
      <c r="G1486" s="417">
        <f t="shared" si="24"/>
        <v>0.41884816753926707</v>
      </c>
      <c r="H1486" s="417" t="s">
        <v>1666</v>
      </c>
      <c r="I1486" s="415" t="s">
        <v>1663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4" t="str">
        <f>LEFT(base[[#This Row],[Evento / Mercado]],FIND("/",base[[#This Row],[Evento / Mercado]])-2)</f>
        <v>Western Sydney Wanderers vs Melbourne Victory</v>
      </c>
      <c r="T1486" s="1420">
        <f>base[[#This Row],[Data de liquidação]]</f>
        <v>46137.364363425928</v>
      </c>
    </row>
    <row r="1487" spans="2:20" ht="15" customHeight="1">
      <c r="B1487" s="782" t="s">
        <v>1713</v>
      </c>
      <c r="C1487" s="911" t="s">
        <v>3556</v>
      </c>
      <c r="D1487" s="1345">
        <v>46137.387175925927</v>
      </c>
      <c r="E1487" s="875">
        <v>47.75</v>
      </c>
      <c r="F1487" s="408">
        <v>4.4999999999999998E-2</v>
      </c>
      <c r="G1487" s="417">
        <f t="shared" si="24"/>
        <v>50</v>
      </c>
      <c r="H1487" s="389" t="s">
        <v>1558</v>
      </c>
      <c r="I1487" s="411" t="s">
        <v>1572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4" t="str">
        <f>LEFT(base[[#This Row],[Evento / Mercado]],FIND("/",base[[#This Row],[Evento / Mercado]])-2)</f>
        <v>Middlesbrough vs Watford</v>
      </c>
      <c r="T1487" s="1420">
        <f>base[[#This Row],[Data de liquidação]]</f>
        <v>46137.387175925927</v>
      </c>
    </row>
    <row r="1488" spans="2:20" ht="15" customHeight="1">
      <c r="B1488" s="782" t="s">
        <v>1712</v>
      </c>
      <c r="C1488" s="911" t="s">
        <v>3556</v>
      </c>
      <c r="D1488" s="1345">
        <v>46137.388368055559</v>
      </c>
      <c r="E1488" s="875">
        <v>47.75</v>
      </c>
      <c r="F1488" s="408">
        <v>4.4999999999999998E-2</v>
      </c>
      <c r="G1488" s="417">
        <f t="shared" si="24"/>
        <v>50</v>
      </c>
      <c r="H1488" s="389" t="s">
        <v>1558</v>
      </c>
      <c r="I1488" s="415" t="s">
        <v>498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4" t="str">
        <f>LEFT(base[[#This Row],[Evento / Mercado]],FIND("/",base[[#This Row],[Evento / Mercado]])-2)</f>
        <v>Beijing Guoan vs Tianjin Jinmenhu</v>
      </c>
      <c r="T1488" s="1420">
        <f>base[[#This Row],[Data de liquidação]]</f>
        <v>46137.388368055559</v>
      </c>
    </row>
    <row r="1489" spans="2:20" ht="15" customHeight="1">
      <c r="B1489" s="782" t="s">
        <v>1711</v>
      </c>
      <c r="C1489" s="911" t="s">
        <v>3556</v>
      </c>
      <c r="D1489" s="1345">
        <v>46137.393645833334</v>
      </c>
      <c r="E1489" s="875">
        <v>2.0699999999999998</v>
      </c>
      <c r="F1489" s="408">
        <v>4.4999999999999998E-2</v>
      </c>
      <c r="G1489" s="417">
        <f t="shared" si="24"/>
        <v>2.1675392670157065</v>
      </c>
      <c r="H1489" s="417" t="s">
        <v>1666</v>
      </c>
      <c r="I1489" s="415" t="s">
        <v>1715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4" t="str">
        <f>LEFT(base[[#This Row],[Evento / Mercado]],FIND("/",base[[#This Row],[Evento / Mercado]])-2)</f>
        <v>Vanspor FK vs Ugur Okullari Istanbulspor</v>
      </c>
      <c r="T1489" s="1420">
        <f>base[[#This Row],[Data de liquidação]]</f>
        <v>46137.393645833334</v>
      </c>
    </row>
    <row r="1490" spans="2:20" ht="15" customHeight="1">
      <c r="B1490" s="782" t="s">
        <v>1710</v>
      </c>
      <c r="C1490" s="911" t="s">
        <v>3556</v>
      </c>
      <c r="D1490" s="1345">
        <v>46137.400543981479</v>
      </c>
      <c r="E1490" s="875">
        <v>47.75</v>
      </c>
      <c r="F1490" s="408">
        <v>4.4999999999999998E-2</v>
      </c>
      <c r="G1490" s="417">
        <f t="shared" si="24"/>
        <v>50</v>
      </c>
      <c r="H1490" s="389" t="s">
        <v>1558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4" t="str">
        <f>LEFT(base[[#This Row],[Evento / Mercado]],FIND("/",base[[#This Row],[Evento / Mercado]])-2)</f>
        <v>Stockport County vs Peterborough United</v>
      </c>
      <c r="T1490" s="1420">
        <f>base[[#This Row],[Data de liquidação]]</f>
        <v>46137.400543981479</v>
      </c>
    </row>
    <row r="1491" spans="2:20" ht="15" customHeight="1">
      <c r="B1491" s="782" t="s">
        <v>1709</v>
      </c>
      <c r="C1491" s="911" t="s">
        <v>3556</v>
      </c>
      <c r="D1491" s="1345">
        <v>46137.403912037036</v>
      </c>
      <c r="E1491" s="875">
        <v>-2</v>
      </c>
      <c r="F1491" s="408">
        <v>4.4999999999999998E-2</v>
      </c>
      <c r="G1491" s="417">
        <f t="shared" si="24"/>
        <v>-2</v>
      </c>
      <c r="H1491" s="417" t="s">
        <v>1666</v>
      </c>
      <c r="I1491" s="415" t="s">
        <v>1665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4" t="str">
        <f>LEFT(base[[#This Row],[Evento / Mercado]],FIND("/",base[[#This Row],[Evento / Mercado]])-2)</f>
        <v>Karlsruher SC vs Hannover 96</v>
      </c>
      <c r="T1491" s="1420">
        <f>base[[#This Row],[Data de liquidação]]</f>
        <v>46137.403912037036</v>
      </c>
    </row>
    <row r="1492" spans="2:20" ht="15" customHeight="1">
      <c r="B1492" s="782" t="s">
        <v>1708</v>
      </c>
      <c r="C1492" s="911" t="s">
        <v>3556</v>
      </c>
      <c r="D1492" s="1345">
        <v>46137.413657407407</v>
      </c>
      <c r="E1492" s="875">
        <v>2.99</v>
      </c>
      <c r="F1492" s="408">
        <v>4.4999999999999998E-2</v>
      </c>
      <c r="G1492" s="417">
        <f t="shared" si="24"/>
        <v>3.1308900523560212</v>
      </c>
      <c r="H1492" s="417" t="s">
        <v>1666</v>
      </c>
      <c r="I1492" s="415" t="s">
        <v>1715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4" t="str">
        <f>LEFT(base[[#This Row],[Evento / Mercado]],FIND("/",base[[#This Row],[Evento / Mercado]])-2)</f>
        <v>Hertha BSC vs Holstein Kiel</v>
      </c>
      <c r="T1492" s="1420">
        <f>base[[#This Row],[Data de liquidação]]</f>
        <v>46137.413657407407</v>
      </c>
    </row>
    <row r="1493" spans="2:20" ht="15" customHeight="1">
      <c r="B1493" s="782" t="s">
        <v>1707</v>
      </c>
      <c r="C1493" s="911" t="s">
        <v>3556</v>
      </c>
      <c r="D1493" s="1345">
        <v>46137.413807870369</v>
      </c>
      <c r="E1493" s="875">
        <v>1.59</v>
      </c>
      <c r="F1493" s="408">
        <v>4.4999999999999998E-2</v>
      </c>
      <c r="G1493" s="417">
        <f t="shared" si="24"/>
        <v>1.6649214659685865</v>
      </c>
      <c r="H1493" s="417" t="s">
        <v>1666</v>
      </c>
      <c r="I1493" s="415" t="s">
        <v>1716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4" t="str">
        <f>LEFT(base[[#This Row],[Evento / Mercado]],FIND("/",base[[#This Row],[Evento / Mercado]])-2)</f>
        <v>Hertha BSC vs Holstein Kiel</v>
      </c>
      <c r="T1493" s="1420">
        <f>base[[#This Row],[Data de liquidação]]</f>
        <v>46137.413807870369</v>
      </c>
    </row>
    <row r="1494" spans="2:20" ht="15" customHeight="1">
      <c r="B1494" s="782" t="s">
        <v>1706</v>
      </c>
      <c r="C1494" s="911" t="s">
        <v>3556</v>
      </c>
      <c r="D1494" s="1345">
        <v>46137.414606481485</v>
      </c>
      <c r="E1494" s="875">
        <v>2.87</v>
      </c>
      <c r="F1494" s="408">
        <v>4.4999999999999998E-2</v>
      </c>
      <c r="G1494" s="417">
        <f t="shared" si="24"/>
        <v>3.005235602094241</v>
      </c>
      <c r="H1494" s="417" t="s">
        <v>1666</v>
      </c>
      <c r="I1494" s="415" t="s">
        <v>1717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4" t="str">
        <f>LEFT(base[[#This Row],[Evento / Mercado]],FIND("/",base[[#This Row],[Evento / Mercado]])-2)</f>
        <v>Chengdu Rongcheng vs Zhejiang Professional</v>
      </c>
      <c r="T1494" s="1420">
        <f>base[[#This Row],[Data de liquidação]]</f>
        <v>46137.414606481485</v>
      </c>
    </row>
    <row r="1495" spans="2:20" ht="15" customHeight="1">
      <c r="B1495" s="782" t="s">
        <v>1705</v>
      </c>
      <c r="C1495" s="911" t="s">
        <v>3556</v>
      </c>
      <c r="D1495" s="1345">
        <v>46137.42046296296</v>
      </c>
      <c r="E1495" s="875">
        <v>47.68</v>
      </c>
      <c r="F1495" s="408">
        <v>4.4999999999999998E-2</v>
      </c>
      <c r="G1495" s="417">
        <f t="shared" si="24"/>
        <v>49.926701570680628</v>
      </c>
      <c r="H1495" s="389" t="s">
        <v>1558</v>
      </c>
      <c r="I1495" s="411" t="s">
        <v>1572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4" t="str">
        <f>LEFT(base[[#This Row],[Evento / Mercado]],FIND("/",base[[#This Row],[Evento / Mercado]])-2)</f>
        <v>Shanghai Port vs Wuhan Three Towns</v>
      </c>
      <c r="T1495" s="1420">
        <f>base[[#This Row],[Data de liquidação]]</f>
        <v>46137.42046296296</v>
      </c>
    </row>
    <row r="1496" spans="2:20" ht="15" customHeight="1">
      <c r="B1496" s="782" t="s">
        <v>1704</v>
      </c>
      <c r="C1496" s="911" t="s">
        <v>3556</v>
      </c>
      <c r="D1496" s="1345">
        <v>46137.431689814817</v>
      </c>
      <c r="E1496" s="875">
        <v>0.19</v>
      </c>
      <c r="F1496" s="408">
        <v>4.4999999999999998E-2</v>
      </c>
      <c r="G1496" s="417">
        <f t="shared" si="24"/>
        <v>0.19895287958115185</v>
      </c>
      <c r="H1496" s="417" t="s">
        <v>1666</v>
      </c>
      <c r="I1496" s="415" t="s">
        <v>1718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4" t="str">
        <f>LEFT(base[[#This Row],[Evento / Mercado]],FIND("/",base[[#This Row],[Evento / Mercado]])-2)</f>
        <v>Fulham vs Aston Villa</v>
      </c>
      <c r="T1496" s="1420">
        <f>base[[#This Row],[Data de liquidação]]</f>
        <v>46137.431689814817</v>
      </c>
    </row>
    <row r="1497" spans="2:20" ht="15" customHeight="1">
      <c r="B1497" s="782" t="s">
        <v>1703</v>
      </c>
      <c r="C1497" s="911" t="s">
        <v>3556</v>
      </c>
      <c r="D1497" s="1345">
        <v>46137.436145833337</v>
      </c>
      <c r="E1497" s="875">
        <v>3.58</v>
      </c>
      <c r="F1497" s="408">
        <v>4.4999999999999998E-2</v>
      </c>
      <c r="G1497" s="417">
        <f t="shared" si="24"/>
        <v>3.74869109947644</v>
      </c>
      <c r="H1497" s="417" t="s">
        <v>1666</v>
      </c>
      <c r="I1497" s="415" t="s">
        <v>1717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4" t="str">
        <f>LEFT(base[[#This Row],[Evento / Mercado]],FIND("/",base[[#This Row],[Evento / Mercado]])-2)</f>
        <v>Milton Keynes Dons vs Tranmere Rovers</v>
      </c>
      <c r="T1497" s="1420">
        <f>base[[#This Row],[Data de liquidação]]</f>
        <v>46137.436145833337</v>
      </c>
    </row>
    <row r="1498" spans="2:20" ht="15" customHeight="1">
      <c r="B1498" s="782" t="s">
        <v>1702</v>
      </c>
      <c r="C1498" s="911" t="s">
        <v>3556</v>
      </c>
      <c r="D1498" s="1345">
        <v>46137.46534722222</v>
      </c>
      <c r="E1498" s="875">
        <v>-0.98</v>
      </c>
      <c r="F1498" s="408">
        <v>4.4999999999999998E-2</v>
      </c>
      <c r="G1498" s="417">
        <f t="shared" si="24"/>
        <v>-0.98</v>
      </c>
      <c r="H1498" s="417" t="s">
        <v>1666</v>
      </c>
      <c r="I1498" s="415" t="s">
        <v>1558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4" t="str">
        <f>LEFT(base[[#This Row],[Evento / Mercado]],FIND("/",base[[#This Row],[Evento / Mercado]])-2)</f>
        <v>Korona Kielce vs GKS Katowice</v>
      </c>
      <c r="T1498" s="1420">
        <f>base[[#This Row],[Data de liquidação]]</f>
        <v>46137.46534722222</v>
      </c>
    </row>
    <row r="1499" spans="2:20" ht="15" customHeight="1">
      <c r="B1499" s="782" t="s">
        <v>1701</v>
      </c>
      <c r="C1499" s="911" t="s">
        <v>3556</v>
      </c>
      <c r="D1499" s="1345">
        <v>46137.495763888888</v>
      </c>
      <c r="E1499" s="875">
        <v>0.81</v>
      </c>
      <c r="F1499" s="408">
        <v>4.4999999999999998E-2</v>
      </c>
      <c r="G1499" s="417">
        <f t="shared" si="24"/>
        <v>0.84816753926701582</v>
      </c>
      <c r="H1499" s="417" t="s">
        <v>1666</v>
      </c>
      <c r="I1499" s="415" t="s">
        <v>1716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4" t="str">
        <f>LEFT(base[[#This Row],[Evento / Mercado]],FIND("/",base[[#This Row],[Evento / Mercado]])-2)</f>
        <v>Virtus Entella vs Padova</v>
      </c>
      <c r="T1499" s="1420">
        <f>base[[#This Row],[Data de liquidação]]</f>
        <v>46137.495763888888</v>
      </c>
    </row>
    <row r="1500" spans="2:20" ht="15" customHeight="1">
      <c r="B1500" s="782" t="s">
        <v>1700</v>
      </c>
      <c r="C1500" s="911" t="s">
        <v>3556</v>
      </c>
      <c r="D1500" s="1345">
        <v>46137.498900462961</v>
      </c>
      <c r="E1500" s="875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392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1208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4" t="str">
        <f>LEFT(base[[#This Row],[Evento / Mercado]],FIND("/",base[[#This Row],[Evento / Mercado]])-2)</f>
        <v>Olympique Lyonnais vs AJ Auxerre</v>
      </c>
      <c r="T1500" s="1420">
        <f>base[[#This Row],[Data de liquidação]]</f>
        <v>46137.498900462961</v>
      </c>
    </row>
    <row r="1501" spans="2:20" ht="15" customHeight="1">
      <c r="B1501" s="782" t="s">
        <v>1699</v>
      </c>
      <c r="C1501" s="911" t="s">
        <v>3556</v>
      </c>
      <c r="D1501" s="1345">
        <v>46137.506539351853</v>
      </c>
      <c r="E1501" s="875">
        <v>1.91</v>
      </c>
      <c r="F1501" s="408">
        <v>4.4999999999999998E-2</v>
      </c>
      <c r="G1501" s="417">
        <f t="shared" si="24"/>
        <v>2</v>
      </c>
      <c r="H1501" s="417" t="s">
        <v>1666</v>
      </c>
      <c r="I1501" s="415" t="s">
        <v>1558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4" t="str">
        <f>LEFT(base[[#This Row],[Evento / Mercado]],FIND("/",base[[#This Row],[Evento / Mercado]])-2)</f>
        <v>Stoke City vs Portsmouth</v>
      </c>
      <c r="T1501" s="1420">
        <f>base[[#This Row],[Data de liquidação]]</f>
        <v>46137.506539351853</v>
      </c>
    </row>
    <row r="1502" spans="2:20" ht="15" customHeight="1">
      <c r="B1502" s="782" t="s">
        <v>1698</v>
      </c>
      <c r="C1502" s="911" t="s">
        <v>3556</v>
      </c>
      <c r="D1502" s="1345">
        <v>46137.515046296299</v>
      </c>
      <c r="E1502" s="875">
        <v>-2.2000000000000002</v>
      </c>
      <c r="F1502" s="408">
        <v>4.4999999999999998E-2</v>
      </c>
      <c r="G1502" s="417">
        <f t="shared" si="24"/>
        <v>-2.2000000000000002</v>
      </c>
      <c r="H1502" s="417" t="s">
        <v>1666</v>
      </c>
      <c r="I1502" s="415" t="s">
        <v>1558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4" t="str">
        <f>LEFT(base[[#This Row],[Evento / Mercado]],FIND("/",base[[#This Row],[Evento / Mercado]])-2)</f>
        <v>Burton Albion vs Exeter City</v>
      </c>
      <c r="T1502" s="1420">
        <f>base[[#This Row],[Data de liquidação]]</f>
        <v>46137.515046296299</v>
      </c>
    </row>
    <row r="1503" spans="2:20" ht="15" customHeight="1">
      <c r="B1503" s="782" t="s">
        <v>1697</v>
      </c>
      <c r="C1503" s="911" t="s">
        <v>3556</v>
      </c>
      <c r="D1503" s="1345">
        <v>46137.516365740739</v>
      </c>
      <c r="E1503" s="875">
        <v>2.27</v>
      </c>
      <c r="F1503" s="408">
        <v>4.4999999999999998E-2</v>
      </c>
      <c r="G1503" s="417">
        <f t="shared" si="24"/>
        <v>2.3769633507853403</v>
      </c>
      <c r="H1503" s="417" t="s">
        <v>1666</v>
      </c>
      <c r="I1503" s="415" t="s">
        <v>1715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4" t="str">
        <f>LEFT(base[[#This Row],[Evento / Mercado]],FIND("/",base[[#This Row],[Evento / Mercado]])-2)</f>
        <v>VfL Wolfsburg vs Borussia Mönchengladbach</v>
      </c>
      <c r="T1503" s="1420">
        <f>base[[#This Row],[Data de liquidação]]</f>
        <v>46137.516365740739</v>
      </c>
    </row>
    <row r="1504" spans="2:20" ht="15" customHeight="1">
      <c r="B1504" s="782" t="s">
        <v>1696</v>
      </c>
      <c r="C1504" s="911" t="s">
        <v>3556</v>
      </c>
      <c r="D1504" s="1345">
        <v>46137.516597222224</v>
      </c>
      <c r="E1504" s="875">
        <v>2.39</v>
      </c>
      <c r="F1504" s="408">
        <v>4.4999999999999998E-2</v>
      </c>
      <c r="G1504" s="417">
        <f t="shared" si="24"/>
        <v>2.5026178010471205</v>
      </c>
      <c r="H1504" s="417" t="s">
        <v>1666</v>
      </c>
      <c r="I1504" s="415" t="s">
        <v>1715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4" t="str">
        <f>LEFT(base[[#This Row],[Evento / Mercado]],FIND("/",base[[#This Row],[Evento / Mercado]])-2)</f>
        <v>FC Augsburg vs Eintracht Frankfurt</v>
      </c>
      <c r="T1504" s="1420">
        <f>base[[#This Row],[Data de liquidação]]</f>
        <v>46137.516597222224</v>
      </c>
    </row>
    <row r="1505" spans="2:22" ht="15" customHeight="1">
      <c r="B1505" s="782" t="s">
        <v>1695</v>
      </c>
      <c r="C1505" s="911" t="s">
        <v>3556</v>
      </c>
      <c r="D1505" s="1345">
        <v>46137.516921296294</v>
      </c>
      <c r="E1505" s="875">
        <v>0.13</v>
      </c>
      <c r="F1505" s="408">
        <v>4.4999999999999998E-2</v>
      </c>
      <c r="G1505" s="417">
        <f t="shared" si="24"/>
        <v>0.13612565445026178</v>
      </c>
      <c r="H1505" s="417" t="s">
        <v>1666</v>
      </c>
      <c r="I1505" s="415" t="s">
        <v>1718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4" t="str">
        <f>LEFT(base[[#This Row],[Evento / Mercado]],FIND("/",base[[#This Row],[Evento / Mercado]])-2)</f>
        <v>FC Augsburg vs Eintracht Frankfurt</v>
      </c>
      <c r="T1505" s="1420">
        <f>base[[#This Row],[Data de liquidação]]</f>
        <v>46137.516921296294</v>
      </c>
    </row>
    <row r="1506" spans="2:22" ht="15" customHeight="1">
      <c r="B1506" s="782" t="s">
        <v>1694</v>
      </c>
      <c r="C1506" s="911" t="s">
        <v>3556</v>
      </c>
      <c r="D1506" s="1345">
        <v>46137.517916666664</v>
      </c>
      <c r="E1506" s="875">
        <v>-53.97</v>
      </c>
      <c r="F1506" s="408">
        <v>4.4999999999999998E-2</v>
      </c>
      <c r="G1506" s="417">
        <f t="shared" si="24"/>
        <v>-53.97</v>
      </c>
      <c r="H1506" s="389" t="s">
        <v>1558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4" t="str">
        <f>LEFT(base[[#This Row],[Evento / Mercado]],FIND("/",base[[#This Row],[Evento / Mercado]])-2)</f>
        <v>Oxford United vs Sheffield Wednesday</v>
      </c>
      <c r="T1506" s="1420">
        <f>base[[#This Row],[Data de liquidação]]</f>
        <v>46137.517916666664</v>
      </c>
    </row>
    <row r="1507" spans="2:22" ht="15" customHeight="1">
      <c r="B1507" s="782" t="s">
        <v>1693</v>
      </c>
      <c r="C1507" s="911" t="s">
        <v>3556</v>
      </c>
      <c r="D1507" s="1345">
        <v>46137.521111111113</v>
      </c>
      <c r="E1507" s="875">
        <v>-85.27</v>
      </c>
      <c r="F1507" s="408">
        <v>4.4999999999999998E-2</v>
      </c>
      <c r="G1507" s="417">
        <f t="shared" si="24"/>
        <v>-85.27</v>
      </c>
      <c r="H1507" s="389" t="s">
        <v>1558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4" t="str">
        <f>LEFT(base[[#This Row],[Evento / Mercado]],FIND("/",base[[#This Row],[Evento / Mercado]])-2)</f>
        <v>Sheffield United vs Preston North End</v>
      </c>
      <c r="T1507" s="1420">
        <f>base[[#This Row],[Data de liquidação]]</f>
        <v>46137.521111111113</v>
      </c>
    </row>
    <row r="1508" spans="2:22" ht="15" customHeight="1">
      <c r="B1508" s="782" t="s">
        <v>1692</v>
      </c>
      <c r="C1508" s="911" t="s">
        <v>3556</v>
      </c>
      <c r="D1508" s="1345">
        <v>46137.538587962961</v>
      </c>
      <c r="E1508" s="875">
        <v>4.3499999999999996</v>
      </c>
      <c r="F1508" s="408">
        <v>4.4999999999999998E-2</v>
      </c>
      <c r="G1508" s="417">
        <f t="shared" si="24"/>
        <v>4.5549738219895284</v>
      </c>
      <c r="H1508" s="417" t="s">
        <v>1666</v>
      </c>
      <c r="I1508" s="415" t="s">
        <v>1715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4" t="str">
        <f>LEFT(base[[#This Row],[Evento / Mercado]],FIND("/",base[[#This Row],[Evento / Mercado]])-2)</f>
        <v>Burton Albion vs Exeter City</v>
      </c>
      <c r="T1508" s="1420">
        <f>base[[#This Row],[Data de liquidação]]</f>
        <v>46137.538587962961</v>
      </c>
    </row>
    <row r="1509" spans="2:22" ht="15" customHeight="1">
      <c r="B1509" s="782" t="s">
        <v>1691</v>
      </c>
      <c r="C1509" s="911" t="s">
        <v>3556</v>
      </c>
      <c r="D1509" s="1345">
        <v>46137.538854166669</v>
      </c>
      <c r="E1509" s="875">
        <v>2.27</v>
      </c>
      <c r="F1509" s="408">
        <v>4.4999999999999998E-2</v>
      </c>
      <c r="G1509" s="417">
        <f t="shared" si="24"/>
        <v>2.3769633507853403</v>
      </c>
      <c r="H1509" s="417" t="s">
        <v>1666</v>
      </c>
      <c r="I1509" s="415" t="s">
        <v>1665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4" t="str">
        <f>LEFT(base[[#This Row],[Evento / Mercado]],FIND("/",base[[#This Row],[Evento / Mercado]])-2)</f>
        <v>Burton Albion vs Exeter City</v>
      </c>
      <c r="T1509" s="1420">
        <f>base[[#This Row],[Data de liquidação]]</f>
        <v>46137.538854166669</v>
      </c>
    </row>
    <row r="1510" spans="2:22" ht="15" customHeight="1">
      <c r="B1510" s="782" t="s">
        <v>1690</v>
      </c>
      <c r="C1510" s="911" t="s">
        <v>3556</v>
      </c>
      <c r="D1510" s="1345">
        <v>46137.539189814815</v>
      </c>
      <c r="E1510" s="875">
        <v>0.43</v>
      </c>
      <c r="F1510" s="408">
        <v>4.4999999999999998E-2</v>
      </c>
      <c r="G1510" s="417">
        <f t="shared" si="24"/>
        <v>0.45026178010471207</v>
      </c>
      <c r="H1510" s="417" t="s">
        <v>1666</v>
      </c>
      <c r="I1510" s="415" t="s">
        <v>1663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4" t="str">
        <f>LEFT(base[[#This Row],[Evento / Mercado]],FIND("/",base[[#This Row],[Evento / Mercado]])-2)</f>
        <v>Liverpool vs Crystal Palace</v>
      </c>
      <c r="T1510" s="1420">
        <f>base[[#This Row],[Data de liquidação]]</f>
        <v>46137.539189814815</v>
      </c>
    </row>
    <row r="1511" spans="2:22" ht="15" customHeight="1">
      <c r="B1511" s="782" t="s">
        <v>1689</v>
      </c>
      <c r="C1511" s="911" t="s">
        <v>3556</v>
      </c>
      <c r="D1511" s="1345">
        <v>46137.54</v>
      </c>
      <c r="E1511" s="875">
        <v>-56</v>
      </c>
      <c r="F1511" s="408">
        <v>4.4999999999999998E-2</v>
      </c>
      <c r="G1511" s="417">
        <f t="shared" si="24"/>
        <v>-56</v>
      </c>
      <c r="H1511" s="417" t="s">
        <v>1666</v>
      </c>
      <c r="I1511" s="415" t="s">
        <v>1715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4" t="str">
        <f>LEFT(base[[#This Row],[Evento / Mercado]],FIND("/",base[[#This Row],[Evento / Mercado]])-2)</f>
        <v>Lincoln City vs Wycombe Wanderers</v>
      </c>
      <c r="T1511" s="1420">
        <f>base[[#This Row],[Data de liquidação]]</f>
        <v>46137.54</v>
      </c>
    </row>
    <row r="1512" spans="2:22" ht="15" customHeight="1">
      <c r="B1512" s="782" t="s">
        <v>1688</v>
      </c>
      <c r="C1512" s="911" t="s">
        <v>3556</v>
      </c>
      <c r="D1512" s="1345">
        <v>46137.540023148147</v>
      </c>
      <c r="E1512" s="875">
        <v>-86.36</v>
      </c>
      <c r="F1512" s="408">
        <v>4.4999999999999998E-2</v>
      </c>
      <c r="G1512" s="417">
        <f t="shared" si="24"/>
        <v>-86.36</v>
      </c>
      <c r="H1512" s="389" t="s">
        <v>1558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4" t="str">
        <f>LEFT(base[[#This Row],[Evento / Mercado]],FIND("/",base[[#This Row],[Evento / Mercado]])-2)</f>
        <v>Feyenoord vs FC Groningen</v>
      </c>
      <c r="T1512" s="1420">
        <f>base[[#This Row],[Data de liquidação]]</f>
        <v>46137.540023148147</v>
      </c>
    </row>
    <row r="1513" spans="2:22" ht="15" customHeight="1">
      <c r="B1513" s="782" t="s">
        <v>1687</v>
      </c>
      <c r="C1513" s="911" t="s">
        <v>3556</v>
      </c>
      <c r="D1513" s="1345">
        <v>46137.540625000001</v>
      </c>
      <c r="E1513" s="875">
        <v>0.49</v>
      </c>
      <c r="F1513" s="408">
        <v>4.4999999999999998E-2</v>
      </c>
      <c r="G1513" s="417">
        <f t="shared" si="24"/>
        <v>0.51308900523560208</v>
      </c>
      <c r="H1513" s="417" t="s">
        <v>1666</v>
      </c>
      <c r="I1513" s="415" t="s">
        <v>1718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4" t="str">
        <f>LEFT(base[[#This Row],[Evento / Mercado]],FIND("/",base[[#This Row],[Evento / Mercado]])-2)</f>
        <v>West Ham vs Everton</v>
      </c>
      <c r="T1513" s="1420">
        <f>base[[#This Row],[Data de liquidação]]</f>
        <v>46137.540625000001</v>
      </c>
    </row>
    <row r="1514" spans="2:22" ht="15" customHeight="1">
      <c r="B1514" s="782" t="s">
        <v>1686</v>
      </c>
      <c r="C1514" s="911" t="s">
        <v>3556</v>
      </c>
      <c r="D1514" s="1345">
        <v>46137.541550925926</v>
      </c>
      <c r="E1514" s="875">
        <v>2.38</v>
      </c>
      <c r="F1514" s="408">
        <v>4.4999999999999998E-2</v>
      </c>
      <c r="G1514" s="417">
        <f t="shared" si="24"/>
        <v>2.4921465968586389</v>
      </c>
      <c r="H1514" s="417" t="s">
        <v>1666</v>
      </c>
      <c r="I1514" s="415" t="s">
        <v>1665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4" t="str">
        <f>LEFT(base[[#This Row],[Evento / Mercado]],FIND("/",base[[#This Row],[Evento / Mercado]])-2)</f>
        <v>Wolverhampton Wanderers vs Tottenham Hotspur</v>
      </c>
      <c r="T1514" s="1420">
        <f>base[[#This Row],[Data de liquidação]]</f>
        <v>46137.541550925926</v>
      </c>
    </row>
    <row r="1515" spans="2:22" ht="15" customHeight="1">
      <c r="B1515" s="782" t="s">
        <v>1685</v>
      </c>
      <c r="C1515" s="911" t="s">
        <v>3556</v>
      </c>
      <c r="D1515" s="1345">
        <v>46137.557175925926</v>
      </c>
      <c r="E1515" s="875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628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1205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4" t="str">
        <f>LEFT(base[[#This Row],[Evento / Mercado]],FIND("/",base[[#This Row],[Evento / Mercado]])-2)</f>
        <v>Feyenoord vs FC Groningen</v>
      </c>
      <c r="T1515" s="1420">
        <f>base[[#This Row],[Data de liquidação]]</f>
        <v>46137.557175925926</v>
      </c>
    </row>
    <row r="1516" spans="2:22" ht="15" customHeight="1">
      <c r="B1516" s="782" t="s">
        <v>1684</v>
      </c>
      <c r="C1516" s="911" t="s">
        <v>3556</v>
      </c>
      <c r="D1516" s="1345">
        <v>46137.590277777781</v>
      </c>
      <c r="E1516" s="875">
        <v>40.711649999999999</v>
      </c>
      <c r="F1516" s="408">
        <v>4.4999999999999998E-2</v>
      </c>
      <c r="G1516" s="417">
        <f t="shared" si="24"/>
        <v>42.63</v>
      </c>
      <c r="H1516" s="417" t="s">
        <v>179</v>
      </c>
      <c r="I1516" s="415" t="s">
        <v>392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1209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4" t="str">
        <f>LEFT(base[[#This Row],[Evento / Mercado]],FIND("/",base[[#This Row],[Evento / Mercado]])-2)</f>
        <v>Venezia vs Empoli</v>
      </c>
      <c r="T1516" s="142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82" t="s">
        <v>1684</v>
      </c>
      <c r="C1517" s="911" t="s">
        <v>3556</v>
      </c>
      <c r="D1517" s="1345">
        <v>46137.590277777781</v>
      </c>
      <c r="E1517" s="875">
        <v>20.322400000000002</v>
      </c>
      <c r="F1517" s="408">
        <v>4.4999999999999998E-2</v>
      </c>
      <c r="G1517" s="417">
        <f t="shared" si="24"/>
        <v>21.28</v>
      </c>
      <c r="H1517" s="417" t="s">
        <v>1555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4" t="str">
        <f>LEFT(base[[#This Row],[Evento / Mercado]],FIND("/",base[[#This Row],[Evento / Mercado]])-2)</f>
        <v>Venezia vs Empoli</v>
      </c>
      <c r="T1517" s="142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82" t="s">
        <v>1683</v>
      </c>
      <c r="C1518" s="911" t="s">
        <v>3556</v>
      </c>
      <c r="D1518" s="1345">
        <v>46137.611192129632</v>
      </c>
      <c r="E1518" s="875">
        <v>1.91</v>
      </c>
      <c r="F1518" s="408">
        <v>4.4999999999999998E-2</v>
      </c>
      <c r="G1518" s="417">
        <f t="shared" si="24"/>
        <v>2</v>
      </c>
      <c r="H1518" s="417" t="s">
        <v>1666</v>
      </c>
      <c r="I1518" s="415" t="s">
        <v>1558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4" t="str">
        <f>LEFT(base[[#This Row],[Evento / Mercado]],FIND("/",base[[#This Row],[Evento / Mercado]])-2)</f>
        <v>Angers SCO vs Paris Saint-Germain</v>
      </c>
      <c r="T1518" s="1420">
        <f>base[[#This Row],[Data de liquidação]]</f>
        <v>46137.611192129632</v>
      </c>
    </row>
    <row r="1519" spans="2:22" ht="15" customHeight="1">
      <c r="B1519" s="782" t="s">
        <v>1682</v>
      </c>
      <c r="C1519" s="911" t="s">
        <v>3556</v>
      </c>
      <c r="D1519" s="1345">
        <v>46137.633356481485</v>
      </c>
      <c r="E1519" s="875">
        <v>15.4</v>
      </c>
      <c r="F1519" s="408">
        <v>4.4999999999999998E-2</v>
      </c>
      <c r="G1519" s="417">
        <f t="shared" si="24"/>
        <v>16.125654450261781</v>
      </c>
      <c r="H1519" s="417" t="s">
        <v>1555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4" t="str">
        <f>LEFT(base[[#This Row],[Evento / Mercado]],FIND("/",base[[#This Row],[Evento / Mercado]])-2)</f>
        <v>Manchester City vs Southampton</v>
      </c>
      <c r="T1519" s="1420">
        <f>base[[#This Row],[Data de liquidação]]</f>
        <v>46137.633356481485</v>
      </c>
    </row>
    <row r="1520" spans="2:22" ht="15" customHeight="1">
      <c r="B1520" s="782" t="s">
        <v>1681</v>
      </c>
      <c r="C1520" s="911" t="s">
        <v>3556</v>
      </c>
      <c r="D1520" s="1345">
        <v>46137.640810185185</v>
      </c>
      <c r="E1520" s="875">
        <v>33.64</v>
      </c>
      <c r="F1520" s="408">
        <v>4.4999999999999998E-2</v>
      </c>
      <c r="G1520" s="417">
        <f t="shared" si="24"/>
        <v>35.225130890052355</v>
      </c>
      <c r="H1520" s="417" t="s">
        <v>179</v>
      </c>
      <c r="I1520" s="415" t="s">
        <v>392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1219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4" t="str">
        <f>LEFT(base[[#This Row],[Evento / Mercado]],FIND("/",base[[#This Row],[Evento / Mercado]])-2)</f>
        <v>Celtic vs Falkirk</v>
      </c>
      <c r="T1520" s="1420">
        <f>base[[#This Row],[Data de liquidação]]</f>
        <v>46137.640810185185</v>
      </c>
    </row>
    <row r="1521" spans="2:22" ht="15" customHeight="1">
      <c r="B1521" s="782" t="s">
        <v>1680</v>
      </c>
      <c r="C1521" s="911" t="s">
        <v>3556</v>
      </c>
      <c r="D1521" s="1345">
        <v>46137.64439814815</v>
      </c>
      <c r="E1521" s="875">
        <v>51.617749999999994</v>
      </c>
      <c r="F1521" s="408">
        <v>4.4999999999999998E-2</v>
      </c>
      <c r="G1521" s="417">
        <f t="shared" si="24"/>
        <v>54.05</v>
      </c>
      <c r="H1521" s="417" t="s">
        <v>179</v>
      </c>
      <c r="I1521" s="415" t="s">
        <v>392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1201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4" t="str">
        <f>LEFT(base[[#This Row],[Evento / Mercado]],FIND("/",base[[#This Row],[Evento / Mercado]])-2)</f>
        <v>Arsenal vs Newcastle United</v>
      </c>
      <c r="T1521" s="142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82" t="s">
        <v>1680</v>
      </c>
      <c r="C1522" s="911" t="s">
        <v>3556</v>
      </c>
      <c r="D1522" s="1345">
        <v>46137.64439814815</v>
      </c>
      <c r="E1522" s="875">
        <v>3.7722500000000001</v>
      </c>
      <c r="F1522" s="408">
        <v>4.4999999999999998E-2</v>
      </c>
      <c r="G1522" s="417">
        <f t="shared" si="24"/>
        <v>3.95</v>
      </c>
      <c r="H1522" s="417" t="s">
        <v>1666</v>
      </c>
      <c r="I1522" s="415" t="s">
        <v>1717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4" t="str">
        <f>LEFT(base[[#This Row],[Evento / Mercado]],FIND("/",base[[#This Row],[Evento / Mercado]])-2)</f>
        <v>Arsenal vs Newcastle United</v>
      </c>
      <c r="T1522" s="142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82" t="s">
        <v>1679</v>
      </c>
      <c r="C1523" s="911" t="s">
        <v>3556</v>
      </c>
      <c r="D1523" s="1345">
        <v>46137.644537037035</v>
      </c>
      <c r="E1523" s="875">
        <v>-1.95</v>
      </c>
      <c r="F1523" s="408">
        <v>4.4999999999999998E-2</v>
      </c>
      <c r="G1523" s="417">
        <f t="shared" si="24"/>
        <v>-1.95</v>
      </c>
      <c r="H1523" s="417" t="s">
        <v>1666</v>
      </c>
      <c r="I1523" s="415" t="s">
        <v>1558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4" t="str">
        <f>LEFT(base[[#This Row],[Evento / Mercado]],FIND("/",base[[#This Row],[Evento / Mercado]])-2)</f>
        <v>Arsenal vs Newcastle United</v>
      </c>
      <c r="T1523" s="1420">
        <f>base[[#This Row],[Data de liquidação]]</f>
        <v>46137.644537037035</v>
      </c>
    </row>
    <row r="1524" spans="2:22" ht="15" customHeight="1">
      <c r="B1524" s="782" t="s">
        <v>1678</v>
      </c>
      <c r="C1524" s="911" t="s">
        <v>3556</v>
      </c>
      <c r="D1524" s="1345">
        <v>46137.684560185182</v>
      </c>
      <c r="E1524" s="875">
        <v>2.65</v>
      </c>
      <c r="F1524" s="408">
        <v>4.4999999999999998E-2</v>
      </c>
      <c r="G1524" s="417">
        <f t="shared" si="24"/>
        <v>2.7748691099476441</v>
      </c>
      <c r="H1524" s="417" t="s">
        <v>1666</v>
      </c>
      <c r="I1524" s="415" t="s">
        <v>1715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4" t="str">
        <f>LEFT(base[[#This Row],[Evento / Mercado]],FIND("/",base[[#This Row],[Evento / Mercado]])-2)</f>
        <v>Hapoel Be'er Sheva vs Beitar Jerusalem</v>
      </c>
      <c r="T1524" s="1420">
        <f>base[[#This Row],[Data de liquidação]]</f>
        <v>46137.684560185182</v>
      </c>
    </row>
    <row r="1525" spans="2:22" ht="15" customHeight="1">
      <c r="B1525" s="782" t="s">
        <v>1677</v>
      </c>
      <c r="C1525" s="911" t="s">
        <v>3556</v>
      </c>
      <c r="D1525" s="1345">
        <v>46137.693993055553</v>
      </c>
      <c r="E1525" s="875">
        <v>1.91</v>
      </c>
      <c r="F1525" s="408">
        <v>4.4999999999999998E-2</v>
      </c>
      <c r="G1525" s="417">
        <f t="shared" si="24"/>
        <v>2</v>
      </c>
      <c r="H1525" s="417" t="s">
        <v>1666</v>
      </c>
      <c r="I1525" s="415" t="s">
        <v>1558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4" t="str">
        <f>LEFT(base[[#This Row],[Evento / Mercado]],FIND("/",base[[#This Row],[Evento / Mercado]])-2)</f>
        <v>FC Twente vs NEC</v>
      </c>
      <c r="T1525" s="1420">
        <f>base[[#This Row],[Data de liquidação]]</f>
        <v>46137.693993055553</v>
      </c>
    </row>
    <row r="1526" spans="2:22" ht="15" customHeight="1">
      <c r="B1526" s="782" t="s">
        <v>1676</v>
      </c>
      <c r="C1526" s="911" t="s">
        <v>3556</v>
      </c>
      <c r="D1526" s="1345">
        <v>46137.700173611112</v>
      </c>
      <c r="E1526" s="875">
        <v>-2</v>
      </c>
      <c r="F1526" s="408">
        <v>4.4999999999999998E-2</v>
      </c>
      <c r="G1526" s="417">
        <f t="shared" si="24"/>
        <v>-2</v>
      </c>
      <c r="H1526" s="417" t="s">
        <v>1666</v>
      </c>
      <c r="I1526" s="415" t="s">
        <v>1716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4" t="str">
        <f>LEFT(base[[#This Row],[Evento / Mercado]],FIND("/",base[[#This Row],[Evento / Mercado]])-2)</f>
        <v>Saint-Étienne vs Troyes AC</v>
      </c>
      <c r="T1526" s="1420">
        <f>base[[#This Row],[Data de liquidação]]</f>
        <v>46137.700173611112</v>
      </c>
    </row>
    <row r="1527" spans="2:22" ht="15" customHeight="1">
      <c r="B1527" s="782" t="s">
        <v>1675</v>
      </c>
      <c r="C1527" s="911" t="s">
        <v>3556</v>
      </c>
      <c r="D1527" s="1345">
        <v>46137.706134259257</v>
      </c>
      <c r="E1527" s="875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694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1205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4" t="str">
        <f>LEFT(base[[#This Row],[Evento / Mercado]],FIND("/",base[[#This Row],[Evento / Mercado]])-2)</f>
        <v>NAC Breda vs Ajax</v>
      </c>
      <c r="T1527" s="1420">
        <f>base[[#This Row],[Data de liquidação]]</f>
        <v>46137.706134259257</v>
      </c>
    </row>
    <row r="1528" spans="2:22" ht="15" customHeight="1">
      <c r="B1528" s="782" t="s">
        <v>1674</v>
      </c>
      <c r="C1528" s="911" t="s">
        <v>3556</v>
      </c>
      <c r="D1528" s="1345">
        <v>46137.70857638889</v>
      </c>
      <c r="E1528" s="875">
        <v>1.91</v>
      </c>
      <c r="F1528" s="408">
        <v>4.4999999999999998E-2</v>
      </c>
      <c r="G1528" s="417">
        <f t="shared" si="24"/>
        <v>2</v>
      </c>
      <c r="H1528" s="417" t="s">
        <v>1666</v>
      </c>
      <c r="I1528" s="415" t="s">
        <v>1558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4" t="str">
        <f>LEFT(base[[#This Row],[Evento / Mercado]],FIND("/",base[[#This Row],[Evento / Mercado]])-2)</f>
        <v>Independiente del Valle vs Leones del Norte</v>
      </c>
      <c r="T1528" s="1420">
        <f>base[[#This Row],[Data de liquidação]]</f>
        <v>46137.70857638889</v>
      </c>
    </row>
    <row r="1529" spans="2:22" ht="15" customHeight="1">
      <c r="B1529" s="782" t="s">
        <v>1673</v>
      </c>
      <c r="C1529" s="911" t="s">
        <v>3556</v>
      </c>
      <c r="D1529" s="1345">
        <v>46137.732418981483</v>
      </c>
      <c r="E1529" s="875">
        <v>3.18</v>
      </c>
      <c r="F1529" s="408">
        <v>4.4999999999999998E-2</v>
      </c>
      <c r="G1529" s="417">
        <f t="shared" si="24"/>
        <v>3.329842931937173</v>
      </c>
      <c r="H1529" s="417" t="s">
        <v>1666</v>
      </c>
      <c r="I1529" s="415" t="s">
        <v>1715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4" t="str">
        <f>LEFT(base[[#This Row],[Evento / Mercado]],FIND("/",base[[#This Row],[Evento / Mercado]])-2)</f>
        <v>FC Thun vs FC Lugano</v>
      </c>
      <c r="T1529" s="1420">
        <f>base[[#This Row],[Data de liquidação]]</f>
        <v>46137.732418981483</v>
      </c>
    </row>
    <row r="1530" spans="2:22" ht="15" customHeight="1">
      <c r="B1530" s="782" t="s">
        <v>1672</v>
      </c>
      <c r="C1530" s="911" t="s">
        <v>3556</v>
      </c>
      <c r="D1530" s="1345">
        <v>46137.830462962964</v>
      </c>
      <c r="E1530" s="875">
        <v>-3.31</v>
      </c>
      <c r="F1530" s="408">
        <v>4.4999999999999998E-2</v>
      </c>
      <c r="G1530" s="417">
        <f t="shared" si="24"/>
        <v>-3.31</v>
      </c>
      <c r="H1530" s="417" t="s">
        <v>1666</v>
      </c>
      <c r="I1530" s="415" t="s">
        <v>1558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4" t="str">
        <f>LEFT(base[[#This Row],[Evento / Mercado]],FIND("/",base[[#This Row],[Evento / Mercado]])-2)</f>
        <v>Deportivo Pereira vs Atlético Nacional</v>
      </c>
      <c r="T1530" s="1420">
        <f>base[[#This Row],[Data de liquidação]]</f>
        <v>46137.830462962964</v>
      </c>
    </row>
    <row r="1531" spans="2:22" ht="15" customHeight="1">
      <c r="B1531" s="782" t="s">
        <v>1671</v>
      </c>
      <c r="C1531" s="911" t="s">
        <v>3556</v>
      </c>
      <c r="D1531" s="1345">
        <v>46137.842592592591</v>
      </c>
      <c r="E1531" s="875">
        <v>3.68</v>
      </c>
      <c r="F1531" s="408">
        <v>4.4999999999999998E-2</v>
      </c>
      <c r="G1531" s="417">
        <f t="shared" si="24"/>
        <v>3.8534031413612571</v>
      </c>
      <c r="H1531" s="417" t="s">
        <v>1666</v>
      </c>
      <c r="I1531" s="415" t="s">
        <v>1715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4" t="str">
        <f>LEFT(base[[#This Row],[Evento / Mercado]],FIND("/",base[[#This Row],[Evento / Mercado]])-2)</f>
        <v>Academia de Balompie Boliviano vs Blooming Santa Cruz</v>
      </c>
      <c r="T1531" s="1420">
        <f>base[[#This Row],[Data de liquidação]]</f>
        <v>46137.842592592591</v>
      </c>
    </row>
    <row r="1532" spans="2:22" ht="15" customHeight="1">
      <c r="B1532" s="782" t="s">
        <v>1670</v>
      </c>
      <c r="C1532" s="911" t="s">
        <v>3556</v>
      </c>
      <c r="D1532" s="1345">
        <v>46137.853356481479</v>
      </c>
      <c r="E1532" s="875">
        <v>0.48</v>
      </c>
      <c r="F1532" s="408">
        <v>4.4999999999999998E-2</v>
      </c>
      <c r="G1532" s="417">
        <f t="shared" si="24"/>
        <v>0.50261780104712039</v>
      </c>
      <c r="H1532" s="417" t="s">
        <v>1666</v>
      </c>
      <c r="I1532" s="415" t="s">
        <v>1718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4" t="str">
        <f>LEFT(base[[#This Row],[Evento / Mercado]],FIND("/",base[[#This Row],[Evento / Mercado]])-2)</f>
        <v>Clube do Remo vs Cruzeiro</v>
      </c>
      <c r="T1532" s="1420">
        <f>base[[#This Row],[Data de liquidação]]</f>
        <v>46137.853356481479</v>
      </c>
    </row>
    <row r="1533" spans="2:22" ht="15" customHeight="1">
      <c r="B1533" s="782" t="s">
        <v>1669</v>
      </c>
      <c r="C1533" s="911" t="s">
        <v>3556</v>
      </c>
      <c r="D1533" s="1345">
        <v>46137.859363425923</v>
      </c>
      <c r="E1533" s="875">
        <v>2.27</v>
      </c>
      <c r="F1533" s="408">
        <v>4.4999999999999998E-2</v>
      </c>
      <c r="G1533" s="417">
        <f t="shared" si="24"/>
        <v>2.3769633507853403</v>
      </c>
      <c r="H1533" s="417" t="s">
        <v>1666</v>
      </c>
      <c r="I1533" s="415" t="s">
        <v>1715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4" t="str">
        <f>LEFT(base[[#This Row],[Evento / Mercado]],FIND("/",base[[#This Row],[Evento / Mercado]])-2)</f>
        <v>Esporte Clube Bahia vs Santos FC</v>
      </c>
      <c r="T1533" s="1420">
        <f>base[[#This Row],[Data de liquidação]]</f>
        <v>46137.859363425923</v>
      </c>
    </row>
    <row r="1534" spans="2:22" ht="15" customHeight="1">
      <c r="B1534" s="782" t="s">
        <v>1668</v>
      </c>
      <c r="C1534" s="911" t="s">
        <v>3556</v>
      </c>
      <c r="D1534" s="1345">
        <v>46137.897187499999</v>
      </c>
      <c r="E1534" s="875">
        <v>1.91</v>
      </c>
      <c r="F1534" s="408">
        <v>4.4999999999999998E-2</v>
      </c>
      <c r="G1534" s="417">
        <f t="shared" si="24"/>
        <v>2</v>
      </c>
      <c r="H1534" s="417" t="s">
        <v>1666</v>
      </c>
      <c r="I1534" s="415" t="s">
        <v>1558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4" t="str">
        <f>LEFT(base[[#This Row],[Evento / Mercado]],FIND("/",base[[#This Row],[Evento / Mercado]])-2)</f>
        <v>FC Cincinnati vs New York Red Bulls</v>
      </c>
      <c r="T1534" s="1420">
        <f>base[[#This Row],[Data de liquidação]]</f>
        <v>46137.897187499999</v>
      </c>
    </row>
    <row r="1535" spans="2:22" ht="15" customHeight="1">
      <c r="B1535" s="782" t="s">
        <v>1667</v>
      </c>
      <c r="C1535" s="911" t="s">
        <v>3556</v>
      </c>
      <c r="D1535" s="1345">
        <v>46137.957268518519</v>
      </c>
      <c r="E1535" s="875">
        <v>0.78</v>
      </c>
      <c r="F1535" s="408">
        <v>4.4999999999999998E-2</v>
      </c>
      <c r="G1535" s="417">
        <f t="shared" si="24"/>
        <v>0.81675392670157076</v>
      </c>
      <c r="H1535" s="417" t="s">
        <v>1666</v>
      </c>
      <c r="I1535" s="415" t="s">
        <v>1716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4" t="str">
        <f>LEFT(base[[#This Row],[Evento / Mercado]],FIND("/",base[[#This Row],[Evento / Mercado]])-2)</f>
        <v>São Paulo vs Mirassol FC</v>
      </c>
      <c r="T1535" s="1420">
        <f>base[[#This Row],[Data de liquidação]]</f>
        <v>46137.957268518519</v>
      </c>
    </row>
    <row r="1536" spans="2:22" ht="15" customHeight="1">
      <c r="B1536" s="782" t="s">
        <v>1748</v>
      </c>
      <c r="C1536" s="911" t="s">
        <v>3556</v>
      </c>
      <c r="D1536" s="1345">
        <v>46138.007881944446</v>
      </c>
      <c r="E1536" s="875">
        <v>3.77</v>
      </c>
      <c r="F1536" s="408">
        <v>4.4999999999999998E-2</v>
      </c>
      <c r="G1536" s="417">
        <f t="shared" si="24"/>
        <v>3.9476439790575917</v>
      </c>
      <c r="H1536" s="417" t="s">
        <v>1666</v>
      </c>
      <c r="I1536" s="415" t="s">
        <v>1717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4" t="str">
        <f>LEFT(base[[#This Row],[Evento / Mercado]],FIND("/",base[[#This Row],[Evento / Mercado]])-2)</f>
        <v>CD Guadalajara vs Club Tijuana</v>
      </c>
      <c r="T1536" s="1420">
        <f>base[[#This Row],[Data de liquidação]]</f>
        <v>46138.007881944446</v>
      </c>
    </row>
    <row r="1537" spans="2:20" ht="15" customHeight="1">
      <c r="B1537" s="782" t="s">
        <v>1747</v>
      </c>
      <c r="C1537" s="911" t="s">
        <v>3556</v>
      </c>
      <c r="D1537" s="1345">
        <v>46138.272951388892</v>
      </c>
      <c r="E1537" s="875">
        <v>0.4</v>
      </c>
      <c r="F1537" s="408">
        <v>4.4999999999999998E-2</v>
      </c>
      <c r="G1537" s="417">
        <f t="shared" si="24"/>
        <v>0.41884816753926707</v>
      </c>
      <c r="H1537" s="417" t="s">
        <v>1666</v>
      </c>
      <c r="I1537" s="415" t="s">
        <v>1663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4" t="str">
        <f>LEFT(base[[#This Row],[Evento / Mercado]],FIND("/",base[[#This Row],[Evento / Mercado]])-2)</f>
        <v>Melbourne City FC vs Adelaide United</v>
      </c>
      <c r="T1537" s="1420">
        <f>base[[#This Row],[Data de liquidação]]</f>
        <v>46138.272951388892</v>
      </c>
    </row>
    <row r="1538" spans="2:20" ht="15" customHeight="1">
      <c r="B1538" s="782" t="s">
        <v>1746</v>
      </c>
      <c r="C1538" s="911" t="s">
        <v>3556</v>
      </c>
      <c r="D1538" s="1345">
        <v>46138.393773148149</v>
      </c>
      <c r="E1538" s="875">
        <v>1.91</v>
      </c>
      <c r="F1538" s="408">
        <v>4.4999999999999998E-2</v>
      </c>
      <c r="G1538" s="417">
        <f t="shared" si="24"/>
        <v>2</v>
      </c>
      <c r="H1538" s="417" t="s">
        <v>1666</v>
      </c>
      <c r="I1538" s="415" t="s">
        <v>1715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4" t="str">
        <f>LEFT(base[[#This Row],[Evento / Mercado]],FIND("/",base[[#This Row],[Evento / Mercado]])-2)</f>
        <v>Fiorentina vs Sassuolo</v>
      </c>
      <c r="T1538" s="1420">
        <f>base[[#This Row],[Data de liquidação]]</f>
        <v>46138.393773148149</v>
      </c>
    </row>
    <row r="1539" spans="2:20" ht="15" customHeight="1">
      <c r="B1539" s="782" t="s">
        <v>1745</v>
      </c>
      <c r="C1539" s="911" t="s">
        <v>3556</v>
      </c>
      <c r="D1539" s="1345">
        <v>46138.408483796295</v>
      </c>
      <c r="E1539" s="875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1666</v>
      </c>
      <c r="I1539" s="415" t="s">
        <v>1558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4" t="str">
        <f>LEFT(base[[#This Row],[Evento / Mercado]],FIND("/",base[[#This Row],[Evento / Mercado]])-2)</f>
        <v>VfL Bochum vs SpVgg Greuther Fürth</v>
      </c>
      <c r="T1539" s="1420">
        <f>base[[#This Row],[Data de liquidação]]</f>
        <v>46138.408483796295</v>
      </c>
    </row>
    <row r="1540" spans="2:20" ht="15" customHeight="1">
      <c r="B1540" s="782" t="s">
        <v>1744</v>
      </c>
      <c r="C1540" s="911" t="s">
        <v>3556</v>
      </c>
      <c r="D1540" s="1345">
        <v>46138.429560185185</v>
      </c>
      <c r="E1540" s="875">
        <v>-0.84</v>
      </c>
      <c r="F1540" s="408">
        <v>4.4999999999999998E-2</v>
      </c>
      <c r="G1540" s="417">
        <f t="shared" si="25"/>
        <v>-0.84</v>
      </c>
      <c r="H1540" s="417" t="s">
        <v>1666</v>
      </c>
      <c r="I1540" s="415" t="s">
        <v>1558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4" t="str">
        <f>LEFT(base[[#This Row],[Evento / Mercado]],FIND("/",base[[#This Row],[Evento / Mercado]])-2)</f>
        <v>KAA Gent vs Club Brugge</v>
      </c>
      <c r="T1540" s="1420">
        <f>base[[#This Row],[Data de liquidação]]</f>
        <v>46138.429560185185</v>
      </c>
    </row>
    <row r="1541" spans="2:20" ht="15" customHeight="1">
      <c r="B1541" s="782" t="s">
        <v>1743</v>
      </c>
      <c r="C1541" s="911" t="s">
        <v>3556</v>
      </c>
      <c r="D1541" s="1345">
        <v>46138.434386574074</v>
      </c>
      <c r="E1541" s="875">
        <v>-32.4</v>
      </c>
      <c r="F1541" s="408">
        <v>4.4999999999999998E-2</v>
      </c>
      <c r="G1541" s="417">
        <f t="shared" si="25"/>
        <v>-32.4</v>
      </c>
      <c r="H1541" s="417" t="s">
        <v>1666</v>
      </c>
      <c r="I1541" s="415" t="s">
        <v>1717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4" t="str">
        <f>LEFT(base[[#This Row],[Evento / Mercado]],FIND("/",base[[#This Row],[Evento / Mercado]])-2)</f>
        <v>Nõmme Kalju FC vs Pärnu JK Vaprus</v>
      </c>
      <c r="T1541" s="1420">
        <f>base[[#This Row],[Data de liquidação]]</f>
        <v>46138.434386574074</v>
      </c>
    </row>
    <row r="1542" spans="2:20" ht="15" customHeight="1">
      <c r="B1542" s="782" t="s">
        <v>1742</v>
      </c>
      <c r="C1542" s="911" t="s">
        <v>3556</v>
      </c>
      <c r="D1542" s="1345">
        <v>46138.435486111113</v>
      </c>
      <c r="E1542" s="875">
        <v>2.39</v>
      </c>
      <c r="F1542" s="408">
        <v>4.4999999999999998E-2</v>
      </c>
      <c r="G1542" s="417">
        <f t="shared" si="25"/>
        <v>2.5026178010471205</v>
      </c>
      <c r="H1542" s="417" t="s">
        <v>1666</v>
      </c>
      <c r="I1542" s="415" t="s">
        <v>1665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4" t="str">
        <f>LEFT(base[[#This Row],[Evento / Mercado]],FIND("/",base[[#This Row],[Evento / Mercado]])-2)</f>
        <v>1. FC Nürnberg vs 1. FC Magdeburg</v>
      </c>
      <c r="T1542" s="1420">
        <f>base[[#This Row],[Data de liquidação]]</f>
        <v>46138.435486111113</v>
      </c>
    </row>
    <row r="1543" spans="2:20" ht="15" customHeight="1">
      <c r="B1543" s="782" t="s">
        <v>1741</v>
      </c>
      <c r="C1543" s="911" t="s">
        <v>3556</v>
      </c>
      <c r="D1543" s="1345">
        <v>46138.45553240741</v>
      </c>
      <c r="E1543" s="875">
        <v>1.64</v>
      </c>
      <c r="F1543" s="408">
        <v>4.4999999999999998E-2</v>
      </c>
      <c r="G1543" s="417">
        <f t="shared" si="25"/>
        <v>1.7172774869109948</v>
      </c>
      <c r="H1543" s="417" t="s">
        <v>1666</v>
      </c>
      <c r="I1543" s="415" t="s">
        <v>1715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4" t="str">
        <f>LEFT(base[[#This Row],[Evento / Mercado]],FIND("/",base[[#This Row],[Evento / Mercado]])-2)</f>
        <v>FC Fredericia vs Odense BK</v>
      </c>
      <c r="T1543" s="1420">
        <f>base[[#This Row],[Data de liquidação]]</f>
        <v>46138.45553240741</v>
      </c>
    </row>
    <row r="1544" spans="2:20" ht="15" customHeight="1">
      <c r="B1544" s="782" t="s">
        <v>1740</v>
      </c>
      <c r="C1544" s="911" t="s">
        <v>3556</v>
      </c>
      <c r="D1544" s="1345">
        <v>46138.457962962966</v>
      </c>
      <c r="E1544" s="875">
        <v>-0.54</v>
      </c>
      <c r="F1544" s="408">
        <v>4.4999999999999998E-2</v>
      </c>
      <c r="G1544" s="417">
        <f t="shared" si="25"/>
        <v>-0.54</v>
      </c>
      <c r="H1544" s="417" t="s">
        <v>1666</v>
      </c>
      <c r="I1544" s="415" t="s">
        <v>1558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4" t="str">
        <f>LEFT(base[[#This Row],[Evento / Mercado]],FIND("/",base[[#This Row],[Evento / Mercado]])-2)</f>
        <v>Widzew Lódz vs Motor Lublin</v>
      </c>
      <c r="T1544" s="1420">
        <f>base[[#This Row],[Data de liquidação]]</f>
        <v>46138.457962962966</v>
      </c>
    </row>
    <row r="1545" spans="2:20" ht="15" customHeight="1">
      <c r="B1545" s="782" t="s">
        <v>1739</v>
      </c>
      <c r="C1545" s="911" t="s">
        <v>3556</v>
      </c>
      <c r="D1545" s="1345">
        <v>46138.474537037036</v>
      </c>
      <c r="E1545" s="875">
        <v>-2</v>
      </c>
      <c r="F1545" s="408">
        <v>4.4999999999999998E-2</v>
      </c>
      <c r="G1545" s="417">
        <f t="shared" si="25"/>
        <v>-2</v>
      </c>
      <c r="H1545" s="417" t="s">
        <v>1666</v>
      </c>
      <c r="I1545" s="415" t="s">
        <v>1665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4" t="str">
        <f>LEFT(base[[#This Row],[Evento / Mercado]],FIND("/",base[[#This Row],[Evento / Mercado]])-2)</f>
        <v>FC Lorient vs RC Strasbourg</v>
      </c>
      <c r="T1545" s="1420">
        <f>base[[#This Row],[Data de liquidação]]</f>
        <v>46138.474537037036</v>
      </c>
    </row>
    <row r="1546" spans="2:20" ht="15" customHeight="1">
      <c r="B1546" s="782" t="s">
        <v>1738</v>
      </c>
      <c r="C1546" s="911" t="s">
        <v>3556</v>
      </c>
      <c r="D1546" s="1345">
        <v>46138.480150462965</v>
      </c>
      <c r="E1546" s="875">
        <v>-1.0900000000000001</v>
      </c>
      <c r="F1546" s="408">
        <v>4.4999999999999998E-2</v>
      </c>
      <c r="G1546" s="417">
        <f t="shared" si="25"/>
        <v>-1.0900000000000001</v>
      </c>
      <c r="H1546" s="417" t="s">
        <v>1666</v>
      </c>
      <c r="I1546" s="415" t="s">
        <v>1558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4" t="str">
        <f>LEFT(base[[#This Row],[Evento / Mercado]],FIND("/",base[[#This Row],[Evento / Mercado]])-2)</f>
        <v>Genoa vs Como</v>
      </c>
      <c r="T1546" s="1420">
        <f>base[[#This Row],[Data de liquidação]]</f>
        <v>46138.480150462965</v>
      </c>
    </row>
    <row r="1547" spans="2:20" ht="15" customHeight="1">
      <c r="B1547" s="782" t="s">
        <v>1737</v>
      </c>
      <c r="C1547" s="911" t="s">
        <v>3556</v>
      </c>
      <c r="D1547" s="1345">
        <v>46138.494618055556</v>
      </c>
      <c r="E1547" s="875">
        <v>-2.75</v>
      </c>
      <c r="F1547" s="408">
        <v>4.4999999999999998E-2</v>
      </c>
      <c r="G1547" s="417">
        <f t="shared" si="25"/>
        <v>-2.75</v>
      </c>
      <c r="H1547" s="417" t="s">
        <v>1666</v>
      </c>
      <c r="I1547" s="415" t="s">
        <v>1558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4" t="str">
        <f>LEFT(base[[#This Row],[Evento / Mercado]],FIND("/",base[[#This Row],[Evento / Mercado]])-2)</f>
        <v>VfB Stuttgart vs Werder Bremen</v>
      </c>
      <c r="T1547" s="1420">
        <f>base[[#This Row],[Data de liquidação]]</f>
        <v>46138.494618055556</v>
      </c>
    </row>
    <row r="1548" spans="2:20" ht="15" customHeight="1">
      <c r="B1548" s="782" t="s">
        <v>1736</v>
      </c>
      <c r="C1548" s="911" t="s">
        <v>3556</v>
      </c>
      <c r="D1548" s="1345">
        <v>46138.517835648148</v>
      </c>
      <c r="E1548" s="875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392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1200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4" t="str">
        <f>LEFT(base[[#This Row],[Evento / Mercado]],FIND("/",base[[#This Row],[Evento / Mercado]])-2)</f>
        <v>VfB Stuttgart vs Werder Bremen</v>
      </c>
      <c r="T1548" s="1420">
        <f>base[[#This Row],[Data de liquidação]]</f>
        <v>46138.517835648148</v>
      </c>
    </row>
    <row r="1549" spans="2:20" ht="15" customHeight="1">
      <c r="B1549" s="782" t="s">
        <v>1735</v>
      </c>
      <c r="C1549" s="911" t="s">
        <v>3556</v>
      </c>
      <c r="D1549" s="1345">
        <v>46138.539212962962</v>
      </c>
      <c r="E1549" s="875">
        <v>1.91</v>
      </c>
      <c r="F1549" s="408">
        <v>4.4999999999999998E-2</v>
      </c>
      <c r="G1549" s="417">
        <f t="shared" si="25"/>
        <v>2</v>
      </c>
      <c r="H1549" s="417" t="s">
        <v>1666</v>
      </c>
      <c r="I1549" s="415" t="s">
        <v>1558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4" t="str">
        <f>LEFT(base[[#This Row],[Evento / Mercado]],FIND("/",base[[#This Row],[Evento / Mercado]])-2)</f>
        <v>Stade Rennais vs FC Nantes</v>
      </c>
      <c r="T1549" s="1420">
        <f>base[[#This Row],[Data de liquidação]]</f>
        <v>46138.539212962962</v>
      </c>
    </row>
    <row r="1550" spans="2:20" ht="15" customHeight="1">
      <c r="B1550" s="782" t="s">
        <v>1734</v>
      </c>
      <c r="C1550" s="911" t="s">
        <v>3556</v>
      </c>
      <c r="D1550" s="1345">
        <v>46138.542592592596</v>
      </c>
      <c r="E1550" s="875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627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1219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4" t="str">
        <f>LEFT(base[[#This Row],[Evento / Mercado]],FIND("/",base[[#This Row],[Evento / Mercado]])-2)</f>
        <v>Rangers vs Motherwell</v>
      </c>
      <c r="T1550" s="1420">
        <f>base[[#This Row],[Data de liquidação]]</f>
        <v>46138.542592592596</v>
      </c>
    </row>
    <row r="1551" spans="2:20" ht="15" customHeight="1">
      <c r="B1551" s="782" t="s">
        <v>1733</v>
      </c>
      <c r="C1551" s="911" t="s">
        <v>3556</v>
      </c>
      <c r="D1551" s="1345">
        <v>46138.5783912037</v>
      </c>
      <c r="E1551" s="875">
        <v>2.65</v>
      </c>
      <c r="F1551" s="408">
        <v>4.4999999999999998E-2</v>
      </c>
      <c r="G1551" s="417">
        <f t="shared" si="25"/>
        <v>2.7748691099476441</v>
      </c>
      <c r="H1551" s="417" t="s">
        <v>1666</v>
      </c>
      <c r="I1551" s="415" t="s">
        <v>1715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4" t="str">
        <f>LEFT(base[[#This Row],[Evento / Mercado]],FIND("/",base[[#This Row],[Evento / Mercado]])-2)</f>
        <v>Aalesunds FK vs Kristiansund BK</v>
      </c>
      <c r="T1551" s="1420">
        <f>base[[#This Row],[Data de liquidação]]</f>
        <v>46138.5783912037</v>
      </c>
    </row>
    <row r="1552" spans="2:20" ht="15" customHeight="1">
      <c r="B1552" s="782" t="s">
        <v>1732</v>
      </c>
      <c r="C1552" s="911" t="s">
        <v>3556</v>
      </c>
      <c r="D1552" s="1345">
        <v>46138.600358796299</v>
      </c>
      <c r="E1552" s="875">
        <v>4.0999999999999996</v>
      </c>
      <c r="F1552" s="408">
        <v>4.4999999999999998E-2</v>
      </c>
      <c r="G1552" s="417">
        <f t="shared" si="25"/>
        <v>4.2931937172774868</v>
      </c>
      <c r="H1552" s="417" t="s">
        <v>1666</v>
      </c>
      <c r="I1552" s="415" t="s">
        <v>1717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4" t="str">
        <f>LEFT(base[[#This Row],[Evento / Mercado]],FIND("/",base[[#This Row],[Evento / Mercado]])-2)</f>
        <v>Borussia Dortmund vs SC Freiburg</v>
      </c>
      <c r="T1552" s="1420">
        <f>base[[#This Row],[Data de liquidação]]</f>
        <v>46138.600358796299</v>
      </c>
    </row>
    <row r="1553" spans="2:22" ht="15" customHeight="1">
      <c r="B1553" s="782" t="s">
        <v>1731</v>
      </c>
      <c r="C1553" s="911" t="s">
        <v>3556</v>
      </c>
      <c r="D1553" s="1345">
        <v>46138.620682870373</v>
      </c>
      <c r="E1553" s="875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694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1207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4" t="str">
        <f>LEFT(base[[#This Row],[Evento / Mercado]],FIND("/",base[[#This Row],[Evento / Mercado]])-2)</f>
        <v>Torino vs Internazionale</v>
      </c>
      <c r="T1553" s="1420">
        <f>base[[#This Row],[Data de liquidação]]</f>
        <v>46138.620682870373</v>
      </c>
    </row>
    <row r="1554" spans="2:22" ht="15" customHeight="1">
      <c r="B1554" s="782" t="s">
        <v>1730</v>
      </c>
      <c r="C1554" s="911" t="s">
        <v>3556</v>
      </c>
      <c r="D1554" s="1345">
        <v>46138.64130787037</v>
      </c>
      <c r="E1554" s="875">
        <v>1.91</v>
      </c>
      <c r="F1554" s="408">
        <v>4.4999999999999998E-2</v>
      </c>
      <c r="G1554" s="417">
        <f t="shared" si="25"/>
        <v>2</v>
      </c>
      <c r="H1554" s="417" t="s">
        <v>1666</v>
      </c>
      <c r="I1554" s="415" t="s">
        <v>1558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4" t="str">
        <f>LEFT(base[[#This Row],[Evento / Mercado]],FIND("/",base[[#This Row],[Evento / Mercado]])-2)</f>
        <v>Lillestrøm SK vs Bod</v>
      </c>
      <c r="T1554" s="1420">
        <f>base[[#This Row],[Data de liquidação]]</f>
        <v>46138.64130787037</v>
      </c>
    </row>
    <row r="1555" spans="2:22" ht="15" customHeight="1">
      <c r="B1555" s="782" t="s">
        <v>1729</v>
      </c>
      <c r="C1555" s="911" t="s">
        <v>3556</v>
      </c>
      <c r="D1555" s="1345">
        <v>46138.663946759261</v>
      </c>
      <c r="E1555" s="875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694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1749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4" t="str">
        <f>LEFT(base[[#This Row],[Evento / Mercado]],FIND("/",base[[#This Row],[Evento / Mercado]])-2)</f>
        <v>Club Football Estrela vs FC Porto</v>
      </c>
      <c r="T1555" s="1420">
        <f>base[[#This Row],[Data de liquidação]]</f>
        <v>46138.663946759261</v>
      </c>
    </row>
    <row r="1556" spans="2:22" ht="15" customHeight="1">
      <c r="B1556" s="782" t="s">
        <v>1728</v>
      </c>
      <c r="C1556" s="911" t="s">
        <v>3556</v>
      </c>
      <c r="D1556" s="1345">
        <v>46138.6640625</v>
      </c>
      <c r="E1556" s="875">
        <v>19.49155</v>
      </c>
      <c r="F1556" s="408">
        <v>4.4999999999999998E-2</v>
      </c>
      <c r="G1556" s="417">
        <f t="shared" si="25"/>
        <v>20.41</v>
      </c>
      <c r="H1556" s="417" t="s">
        <v>1555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4" t="str">
        <f>LEFT(base[[#This Row],[Evento / Mercado]],FIND("/",base[[#This Row],[Evento / Mercado]])-2)</f>
        <v>Club Football Estrela vs FC Porto</v>
      </c>
      <c r="T1556" s="142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82" t="s">
        <v>1728</v>
      </c>
      <c r="C1557" s="911" t="s">
        <v>3556</v>
      </c>
      <c r="D1557" s="1345">
        <v>46138.6640625</v>
      </c>
      <c r="E1557" s="875">
        <v>24.76315</v>
      </c>
      <c r="F1557" s="408">
        <v>4.4999999999999998E-2</v>
      </c>
      <c r="G1557" s="417">
        <f t="shared" si="25"/>
        <v>25.93</v>
      </c>
      <c r="H1557" s="417" t="s">
        <v>179</v>
      </c>
      <c r="I1557" s="415" t="s">
        <v>391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1749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4" t="str">
        <f>LEFT(base[[#This Row],[Evento / Mercado]],FIND("/",base[[#This Row],[Evento / Mercado]])-2)</f>
        <v>Club Football Estrela vs FC Porto</v>
      </c>
      <c r="T1557" s="142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82" t="s">
        <v>1727</v>
      </c>
      <c r="C1558" s="911" t="s">
        <v>3556</v>
      </c>
      <c r="D1558" s="1345">
        <v>46138.738634259258</v>
      </c>
      <c r="E1558" s="875">
        <v>30.39</v>
      </c>
      <c r="F1558" s="408">
        <v>4.4999999999999998E-2</v>
      </c>
      <c r="G1558" s="417">
        <f t="shared" si="25"/>
        <v>31.821989528795815</v>
      </c>
      <c r="H1558" s="417" t="s">
        <v>179</v>
      </c>
      <c r="I1558" s="415" t="s">
        <v>1594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1208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4" t="str">
        <f>LEFT(base[[#This Row],[Evento / Mercado]],FIND("/",base[[#This Row],[Evento / Mercado]])-2)</f>
        <v>Olympique Marseille vs OGC Nice</v>
      </c>
      <c r="T1558" s="1420">
        <f>base[[#This Row],[Data de liquidação]]</f>
        <v>46138.738634259258</v>
      </c>
    </row>
    <row r="1559" spans="2:22" ht="15" customHeight="1">
      <c r="B1559" s="782" t="s">
        <v>1726</v>
      </c>
      <c r="C1559" s="911" t="s">
        <v>3556</v>
      </c>
      <c r="D1559" s="1345">
        <v>46138.756874999999</v>
      </c>
      <c r="E1559" s="875">
        <v>0.85</v>
      </c>
      <c r="F1559" s="408">
        <v>4.4999999999999998E-2</v>
      </c>
      <c r="G1559" s="417">
        <f t="shared" si="25"/>
        <v>0.89005235602094246</v>
      </c>
      <c r="H1559" s="417" t="s">
        <v>1666</v>
      </c>
      <c r="I1559" s="415" t="s">
        <v>1716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4" t="str">
        <f>LEFT(base[[#This Row],[Evento / Mercado]],FIND("/",base[[#This Row],[Evento / Mercado]])-2)</f>
        <v>Grêmio FBPA vs Coritiba</v>
      </c>
      <c r="T1559" s="1420">
        <f>base[[#This Row],[Data de liquidação]]</f>
        <v>46138.756874999999</v>
      </c>
    </row>
    <row r="1560" spans="2:22" ht="15" customHeight="1">
      <c r="B1560" s="782" t="s">
        <v>1725</v>
      </c>
      <c r="C1560" s="911" t="s">
        <v>3556</v>
      </c>
      <c r="D1560" s="1345">
        <v>46138.85465277778</v>
      </c>
      <c r="E1560" s="875">
        <v>2.0699999999999998</v>
      </c>
      <c r="F1560" s="408">
        <v>4.4999999999999998E-2</v>
      </c>
      <c r="G1560" s="417">
        <f t="shared" si="25"/>
        <v>2.1675392670157065</v>
      </c>
      <c r="H1560" s="417" t="s">
        <v>1666</v>
      </c>
      <c r="I1560" s="415" t="s">
        <v>1715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4" t="str">
        <f>LEFT(base[[#This Row],[Evento / Mercado]],FIND("/",base[[#This Row],[Evento / Mercado]])-2)</f>
        <v>Athlético Paranaense vs EC Vitória</v>
      </c>
      <c r="T1560" s="1420">
        <f>base[[#This Row],[Data de liquidação]]</f>
        <v>46138.85465277778</v>
      </c>
    </row>
    <row r="1561" spans="2:22" ht="15" customHeight="1">
      <c r="B1561" s="782" t="s">
        <v>1724</v>
      </c>
      <c r="C1561" s="911" t="s">
        <v>3556</v>
      </c>
      <c r="D1561" s="1345">
        <v>46138.85491898148</v>
      </c>
      <c r="E1561" s="875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392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1370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4" t="str">
        <f>LEFT(base[[#This Row],[Evento / Mercado]],FIND("/",base[[#This Row],[Evento / Mercado]])-2)</f>
        <v>Athlético Paranaense vs EC Vitória</v>
      </c>
      <c r="T1561" s="1420">
        <f>base[[#This Row],[Data de liquidação]]</f>
        <v>46138.85491898148</v>
      </c>
    </row>
    <row r="1562" spans="2:22" ht="15" customHeight="1">
      <c r="B1562" s="782" t="s">
        <v>1723</v>
      </c>
      <c r="C1562" s="911" t="s">
        <v>3556</v>
      </c>
      <c r="D1562" s="1345">
        <v>46138.870694444442</v>
      </c>
      <c r="E1562" s="875">
        <v>1.83</v>
      </c>
      <c r="F1562" s="408">
        <v>4.4999999999999998E-2</v>
      </c>
      <c r="G1562" s="417">
        <f t="shared" si="25"/>
        <v>1.9162303664921467</v>
      </c>
      <c r="H1562" s="417" t="s">
        <v>1666</v>
      </c>
      <c r="I1562" s="415" t="s">
        <v>1715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4" t="str">
        <f>LEFT(base[[#This Row],[Evento / Mercado]],FIND("/",base[[#This Row],[Evento / Mercado]])-2)</f>
        <v>Metropolitanos FC vs Estudiantes de Mérida</v>
      </c>
      <c r="T1562" s="1420">
        <f>base[[#This Row],[Data de liquidação]]</f>
        <v>46138.870694444442</v>
      </c>
    </row>
    <row r="1563" spans="2:22" ht="15" customHeight="1">
      <c r="B1563" s="782" t="s">
        <v>1722</v>
      </c>
      <c r="C1563" s="911" t="s">
        <v>3556</v>
      </c>
      <c r="D1563" s="1345">
        <v>46138.870752314811</v>
      </c>
      <c r="E1563" s="875">
        <v>1.22</v>
      </c>
      <c r="F1563" s="408">
        <v>4.4999999999999998E-2</v>
      </c>
      <c r="G1563" s="417">
        <f t="shared" si="25"/>
        <v>1.2774869109947644</v>
      </c>
      <c r="H1563" s="417" t="s">
        <v>1666</v>
      </c>
      <c r="I1563" s="415" t="s">
        <v>1759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4" t="str">
        <f>LEFT(base[[#This Row],[Evento / Mercado]],FIND("/",base[[#This Row],[Evento / Mercado]])-2)</f>
        <v>Metropolitanos FC vs Estudiantes de Mérida</v>
      </c>
      <c r="T1563" s="1420">
        <f>base[[#This Row],[Data de liquidação]]</f>
        <v>46138.870752314811</v>
      </c>
    </row>
    <row r="1564" spans="2:22" ht="15" customHeight="1">
      <c r="B1564" s="782" t="s">
        <v>1721</v>
      </c>
      <c r="C1564" s="911" t="s">
        <v>3556</v>
      </c>
      <c r="D1564" s="1345">
        <v>46138.877962962964</v>
      </c>
      <c r="E1564" s="875">
        <v>1.91</v>
      </c>
      <c r="F1564" s="408">
        <v>4.4999999999999998E-2</v>
      </c>
      <c r="G1564" s="417">
        <f t="shared" si="25"/>
        <v>2</v>
      </c>
      <c r="H1564" s="417" t="s">
        <v>1666</v>
      </c>
      <c r="I1564" s="415" t="s">
        <v>1558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4" t="str">
        <f>LEFT(base[[#This Row],[Evento / Mercado]],FIND("/",base[[#This Row],[Evento / Mercado]])-2)</f>
        <v>Los Angeles Galaxy vs Real Salt Lake</v>
      </c>
      <c r="T1564" s="1420">
        <f>base[[#This Row],[Data de liquidação]]</f>
        <v>46138.877962962964</v>
      </c>
    </row>
    <row r="1565" spans="2:22" ht="15" customHeight="1">
      <c r="B1565" s="782" t="s">
        <v>1720</v>
      </c>
      <c r="C1565" s="911" t="s">
        <v>3556</v>
      </c>
      <c r="D1565" s="1345">
        <v>46138.920775462961</v>
      </c>
      <c r="E1565" s="875">
        <v>1.83</v>
      </c>
      <c r="F1565" s="408">
        <v>4.4999999999999998E-2</v>
      </c>
      <c r="G1565" s="417">
        <f t="shared" si="25"/>
        <v>1.9162303664921467</v>
      </c>
      <c r="H1565" s="417" t="s">
        <v>1666</v>
      </c>
      <c r="I1565" s="415" t="s">
        <v>1715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4" t="str">
        <f>LEFT(base[[#This Row],[Evento / Mercado]],FIND("/",base[[#This Row],[Evento / Mercado]])-2)</f>
        <v>Santos Laguna vs Monterrey</v>
      </c>
      <c r="T1565" s="1420">
        <f>base[[#This Row],[Data de liquidação]]</f>
        <v>46138.920775462961</v>
      </c>
    </row>
    <row r="1566" spans="2:22" ht="15" customHeight="1">
      <c r="B1566" s="782" t="s">
        <v>1757</v>
      </c>
      <c r="C1566" s="911" t="s">
        <v>3556</v>
      </c>
      <c r="D1566" s="1345">
        <v>46139.550659722219</v>
      </c>
      <c r="E1566" s="875">
        <v>-50.05</v>
      </c>
      <c r="F1566" s="408">
        <v>4.4999999999999998E-2</v>
      </c>
      <c r="G1566" s="417">
        <f t="shared" si="25"/>
        <v>-50.05</v>
      </c>
      <c r="H1566" s="417" t="s">
        <v>1666</v>
      </c>
      <c r="I1566" s="415" t="s">
        <v>1715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4" t="str">
        <f>LEFT(base[[#This Row],[Evento / Mercado]],FIND("/",base[[#This Row],[Evento / Mercado]])-2)</f>
        <v>Al-Rayyan vs Al-Arabi Doha</v>
      </c>
      <c r="T1566" s="1420">
        <f>base[[#This Row],[Data de liquidação]]</f>
        <v>46139.550659722219</v>
      </c>
    </row>
    <row r="1567" spans="2:22" ht="15" customHeight="1">
      <c r="B1567" s="782" t="s">
        <v>1756</v>
      </c>
      <c r="C1567" s="911" t="s">
        <v>3556</v>
      </c>
      <c r="D1567" s="1345">
        <v>46139.55201388889</v>
      </c>
      <c r="E1567" s="875">
        <v>1.64</v>
      </c>
      <c r="F1567" s="408">
        <v>4.4999999999999998E-2</v>
      </c>
      <c r="G1567" s="417">
        <f t="shared" si="25"/>
        <v>1.7172774869109948</v>
      </c>
      <c r="H1567" s="417" t="s">
        <v>1666</v>
      </c>
      <c r="I1567" s="415" t="s">
        <v>1715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4" t="str">
        <f>LEFT(base[[#This Row],[Evento / Mercado]],FIND("/",base[[#This Row],[Evento / Mercado]])-2)</f>
        <v>Umm-Salal vs Al-Ahli</v>
      </c>
      <c r="T1567" s="1420">
        <f>base[[#This Row],[Data de liquidação]]</f>
        <v>46139.55201388889</v>
      </c>
    </row>
    <row r="1568" spans="2:22" ht="15" customHeight="1">
      <c r="B1568" s="782" t="s">
        <v>1755</v>
      </c>
      <c r="C1568" s="911" t="s">
        <v>3556</v>
      </c>
      <c r="D1568" s="1345">
        <v>46139.553900462961</v>
      </c>
      <c r="E1568" s="875">
        <v>3.08</v>
      </c>
      <c r="F1568" s="408">
        <v>4.4999999999999998E-2</v>
      </c>
      <c r="G1568" s="417">
        <f t="shared" si="25"/>
        <v>3.2251308900523563</v>
      </c>
      <c r="H1568" s="417" t="s">
        <v>1666</v>
      </c>
      <c r="I1568" s="415" t="s">
        <v>1759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4" t="str">
        <f>LEFT(base[[#This Row],[Evento / Mercado]],FIND("/",base[[#This Row],[Evento / Mercado]])-2)</f>
        <v>Al-Gharafa SC vs Al Shahaniya</v>
      </c>
      <c r="T1568" s="1420">
        <f>base[[#This Row],[Data de liquidação]]</f>
        <v>46139.553900462961</v>
      </c>
    </row>
    <row r="1569" spans="2:22" ht="15" customHeight="1">
      <c r="B1569" s="782" t="s">
        <v>1754</v>
      </c>
      <c r="C1569" s="911" t="s">
        <v>3556</v>
      </c>
      <c r="D1569" s="1345">
        <v>46139.609583333331</v>
      </c>
      <c r="E1569" s="875">
        <v>1.91</v>
      </c>
      <c r="F1569" s="408">
        <v>4.4999999999999998E-2</v>
      </c>
      <c r="G1569" s="417">
        <f t="shared" si="25"/>
        <v>2</v>
      </c>
      <c r="H1569" s="417" t="s">
        <v>1666</v>
      </c>
      <c r="I1569" s="415" t="s">
        <v>1558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4" t="str">
        <f>LEFT(base[[#This Row],[Evento / Mercado]],FIND("/",base[[#This Row],[Evento / Mercado]])-2)</f>
        <v>BK Häcken vs IK Sirius</v>
      </c>
      <c r="T1569" s="1420">
        <f>base[[#This Row],[Data de liquidação]]</f>
        <v>46139.609583333331</v>
      </c>
    </row>
    <row r="1570" spans="2:22" ht="15" customHeight="1">
      <c r="B1570" s="782" t="s">
        <v>1753</v>
      </c>
      <c r="C1570" s="911" t="s">
        <v>3556</v>
      </c>
      <c r="D1570" s="1345">
        <v>46139.621064814812</v>
      </c>
      <c r="E1570" s="875">
        <v>1.6999</v>
      </c>
      <c r="F1570" s="408">
        <v>4.4999999999999998E-2</v>
      </c>
      <c r="G1570" s="417">
        <f t="shared" si="25"/>
        <v>1.78</v>
      </c>
      <c r="H1570" s="417" t="s">
        <v>1666</v>
      </c>
      <c r="I1570" s="415" t="s">
        <v>1758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4" t="str">
        <f>LEFT(base[[#This Row],[Evento / Mercado]],FIND("/",base[[#This Row],[Evento / Mercado]])-2)</f>
        <v>HNK Gorica vs Istra 1961</v>
      </c>
      <c r="T1570" s="142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82" t="s">
        <v>1753</v>
      </c>
      <c r="C1571" s="911" t="s">
        <v>3556</v>
      </c>
      <c r="D1571" s="1345">
        <v>46139.621064814812</v>
      </c>
      <c r="E1571" s="875">
        <v>1.4516</v>
      </c>
      <c r="F1571" s="408">
        <v>4.4999999999999998E-2</v>
      </c>
      <c r="G1571" s="417">
        <f t="shared" si="25"/>
        <v>1.52</v>
      </c>
      <c r="H1571" s="417" t="s">
        <v>1666</v>
      </c>
      <c r="I1571" s="415" t="s">
        <v>1759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4" t="str">
        <f>LEFT(base[[#This Row],[Evento / Mercado]],FIND("/",base[[#This Row],[Evento / Mercado]])-2)</f>
        <v>HNK Gorica vs Istra 1961</v>
      </c>
      <c r="T1571" s="142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82" t="s">
        <v>1752</v>
      </c>
      <c r="C1572" s="911" t="s">
        <v>3556</v>
      </c>
      <c r="D1572" s="1345">
        <v>46139.661215277774</v>
      </c>
      <c r="E1572" s="875">
        <v>39.79</v>
      </c>
      <c r="F1572" s="408">
        <v>4.4999999999999998E-2</v>
      </c>
      <c r="G1572" s="417">
        <f t="shared" si="25"/>
        <v>41.66492146596859</v>
      </c>
      <c r="H1572" s="417" t="s">
        <v>179</v>
      </c>
      <c r="I1572" s="415" t="s">
        <v>392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1204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4" t="str">
        <f>LEFT(base[[#This Row],[Evento / Mercado]],FIND("/",base[[#This Row],[Evento / Mercado]])-2)</f>
        <v>Besiktas JK vs Fatih Karagümrük Istanbul</v>
      </c>
      <c r="T1572" s="1420">
        <f>base[[#This Row],[Data de liquidação]]</f>
        <v>46139.661215277774</v>
      </c>
    </row>
    <row r="1573" spans="2:22" ht="15" customHeight="1">
      <c r="B1573" s="782" t="s">
        <v>1751</v>
      </c>
      <c r="C1573" s="911" t="s">
        <v>3556</v>
      </c>
      <c r="D1573" s="1345">
        <v>46139.661319444444</v>
      </c>
      <c r="E1573" s="875">
        <v>-2</v>
      </c>
      <c r="F1573" s="408">
        <v>4.4999999999999998E-2</v>
      </c>
      <c r="G1573" s="417">
        <f t="shared" si="25"/>
        <v>-2</v>
      </c>
      <c r="H1573" s="417" t="s">
        <v>1666</v>
      </c>
      <c r="I1573" s="415" t="s">
        <v>1760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4" t="str">
        <f>LEFT(base[[#This Row],[Evento / Mercado]],FIND("/",base[[#This Row],[Evento / Mercado]])-2)</f>
        <v>Besiktas JK vs Fatih Karagümrük Istanbul</v>
      </c>
      <c r="T1573" s="1420">
        <f>base[[#This Row],[Data de liquidação]]</f>
        <v>46139.661319444444</v>
      </c>
    </row>
    <row r="1574" spans="2:22" ht="15" customHeight="1">
      <c r="B1574" s="783" t="s">
        <v>1764</v>
      </c>
      <c r="C1574" s="911" t="s">
        <v>3556</v>
      </c>
      <c r="D1574" s="1346">
        <v>46139.696979166663</v>
      </c>
      <c r="E1574" s="876">
        <v>1.91</v>
      </c>
      <c r="F1574" s="408">
        <v>4.4999999999999998E-2</v>
      </c>
      <c r="G1574" s="421">
        <f t="shared" si="25"/>
        <v>2</v>
      </c>
      <c r="H1574" s="417" t="s">
        <v>1666</v>
      </c>
      <c r="I1574" s="415" t="s">
        <v>1558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4" t="str">
        <f>LEFT(base[[#This Row],[Evento / Mercado]],FIND("/",base[[#This Row],[Evento / Mercado]])-2)</f>
        <v>Manchester United vs Brentford</v>
      </c>
      <c r="T1574" s="1420">
        <f>base[[#This Row],[Data de liquidação]]</f>
        <v>46139.696979166663</v>
      </c>
    </row>
    <row r="1575" spans="2:22" ht="15" customHeight="1">
      <c r="B1575" s="783" t="s">
        <v>1763</v>
      </c>
      <c r="C1575" s="911" t="s">
        <v>3556</v>
      </c>
      <c r="D1575" s="1346">
        <v>46139.854502314818</v>
      </c>
      <c r="E1575" s="876">
        <v>1.99</v>
      </c>
      <c r="F1575" s="408">
        <v>4.4999999999999998E-2</v>
      </c>
      <c r="G1575" s="421">
        <f t="shared" si="25"/>
        <v>2.0837696335078535</v>
      </c>
      <c r="H1575" s="417" t="s">
        <v>1666</v>
      </c>
      <c r="I1575" s="415" t="s">
        <v>1759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4" t="str">
        <f>LEFT(base[[#This Row],[Evento / Mercado]],FIND("/",base[[#This Row],[Evento / Mercado]])-2)</f>
        <v>Manta FC vs Universidad Católica del Ecuador</v>
      </c>
      <c r="T1575" s="1420">
        <f>base[[#This Row],[Data de liquidação]]</f>
        <v>46139.854502314818</v>
      </c>
    </row>
    <row r="1576" spans="2:22" ht="15" customHeight="1">
      <c r="B1576" s="784" t="s">
        <v>1776</v>
      </c>
      <c r="C1576" s="911" t="s">
        <v>3556</v>
      </c>
      <c r="D1576" s="1347">
        <v>46140.608159722222</v>
      </c>
      <c r="E1576" s="877">
        <v>-0.82</v>
      </c>
      <c r="F1576" s="408">
        <v>4.4999999999999998E-2</v>
      </c>
      <c r="G1576" s="425">
        <f t="shared" si="25"/>
        <v>-0.82</v>
      </c>
      <c r="H1576" s="417" t="s">
        <v>1666</v>
      </c>
      <c r="I1576" s="415" t="s">
        <v>1558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4" t="str">
        <f>LEFT(base[[#This Row],[Evento / Mercado]],FIND("/",base[[#This Row],[Evento / Mercado]])-2)</f>
        <v>Al-Shabab Riyadh vs Al-Fateh Al-Hasa</v>
      </c>
      <c r="T1576" s="1420">
        <f>base[[#This Row],[Data de liquidação]]</f>
        <v>46140.608159722222</v>
      </c>
    </row>
    <row r="1577" spans="2:22" ht="15" customHeight="1">
      <c r="B1577" s="784" t="s">
        <v>1775</v>
      </c>
      <c r="C1577" s="911" t="s">
        <v>3556</v>
      </c>
      <c r="D1577" s="1347">
        <v>46140.645266203705</v>
      </c>
      <c r="E1577" s="877">
        <v>1.91</v>
      </c>
      <c r="F1577" s="408">
        <v>4.4999999999999998E-2</v>
      </c>
      <c r="G1577" s="425">
        <f t="shared" si="25"/>
        <v>2</v>
      </c>
      <c r="H1577" s="417" t="s">
        <v>1666</v>
      </c>
      <c r="I1577" s="415" t="s">
        <v>1715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4" t="str">
        <f>LEFT(base[[#This Row],[Evento / Mercado]],FIND("/",base[[#This Row],[Evento / Mercado]])-2)</f>
        <v>Maccabi Tel Aviv vs Hapoel Be'er Sheva</v>
      </c>
      <c r="T1577" s="1420">
        <f>base[[#This Row],[Data de liquidação]]</f>
        <v>46140.645266203705</v>
      </c>
    </row>
    <row r="1578" spans="2:22" ht="15" customHeight="1">
      <c r="B1578" s="784" t="s">
        <v>1774</v>
      </c>
      <c r="C1578" s="911" t="s">
        <v>3556</v>
      </c>
      <c r="D1578" s="1347">
        <v>46140.653287037036</v>
      </c>
      <c r="E1578" s="877">
        <v>2.2200000000000002</v>
      </c>
      <c r="F1578" s="408">
        <v>4.4999999999999998E-2</v>
      </c>
      <c r="G1578" s="425">
        <f t="shared" si="25"/>
        <v>2.3246073298429324</v>
      </c>
      <c r="H1578" s="417" t="s">
        <v>1666</v>
      </c>
      <c r="I1578" s="423" t="s">
        <v>1665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4" t="str">
        <f>LEFT(base[[#This Row],[Evento / Mercado]],FIND("/",base[[#This Row],[Evento / Mercado]])-2)</f>
        <v>Neom SC vs Al Hazm</v>
      </c>
      <c r="T1578" s="1420">
        <f>base[[#This Row],[Data de liquidação]]</f>
        <v>46140.653287037036</v>
      </c>
    </row>
    <row r="1579" spans="2:22" ht="15" customHeight="1">
      <c r="B1579" s="784" t="s">
        <v>1773</v>
      </c>
      <c r="C1579" s="911" t="s">
        <v>3556</v>
      </c>
      <c r="D1579" s="1347">
        <v>46140.66201388889</v>
      </c>
      <c r="E1579" s="877">
        <v>-5.0999999999999996</v>
      </c>
      <c r="F1579" s="408">
        <v>4.4999999999999998E-2</v>
      </c>
      <c r="G1579" s="425">
        <f t="shared" si="25"/>
        <v>-5.0999999999999996</v>
      </c>
      <c r="H1579" s="417" t="s">
        <v>1666</v>
      </c>
      <c r="I1579" s="423" t="s">
        <v>1777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4" t="str">
        <f>LEFT(base[[#This Row],[Evento / Mercado]],FIND("/",base[[#This Row],[Evento / Mercado]])-2)</f>
        <v>IFK Norrköping vs Landskrona BoIS</v>
      </c>
      <c r="T1579" s="1420">
        <f>base[[#This Row],[Data de liquidação]]</f>
        <v>46140.66201388889</v>
      </c>
    </row>
    <row r="1580" spans="2:22" ht="15" customHeight="1">
      <c r="B1580" s="784" t="s">
        <v>1772</v>
      </c>
      <c r="C1580" s="911" t="s">
        <v>3556</v>
      </c>
      <c r="D1580" s="1347">
        <v>46140.666006944448</v>
      </c>
      <c r="E1580" s="877">
        <v>3.58</v>
      </c>
      <c r="F1580" s="408">
        <v>4.4999999999999998E-2</v>
      </c>
      <c r="G1580" s="425">
        <f t="shared" si="25"/>
        <v>3.74869109947644</v>
      </c>
      <c r="H1580" s="417" t="s">
        <v>1666</v>
      </c>
      <c r="I1580" s="423" t="s">
        <v>1717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4" t="str">
        <f>LEFT(base[[#This Row],[Evento / Mercado]],FIND("/",base[[#This Row],[Evento / Mercado]])-2)</f>
        <v>Beitar Jerusalem vs Hapoel Petah Tikva</v>
      </c>
      <c r="T1580" s="1420">
        <f>base[[#This Row],[Data de liquidação]]</f>
        <v>46140.666006944448</v>
      </c>
    </row>
    <row r="1581" spans="2:22" ht="15" customHeight="1">
      <c r="B1581" s="784" t="s">
        <v>1771</v>
      </c>
      <c r="C1581" s="911" t="s">
        <v>3556</v>
      </c>
      <c r="D1581" s="1347">
        <v>46140.734363425923</v>
      </c>
      <c r="E1581" s="877">
        <v>1.77</v>
      </c>
      <c r="F1581" s="408">
        <v>4.4999999999999998E-2</v>
      </c>
      <c r="G1581" s="425">
        <f t="shared" si="25"/>
        <v>1.8534031413612566</v>
      </c>
      <c r="H1581" s="417" t="s">
        <v>1666</v>
      </c>
      <c r="I1581" s="415" t="s">
        <v>1715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4" t="str">
        <f>LEFT(base[[#This Row],[Evento / Mercado]],FIND("/",base[[#This Row],[Evento / Mercado]])-2)</f>
        <v>Southampton vs Ipswich Town</v>
      </c>
      <c r="T1581" s="1420">
        <f>base[[#This Row],[Data de liquidação]]</f>
        <v>46140.734363425923</v>
      </c>
    </row>
    <row r="1582" spans="2:22" ht="15" customHeight="1">
      <c r="B1582" s="784" t="s">
        <v>1770</v>
      </c>
      <c r="C1582" s="911" t="s">
        <v>3556</v>
      </c>
      <c r="D1582" s="1347">
        <v>46140.735173611109</v>
      </c>
      <c r="E1582" s="877">
        <v>0.39</v>
      </c>
      <c r="F1582" s="408">
        <v>4.4999999999999998E-2</v>
      </c>
      <c r="G1582" s="425">
        <f t="shared" si="25"/>
        <v>0.40837696335078538</v>
      </c>
      <c r="H1582" s="417" t="s">
        <v>1666</v>
      </c>
      <c r="I1582" s="423" t="s">
        <v>1663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4" t="str">
        <f>LEFT(base[[#This Row],[Evento / Mercado]],FIND("/",base[[#This Row],[Evento / Mercado]])-2)</f>
        <v>Peterborough United vs Mansfield Town</v>
      </c>
      <c r="T1582" s="1420">
        <f>base[[#This Row],[Data de liquidação]]</f>
        <v>46140.735173611109</v>
      </c>
    </row>
    <row r="1583" spans="2:22" ht="15" customHeight="1">
      <c r="B1583" s="784" t="s">
        <v>1769</v>
      </c>
      <c r="C1583" s="911" t="s">
        <v>3556</v>
      </c>
      <c r="D1583" s="1347">
        <v>46140.735196759262</v>
      </c>
      <c r="E1583" s="877">
        <v>-2</v>
      </c>
      <c r="F1583" s="408">
        <v>4.4999999999999998E-2</v>
      </c>
      <c r="G1583" s="425">
        <f t="shared" si="25"/>
        <v>-2</v>
      </c>
      <c r="H1583" s="417" t="s">
        <v>1666</v>
      </c>
      <c r="I1583" s="423" t="s">
        <v>1760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4" t="str">
        <f>LEFT(base[[#This Row],[Evento / Mercado]],FIND("/",base[[#This Row],[Evento / Mercado]])-2)</f>
        <v>Peterborough United vs Mansfield Town</v>
      </c>
      <c r="T1583" s="1420">
        <f>base[[#This Row],[Data de liquidação]]</f>
        <v>46140.735196759262</v>
      </c>
    </row>
    <row r="1584" spans="2:22" ht="15" customHeight="1">
      <c r="B1584" s="784" t="s">
        <v>1768</v>
      </c>
      <c r="C1584" s="911" t="s">
        <v>3556</v>
      </c>
      <c r="D1584" s="1347">
        <v>46140.736018518517</v>
      </c>
      <c r="E1584" s="877">
        <v>-1.1299999999999999</v>
      </c>
      <c r="F1584" s="408">
        <v>4.4999999999999998E-2</v>
      </c>
      <c r="G1584" s="425">
        <f t="shared" si="25"/>
        <v>-1.1299999999999999</v>
      </c>
      <c r="H1584" s="417" t="s">
        <v>1666</v>
      </c>
      <c r="I1584" s="415" t="s">
        <v>1558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4" t="str">
        <f>LEFT(base[[#This Row],[Evento / Mercado]],FIND("/",base[[#This Row],[Evento / Mercado]])-2)</f>
        <v>Northampton Town vs Barnsley</v>
      </c>
      <c r="T1584" s="1420">
        <f>base[[#This Row],[Data de liquidação]]</f>
        <v>46140.736018518517</v>
      </c>
    </row>
    <row r="1585" spans="2:22" ht="15" customHeight="1">
      <c r="B1585" s="784" t="s">
        <v>1767</v>
      </c>
      <c r="C1585" s="911" t="s">
        <v>3556</v>
      </c>
      <c r="D1585" s="1347">
        <v>46140.736087962963</v>
      </c>
      <c r="E1585" s="877">
        <v>0.33</v>
      </c>
      <c r="F1585" s="408">
        <v>4.4999999999999998E-2</v>
      </c>
      <c r="G1585" s="425">
        <f t="shared" si="25"/>
        <v>0.34554973821989532</v>
      </c>
      <c r="H1585" s="417" t="s">
        <v>1666</v>
      </c>
      <c r="I1585" s="423" t="s">
        <v>1663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4" t="str">
        <f>LEFT(base[[#This Row],[Evento / Mercado]],FIND("/",base[[#This Row],[Evento / Mercado]])-2)</f>
        <v>Northampton Town vs Barnsley</v>
      </c>
      <c r="T1585" s="1420">
        <f>base[[#This Row],[Data de liquidação]]</f>
        <v>46140.736087962963</v>
      </c>
    </row>
    <row r="1586" spans="2:22" ht="15" customHeight="1">
      <c r="B1586" s="784" t="s">
        <v>1766</v>
      </c>
      <c r="C1586" s="911" t="s">
        <v>3556</v>
      </c>
      <c r="D1586" s="1347">
        <v>46140.74800925926</v>
      </c>
      <c r="E1586" s="877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628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4" t="str">
        <f>LEFT(base[[#This Row],[Evento / Mercado]],FIND("/",base[[#This Row],[Evento / Mercado]])-2)</f>
        <v>Paris Saint-Germain vs FC Bayern München</v>
      </c>
      <c r="T1586" s="142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84" t="s">
        <v>1766</v>
      </c>
      <c r="C1587" s="911" t="s">
        <v>3556</v>
      </c>
      <c r="D1587" s="1347">
        <v>46140.74800925926</v>
      </c>
      <c r="E1587" s="877">
        <v>-49.91</v>
      </c>
      <c r="F1587" s="408">
        <v>4.4999999999999998E-2</v>
      </c>
      <c r="G1587" s="425">
        <f t="shared" si="25"/>
        <v>-49.91</v>
      </c>
      <c r="H1587" s="417" t="s">
        <v>1666</v>
      </c>
      <c r="I1587" s="415" t="s">
        <v>1715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1210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4" t="str">
        <f>LEFT(base[[#This Row],[Evento / Mercado]],FIND("/",base[[#This Row],[Evento / Mercado]])-2)</f>
        <v>Paris Saint-Germain vs FC Bayern München</v>
      </c>
      <c r="T1587" s="1420">
        <f>base[[#This Row],[Data de liquidação]]</f>
        <v>46140.74800925926</v>
      </c>
      <c r="V1587" s="11"/>
    </row>
    <row r="1588" spans="2:22" ht="15" customHeight="1">
      <c r="B1588" s="784" t="s">
        <v>1765</v>
      </c>
      <c r="C1588" s="911" t="s">
        <v>3556</v>
      </c>
      <c r="D1588" s="1347">
        <v>46140.748483796298</v>
      </c>
      <c r="E1588" s="877">
        <v>29.84</v>
      </c>
      <c r="F1588" s="408">
        <v>4.4999999999999998E-2</v>
      </c>
      <c r="G1588" s="425">
        <f t="shared" si="25"/>
        <v>31.246073298429319</v>
      </c>
      <c r="H1588" s="417" t="s">
        <v>1555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4" t="str">
        <f>LEFT(base[[#This Row],[Evento / Mercado]],FIND("/",base[[#This Row],[Evento / Mercado]])-2)</f>
        <v>Paris Saint-Germain vs FC Bayern München</v>
      </c>
      <c r="T1588" s="1420">
        <f>base[[#This Row],[Data de liquidação]]</f>
        <v>46140.748483796298</v>
      </c>
    </row>
    <row r="1589" spans="2:22" ht="15" customHeight="1">
      <c r="B1589" s="785" t="s">
        <v>1837</v>
      </c>
      <c r="C1589" s="911" t="s">
        <v>3556</v>
      </c>
      <c r="D1589" s="1348">
        <v>46141.420300925929</v>
      </c>
      <c r="E1589" s="878">
        <v>5.0199999999999996</v>
      </c>
      <c r="F1589" s="408">
        <v>4.4999999999999998E-2</v>
      </c>
      <c r="G1589" s="449">
        <f t="shared" si="25"/>
        <v>5.2565445026178006</v>
      </c>
      <c r="H1589" s="417" t="s">
        <v>1666</v>
      </c>
      <c r="I1589" s="415" t="s">
        <v>1759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4" t="str">
        <f>LEFT(base[[#This Row],[Evento / Mercado]],FIND("/",base[[#This Row],[Evento / Mercado]])-2)</f>
        <v>Chiangrai United vs Ratchaburi</v>
      </c>
      <c r="T1589" s="1420">
        <f>base[[#This Row],[Data de liquidação]]</f>
        <v>46141.420300925929</v>
      </c>
    </row>
    <row r="1590" spans="2:22" ht="15" customHeight="1">
      <c r="B1590" s="785" t="s">
        <v>1836</v>
      </c>
      <c r="C1590" s="911" t="s">
        <v>3556</v>
      </c>
      <c r="D1590" s="1348">
        <v>46141.422025462962</v>
      </c>
      <c r="E1590" s="878">
        <v>1.91</v>
      </c>
      <c r="F1590" s="408">
        <v>4.4999999999999998E-2</v>
      </c>
      <c r="G1590" s="449">
        <f t="shared" si="25"/>
        <v>2</v>
      </c>
      <c r="H1590" s="417" t="s">
        <v>1666</v>
      </c>
      <c r="I1590" s="415" t="s">
        <v>1558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4" t="str">
        <f>LEFT(base[[#This Row],[Evento / Mercado]],FIND("/",base[[#This Row],[Evento / Mercado]])-2)</f>
        <v>Rayong FC vs Buriram United</v>
      </c>
      <c r="T1590" s="1420">
        <f>base[[#This Row],[Data de liquidação]]</f>
        <v>46141.422025462962</v>
      </c>
    </row>
    <row r="1591" spans="2:22" ht="15" customHeight="1">
      <c r="B1591" s="785" t="s">
        <v>1835</v>
      </c>
      <c r="C1591" s="911" t="s">
        <v>3556</v>
      </c>
      <c r="D1591" s="1348">
        <v>46141.436493055553</v>
      </c>
      <c r="E1591" s="878">
        <v>3.29</v>
      </c>
      <c r="F1591" s="408">
        <v>4.4999999999999998E-2</v>
      </c>
      <c r="G1591" s="449">
        <f t="shared" si="25"/>
        <v>3.4450261780104712</v>
      </c>
      <c r="H1591" s="417" t="s">
        <v>1666</v>
      </c>
      <c r="I1591" s="415" t="s">
        <v>1759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4" t="str">
        <f>LEFT(base[[#This Row],[Evento / Mercado]],FIND("/",base[[#This Row],[Evento / Mercado]])-2)</f>
        <v>Uthai Thani FC vs Bangkok United</v>
      </c>
      <c r="T1591" s="1420">
        <f>base[[#This Row],[Data de liquidação]]</f>
        <v>46141.436493055553</v>
      </c>
    </row>
    <row r="1592" spans="2:22" ht="15" customHeight="1">
      <c r="B1592" s="785" t="s">
        <v>1834</v>
      </c>
      <c r="C1592" s="911" t="s">
        <v>3556</v>
      </c>
      <c r="D1592" s="1348">
        <v>46141.598090277781</v>
      </c>
      <c r="E1592" s="878">
        <v>2.39</v>
      </c>
      <c r="F1592" s="408">
        <v>4.4999999999999998E-2</v>
      </c>
      <c r="G1592" s="449">
        <f t="shared" si="25"/>
        <v>2.5026178010471205</v>
      </c>
      <c r="H1592" s="417" t="s">
        <v>1666</v>
      </c>
      <c r="I1592" s="423" t="s">
        <v>1717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4" t="str">
        <f>LEFT(base[[#This Row],[Evento / Mercado]],FIND("/",base[[#This Row],[Evento / Mercado]])-2)</f>
        <v>Shabab Al-Ahli Dubai FC vs Khor Fakkan</v>
      </c>
      <c r="T1592" s="1420">
        <f>base[[#This Row],[Data de liquidação]]</f>
        <v>46141.598090277781</v>
      </c>
    </row>
    <row r="1593" spans="2:22" ht="15" customHeight="1">
      <c r="B1593" s="785" t="s">
        <v>1833</v>
      </c>
      <c r="C1593" s="911" t="s">
        <v>3556</v>
      </c>
      <c r="D1593" s="1348">
        <v>46141.621342592596</v>
      </c>
      <c r="E1593" s="878">
        <v>-2.0299999999999998</v>
      </c>
      <c r="F1593" s="408">
        <v>4.4999999999999998E-2</v>
      </c>
      <c r="G1593" s="449">
        <f t="shared" si="25"/>
        <v>-2.0299999999999998</v>
      </c>
      <c r="H1593" s="417" t="s">
        <v>1666</v>
      </c>
      <c r="I1593" s="415" t="s">
        <v>1558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4" t="str">
        <f>LEFT(base[[#This Row],[Evento / Mercado]],FIND("/",base[[#This Row],[Evento / Mercado]])-2)</f>
        <v>Al-Riyadh vs Al-Qadisiyah</v>
      </c>
      <c r="T1593" s="1420">
        <f>base[[#This Row],[Data de liquidação]]</f>
        <v>46141.621342592596</v>
      </c>
    </row>
    <row r="1594" spans="2:22" ht="15" customHeight="1">
      <c r="B1594" s="785" t="s">
        <v>1832</v>
      </c>
      <c r="C1594" s="911" t="s">
        <v>3556</v>
      </c>
      <c r="D1594" s="1348">
        <v>46141.624050925922</v>
      </c>
      <c r="E1594" s="878">
        <v>2.61</v>
      </c>
      <c r="F1594" s="408">
        <v>4.4999999999999998E-2</v>
      </c>
      <c r="G1594" s="449">
        <f t="shared" si="25"/>
        <v>2.7329842931937174</v>
      </c>
      <c r="H1594" s="417" t="s">
        <v>1666</v>
      </c>
      <c r="I1594" s="423" t="s">
        <v>1717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4" t="str">
        <f>LEFT(base[[#This Row],[Evento / Mercado]],FIND("/",base[[#This Row],[Evento / Mercado]])-2)</f>
        <v>Al-Muharraq vs Budaiya</v>
      </c>
      <c r="T1594" s="1420">
        <f>base[[#This Row],[Data de liquidação]]</f>
        <v>46141.624050925922</v>
      </c>
    </row>
    <row r="1595" spans="2:22" ht="15" customHeight="1">
      <c r="B1595" s="785" t="s">
        <v>1831</v>
      </c>
      <c r="C1595" s="911" t="s">
        <v>3556</v>
      </c>
      <c r="D1595" s="1348">
        <v>46141.639247685183</v>
      </c>
      <c r="E1595" s="878">
        <v>1.77</v>
      </c>
      <c r="F1595" s="408">
        <v>4.4999999999999998E-2</v>
      </c>
      <c r="G1595" s="449">
        <f t="shared" si="25"/>
        <v>1.8534031413612566</v>
      </c>
      <c r="H1595" s="417" t="s">
        <v>1666</v>
      </c>
      <c r="I1595" s="415" t="s">
        <v>1759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4" t="str">
        <f>LEFT(base[[#This Row],[Evento / Mercado]],FIND("/",base[[#This Row],[Evento / Mercado]])-2)</f>
        <v>Hapoel Tel Aviv vs Maccabi Haifa</v>
      </c>
      <c r="T1595" s="1420">
        <f>base[[#This Row],[Data de liquidação]]</f>
        <v>46141.639247685183</v>
      </c>
    </row>
    <row r="1596" spans="2:22" ht="15" customHeight="1">
      <c r="B1596" s="785" t="s">
        <v>1830</v>
      </c>
      <c r="C1596" s="911" t="s">
        <v>3556</v>
      </c>
      <c r="D1596" s="1348">
        <v>46141.664201388892</v>
      </c>
      <c r="E1596" s="878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627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1220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4" t="str">
        <f>LEFT(base[[#This Row],[Evento / Mercado]],FIND("/",base[[#This Row],[Evento / Mercado]])-2)</f>
        <v>Tromsø vs Brann</v>
      </c>
      <c r="T1596" s="142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85" t="s">
        <v>1830</v>
      </c>
      <c r="C1597" s="911" t="s">
        <v>3556</v>
      </c>
      <c r="D1597" s="1348">
        <v>46141.664201388892</v>
      </c>
      <c r="E1597" s="878">
        <v>2.2728999999999999</v>
      </c>
      <c r="F1597" s="408">
        <v>4.4999999999999998E-2</v>
      </c>
      <c r="G1597" s="449">
        <f t="shared" si="25"/>
        <v>2.38</v>
      </c>
      <c r="H1597" s="417" t="s">
        <v>1666</v>
      </c>
      <c r="I1597" s="415" t="s">
        <v>1715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4" t="str">
        <f>LEFT(base[[#This Row],[Evento / Mercado]],FIND("/",base[[#This Row],[Evento / Mercado]])-2)</f>
        <v>Tromsø vs Brann</v>
      </c>
      <c r="T1597" s="142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85" t="s">
        <v>1829</v>
      </c>
      <c r="C1598" s="911" t="s">
        <v>3556</v>
      </c>
      <c r="D1598" s="1348">
        <v>46141.705138888887</v>
      </c>
      <c r="E1598" s="878">
        <v>-1.97</v>
      </c>
      <c r="F1598" s="408">
        <v>4.4999999999999998E-2</v>
      </c>
      <c r="G1598" s="449">
        <f t="shared" si="25"/>
        <v>-1.97</v>
      </c>
      <c r="H1598" s="417" t="s">
        <v>1666</v>
      </c>
      <c r="I1598" s="415" t="s">
        <v>1716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4" t="str">
        <f>LEFT(base[[#This Row],[Evento / Mercado]],FIND("/",base[[#This Row],[Evento / Mercado]])-2)</f>
        <v>Al-Nassr Riyadh vs Al Ahli Jeddah</v>
      </c>
      <c r="T1598" s="1420">
        <f>base[[#This Row],[Data de liquidação]]</f>
        <v>46141.705138888887</v>
      </c>
    </row>
    <row r="1599" spans="2:22" ht="15" customHeight="1">
      <c r="B1599" s="785" t="s">
        <v>1828</v>
      </c>
      <c r="C1599" s="911" t="s">
        <v>3556</v>
      </c>
      <c r="D1599" s="1348">
        <v>46141.759016203701</v>
      </c>
      <c r="E1599" s="878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628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1203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4" t="str">
        <f>LEFT(base[[#This Row],[Evento / Mercado]],FIND("/",base[[#This Row],[Evento / Mercado]])-2)</f>
        <v>Sporting CP vs Tondela</v>
      </c>
      <c r="T1599" s="1420">
        <f>base[[#This Row],[Data de liquidação]]</f>
        <v>46141.759016203701</v>
      </c>
    </row>
    <row r="1600" spans="2:22" ht="15" customHeight="1">
      <c r="B1600" s="786" t="s">
        <v>1843</v>
      </c>
      <c r="C1600" s="911" t="s">
        <v>3556</v>
      </c>
      <c r="D1600" s="1349">
        <v>46142.744837962964</v>
      </c>
      <c r="E1600" s="879">
        <v>1.77</v>
      </c>
      <c r="F1600" s="408">
        <v>4.4999999999999998E-2</v>
      </c>
      <c r="G1600" s="453">
        <f t="shared" si="25"/>
        <v>1.8534031413612566</v>
      </c>
      <c r="H1600" s="417" t="s">
        <v>1666</v>
      </c>
      <c r="I1600" s="415" t="s">
        <v>1759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4" t="str">
        <f>LEFT(base[[#This Row],[Evento / Mercado]],FIND("/",base[[#This Row],[Evento / Mercado]])-2)</f>
        <v>Nottingham Forest vs Aston Villa</v>
      </c>
      <c r="T1600" s="1420">
        <f>base[[#This Row],[Data de liquidação]]</f>
        <v>46142.744837962964</v>
      </c>
    </row>
    <row r="1601" spans="2:20" ht="15" customHeight="1">
      <c r="B1601" s="786" t="s">
        <v>1842</v>
      </c>
      <c r="C1601" s="911" t="s">
        <v>3556</v>
      </c>
      <c r="D1601" s="1349">
        <v>46142.752766203703</v>
      </c>
      <c r="E1601" s="879">
        <v>1.64</v>
      </c>
      <c r="F1601" s="408">
        <v>4.4999999999999998E-2</v>
      </c>
      <c r="G1601" s="453">
        <f t="shared" si="25"/>
        <v>1.7172774869109948</v>
      </c>
      <c r="H1601" s="417" t="s">
        <v>1666</v>
      </c>
      <c r="I1601" s="415" t="s">
        <v>1715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4" t="str">
        <f>LEFT(base[[#This Row],[Evento / Mercado]],FIND("/",base[[#This Row],[Evento / Mercado]])-2)</f>
        <v>Rayo Vallecano vs RC Strasbourg</v>
      </c>
      <c r="T1601" s="1420">
        <f>base[[#This Row],[Data de liquidação]]</f>
        <v>46142.752766203703</v>
      </c>
    </row>
    <row r="1602" spans="2:20" ht="15" customHeight="1">
      <c r="B1602" s="786" t="s">
        <v>1841</v>
      </c>
      <c r="C1602" s="911" t="s">
        <v>3556</v>
      </c>
      <c r="D1602" s="1349">
        <v>46142.752951388888</v>
      </c>
      <c r="E1602" s="879">
        <v>1.54</v>
      </c>
      <c r="F1602" s="408">
        <v>4.4999999999999998E-2</v>
      </c>
      <c r="G1602" s="453">
        <f t="shared" si="25"/>
        <v>1.6125654450261782</v>
      </c>
      <c r="H1602" s="417" t="s">
        <v>1666</v>
      </c>
      <c r="I1602" s="415" t="s">
        <v>1759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4" t="str">
        <f>LEFT(base[[#This Row],[Evento / Mercado]],FIND("/",base[[#This Row],[Evento / Mercado]])-2)</f>
        <v>Rayo Vallecano vs RC Strasbourg</v>
      </c>
      <c r="T1602" s="1420">
        <f>base[[#This Row],[Data de liquidação]]</f>
        <v>46142.752951388888</v>
      </c>
    </row>
    <row r="1603" spans="2:20" ht="15" customHeight="1">
      <c r="B1603" s="786" t="s">
        <v>1840</v>
      </c>
      <c r="C1603" s="911" t="s">
        <v>3556</v>
      </c>
      <c r="D1603" s="1349">
        <v>46142.893854166665</v>
      </c>
      <c r="E1603" s="879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1844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4" t="str">
        <f>LEFT(base[[#This Row],[Evento / Mercado]],FIND("/",base[[#This Row],[Evento / Mercado]])-2)</f>
        <v>Corinthians vs CA Peñarol</v>
      </c>
      <c r="T1603" s="1420">
        <f>base[[#This Row],[Data de liquidação]]</f>
        <v>46142.893854166665</v>
      </c>
    </row>
    <row r="1604" spans="2:20" ht="15" customHeight="1">
      <c r="B1604" s="786" t="s">
        <v>1950</v>
      </c>
      <c r="C1604" s="911" t="s">
        <v>3556</v>
      </c>
      <c r="D1604" s="1349">
        <v>46143.387696759259</v>
      </c>
      <c r="E1604" s="879">
        <v>1.1499999999999999</v>
      </c>
      <c r="F1604" s="408">
        <v>4.4999999999999998E-2</v>
      </c>
      <c r="G1604" s="453">
        <f t="shared" si="26"/>
        <v>1.2041884816753927</v>
      </c>
      <c r="H1604" s="417" t="s">
        <v>1666</v>
      </c>
      <c r="I1604" s="451" t="s">
        <v>1795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4" t="str">
        <f>LEFT(base[[#This Row],[Evento / Mercado]],FIND("/",base[[#This Row],[Evento / Mercado]])-2)</f>
        <v>Shandong Taishan vs Qingdao West Coast</v>
      </c>
      <c r="T1604" s="1420">
        <f>base[[#This Row],[Data de liquidação]]</f>
        <v>46143.387696759259</v>
      </c>
    </row>
    <row r="1605" spans="2:20" ht="15" customHeight="1">
      <c r="B1605" s="786" t="s">
        <v>1949</v>
      </c>
      <c r="C1605" s="911" t="s">
        <v>3556</v>
      </c>
      <c r="D1605" s="1349">
        <v>46143.430532407408</v>
      </c>
      <c r="E1605" s="879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4" t="str">
        <f>LEFT(base[[#This Row],[Evento / Mercado]],FIND("/",base[[#This Row],[Evento / Mercado]])-2)</f>
        <v>Palermo vs Catanzaro</v>
      </c>
      <c r="T1605" s="1420">
        <f>base[[#This Row],[Data de liquidação]]</f>
        <v>46143.430532407408</v>
      </c>
    </row>
    <row r="1606" spans="2:20" ht="15" customHeight="1">
      <c r="B1606" s="786" t="s">
        <v>1948</v>
      </c>
      <c r="C1606" s="911" t="s">
        <v>3556</v>
      </c>
      <c r="D1606" s="1349">
        <v>46143.437291666669</v>
      </c>
      <c r="E1606" s="879">
        <v>3.68</v>
      </c>
      <c r="F1606" s="408">
        <v>4.4999999999999998E-2</v>
      </c>
      <c r="G1606" s="453">
        <f t="shared" si="26"/>
        <v>3.8534031413612571</v>
      </c>
      <c r="H1606" s="417" t="s">
        <v>1666</v>
      </c>
      <c r="I1606" s="451" t="s">
        <v>1777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4" t="str">
        <f>LEFT(base[[#This Row],[Evento / Mercado]],FIND("/",base[[#This Row],[Evento / Mercado]])-2)</f>
        <v>Shandong Taishan vs Qingdao West Coast</v>
      </c>
      <c r="T1606" s="1420">
        <f>base[[#This Row],[Data de liquidação]]</f>
        <v>46143.437291666669</v>
      </c>
    </row>
    <row r="1607" spans="2:20" ht="15" customHeight="1">
      <c r="B1607" s="786" t="s">
        <v>1947</v>
      </c>
      <c r="C1607" s="911" t="s">
        <v>3556</v>
      </c>
      <c r="D1607" s="1349">
        <v>46143.466481481482</v>
      </c>
      <c r="E1607" s="879">
        <v>2.46</v>
      </c>
      <c r="F1607" s="408">
        <v>4.4999999999999998E-2</v>
      </c>
      <c r="G1607" s="453">
        <f t="shared" si="26"/>
        <v>2.5759162303664924</v>
      </c>
      <c r="H1607" s="417" t="s">
        <v>1666</v>
      </c>
      <c r="I1607" s="451" t="s">
        <v>1777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4" t="str">
        <f>LEFT(base[[#This Row],[Evento / Mercado]],FIND("/",base[[#This Row],[Evento / Mercado]])-2)</f>
        <v>Kuching City vs Terengganu FC</v>
      </c>
      <c r="T1607" s="1420">
        <f>base[[#This Row],[Data de liquidação]]</f>
        <v>46143.466481481482</v>
      </c>
    </row>
    <row r="1608" spans="2:20" ht="15" customHeight="1">
      <c r="B1608" s="786" t="s">
        <v>1946</v>
      </c>
      <c r="C1608" s="911" t="s">
        <v>3556</v>
      </c>
      <c r="D1608" s="1349">
        <v>46143.484131944446</v>
      </c>
      <c r="E1608" s="879">
        <v>-0.9</v>
      </c>
      <c r="F1608" s="408">
        <v>4.4999999999999998E-2</v>
      </c>
      <c r="G1608" s="453">
        <f t="shared" si="26"/>
        <v>-0.9</v>
      </c>
      <c r="H1608" s="417" t="s">
        <v>1666</v>
      </c>
      <c r="I1608" s="451" t="s">
        <v>1558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4" t="str">
        <f>LEFT(base[[#This Row],[Evento / Mercado]],FIND("/",base[[#This Row],[Evento / Mercado]])-2)</f>
        <v>Spezia vs Venezia</v>
      </c>
      <c r="T1608" s="1420">
        <f>base[[#This Row],[Data de liquidação]]</f>
        <v>46143.484131944446</v>
      </c>
    </row>
    <row r="1609" spans="2:20" ht="15" customHeight="1">
      <c r="B1609" s="786" t="s">
        <v>1945</v>
      </c>
      <c r="C1609" s="911" t="s">
        <v>3556</v>
      </c>
      <c r="D1609" s="1349">
        <v>46143.500625000001</v>
      </c>
      <c r="E1609" s="879">
        <v>1.64</v>
      </c>
      <c r="F1609" s="408">
        <v>4.4999999999999998E-2</v>
      </c>
      <c r="G1609" s="453">
        <f t="shared" si="26"/>
        <v>1.7172774869109948</v>
      </c>
      <c r="H1609" s="417" t="s">
        <v>1666</v>
      </c>
      <c r="I1609" s="415" t="s">
        <v>1715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4" t="str">
        <f>LEFT(base[[#This Row],[Evento / Mercado]],FIND("/",base[[#This Row],[Evento / Mercado]])-2)</f>
        <v>Carrarese vs Cesena</v>
      </c>
      <c r="T1609" s="1420">
        <f>base[[#This Row],[Data de liquidação]]</f>
        <v>46143.500625000001</v>
      </c>
    </row>
    <row r="1610" spans="2:20" ht="15" customHeight="1">
      <c r="B1610" s="786" t="s">
        <v>1944</v>
      </c>
      <c r="C1610" s="911" t="s">
        <v>3556</v>
      </c>
      <c r="D1610" s="1349">
        <v>46143.503287037034</v>
      </c>
      <c r="E1610" s="879">
        <v>1.29</v>
      </c>
      <c r="F1610" s="408">
        <v>4.4999999999999998E-2</v>
      </c>
      <c r="G1610" s="453">
        <f t="shared" si="26"/>
        <v>1.3507853403141363</v>
      </c>
      <c r="H1610" s="417" t="s">
        <v>1666</v>
      </c>
      <c r="I1610" s="415" t="s">
        <v>1759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4" t="str">
        <f>LEFT(base[[#This Row],[Evento / Mercado]],FIND("/",base[[#This Row],[Evento / Mercado]])-2)</f>
        <v>Empoli vs Avellino</v>
      </c>
      <c r="T1610" s="1420">
        <f>base[[#This Row],[Data de liquidação]]</f>
        <v>46143.503287037034</v>
      </c>
    </row>
    <row r="1611" spans="2:20" ht="15" customHeight="1">
      <c r="B1611" s="786" t="s">
        <v>1943</v>
      </c>
      <c r="C1611" s="911" t="s">
        <v>3556</v>
      </c>
      <c r="D1611" s="1349">
        <v>46143.535185185188</v>
      </c>
      <c r="E1611" s="879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4" t="str">
        <f>LEFT(base[[#This Row],[Evento / Mercado]],FIND("/",base[[#This Row],[Evento / Mercado]])-2)</f>
        <v>Haugesund vs Sandnes Ulf</v>
      </c>
      <c r="T1611" s="1420">
        <f>base[[#This Row],[Data de liquidação]]</f>
        <v>46143.535185185188</v>
      </c>
    </row>
    <row r="1612" spans="2:20" ht="15" customHeight="1">
      <c r="B1612" s="786" t="s">
        <v>1942</v>
      </c>
      <c r="C1612" s="911" t="s">
        <v>3556</v>
      </c>
      <c r="D1612" s="1349">
        <v>46143.542013888888</v>
      </c>
      <c r="E1612" s="879">
        <v>1.84</v>
      </c>
      <c r="F1612" s="408">
        <v>4.4999999999999998E-2</v>
      </c>
      <c r="G1612" s="453">
        <f t="shared" si="26"/>
        <v>1.9267015706806285</v>
      </c>
      <c r="H1612" s="417" t="s">
        <v>1666</v>
      </c>
      <c r="I1612" s="451" t="s">
        <v>1760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4" t="str">
        <f>LEFT(base[[#This Row],[Evento / Mercado]],FIND("/",base[[#This Row],[Evento / Mercado]])-2)</f>
        <v>Andorra FC vs Albacete Balompié</v>
      </c>
      <c r="T1612" s="1420">
        <f>base[[#This Row],[Data de liquidação]]</f>
        <v>46143.542013888888</v>
      </c>
    </row>
    <row r="1613" spans="2:20" ht="15" customHeight="1">
      <c r="B1613" s="786" t="s">
        <v>1941</v>
      </c>
      <c r="C1613" s="911" t="s">
        <v>3556</v>
      </c>
      <c r="D1613" s="1349">
        <v>46143.620937500003</v>
      </c>
      <c r="E1613" s="879">
        <v>46.56</v>
      </c>
      <c r="F1613" s="408">
        <v>4.4999999999999998E-2</v>
      </c>
      <c r="G1613" s="453">
        <f t="shared" si="26"/>
        <v>48.753926701570684</v>
      </c>
      <c r="H1613" s="453" t="s">
        <v>179</v>
      </c>
      <c r="I1613" s="451" t="s">
        <v>392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2032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4" t="str">
        <f>LEFT(base[[#This Row],[Evento / Mercado]],FIND("/",base[[#This Row],[Evento / Mercado]])-2)</f>
        <v>Viking FK vs Rosenborg BK</v>
      </c>
      <c r="T1613" s="1420">
        <f>base[[#This Row],[Data de liquidação]]</f>
        <v>46143.620937500003</v>
      </c>
    </row>
    <row r="1614" spans="2:20" ht="15" customHeight="1">
      <c r="B1614" s="786" t="s">
        <v>1940</v>
      </c>
      <c r="C1614" s="911" t="s">
        <v>3556</v>
      </c>
      <c r="D1614" s="1349">
        <v>46143.636504629627</v>
      </c>
      <c r="E1614" s="879">
        <v>1.22</v>
      </c>
      <c r="F1614" s="408">
        <v>4.4999999999999998E-2</v>
      </c>
      <c r="G1614" s="453">
        <f t="shared" si="26"/>
        <v>1.2774869109947644</v>
      </c>
      <c r="H1614" s="417" t="s">
        <v>1666</v>
      </c>
      <c r="I1614" s="451" t="s">
        <v>1795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4" t="str">
        <f>LEFT(base[[#This Row],[Evento / Mercado]],FIND("/",base[[#This Row],[Evento / Mercado]])-2)</f>
        <v>Al Diraiyah vs Abha</v>
      </c>
      <c r="T1614" s="1420">
        <f>base[[#This Row],[Data de liquidação]]</f>
        <v>46143.636504629627</v>
      </c>
    </row>
    <row r="1615" spans="2:20" ht="15" customHeight="1">
      <c r="B1615" s="786" t="s">
        <v>1939</v>
      </c>
      <c r="C1615" s="911" t="s">
        <v>3556</v>
      </c>
      <c r="D1615" s="1349">
        <v>46143.642002314817</v>
      </c>
      <c r="E1615" s="879">
        <v>2.65</v>
      </c>
      <c r="F1615" s="408">
        <v>4.4999999999999998E-2</v>
      </c>
      <c r="G1615" s="453">
        <f t="shared" si="26"/>
        <v>2.7748691099476441</v>
      </c>
      <c r="H1615" s="417" t="s">
        <v>1666</v>
      </c>
      <c r="I1615" s="415" t="s">
        <v>1715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4" t="str">
        <f>LEFT(base[[#This Row],[Evento / Mercado]],FIND("/",base[[#This Row],[Evento / Mercado]])-2)</f>
        <v>HB Køge vs Boldklubben af 1893</v>
      </c>
      <c r="T1615" s="1420">
        <f>base[[#This Row],[Data de liquidação]]</f>
        <v>46143.642002314817</v>
      </c>
    </row>
    <row r="1616" spans="2:20" ht="15" customHeight="1">
      <c r="B1616" s="786" t="s">
        <v>1938</v>
      </c>
      <c r="C1616" s="911" t="s">
        <v>3556</v>
      </c>
      <c r="D1616" s="1349">
        <v>46143.663483796299</v>
      </c>
      <c r="E1616" s="879">
        <v>2.5099999999999998</v>
      </c>
      <c r="F1616" s="408">
        <v>4.4999999999999998E-2</v>
      </c>
      <c r="G1616" s="453">
        <f t="shared" si="26"/>
        <v>2.6282722513089003</v>
      </c>
      <c r="H1616" s="417" t="s">
        <v>1666</v>
      </c>
      <c r="I1616" s="415" t="s">
        <v>1715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4" t="str">
        <f>LEFT(base[[#This Row],[Evento / Mercado]],FIND("/",base[[#This Row],[Evento / Mercado]])-2)</f>
        <v>Brøndby IF vs FC Nordsjælland</v>
      </c>
      <c r="T1616" s="1420">
        <f>base[[#This Row],[Data de liquidação]]</f>
        <v>46143.663483796299</v>
      </c>
    </row>
    <row r="1617" spans="2:20" ht="15" customHeight="1">
      <c r="B1617" s="786" t="s">
        <v>1937</v>
      </c>
      <c r="C1617" s="911" t="s">
        <v>3556</v>
      </c>
      <c r="D1617" s="1349">
        <v>46143.663784722223</v>
      </c>
      <c r="E1617" s="879">
        <v>0.92</v>
      </c>
      <c r="F1617" s="408">
        <v>4.4999999999999998E-2</v>
      </c>
      <c r="G1617" s="453">
        <f t="shared" si="26"/>
        <v>0.96335078534031426</v>
      </c>
      <c r="H1617" s="417" t="s">
        <v>1666</v>
      </c>
      <c r="I1617" s="451" t="s">
        <v>1663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4" t="str">
        <f>LEFT(base[[#This Row],[Evento / Mercado]],FIND("/",base[[#This Row],[Evento / Mercado]])-2)</f>
        <v>Brøndby IF vs FC Nordsjælland</v>
      </c>
      <c r="T1617" s="1420">
        <f>base[[#This Row],[Data de liquidação]]</f>
        <v>46143.663784722223</v>
      </c>
    </row>
    <row r="1618" spans="2:20" ht="15" customHeight="1">
      <c r="B1618" s="786" t="s">
        <v>1936</v>
      </c>
      <c r="C1618" s="911" t="s">
        <v>3556</v>
      </c>
      <c r="D1618" s="1349">
        <v>46143.681655092594</v>
      </c>
      <c r="E1618" s="879">
        <v>1.64</v>
      </c>
      <c r="F1618" s="408">
        <v>4.4999999999999998E-2</v>
      </c>
      <c r="G1618" s="453">
        <f t="shared" si="26"/>
        <v>1.7172774869109948</v>
      </c>
      <c r="H1618" s="417" t="s">
        <v>1666</v>
      </c>
      <c r="I1618" s="415" t="s">
        <v>1715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4" t="str">
        <f>LEFT(base[[#This Row],[Evento / Mercado]],FIND("/",base[[#This Row],[Evento / Mercado]])-2)</f>
        <v>Stade Nyonnais vs FC Wil 1900</v>
      </c>
      <c r="T1618" s="1420">
        <f>base[[#This Row],[Data de liquidação]]</f>
        <v>46143.681655092594</v>
      </c>
    </row>
    <row r="1619" spans="2:20" ht="15" customHeight="1">
      <c r="B1619" s="786" t="s">
        <v>1935</v>
      </c>
      <c r="C1619" s="911" t="s">
        <v>3556</v>
      </c>
      <c r="D1619" s="1349">
        <v>46143.684745370374</v>
      </c>
      <c r="E1619" s="879">
        <v>-0.92</v>
      </c>
      <c r="F1619" s="408">
        <v>4.4999999999999998E-2</v>
      </c>
      <c r="G1619" s="453">
        <f t="shared" si="26"/>
        <v>-0.92</v>
      </c>
      <c r="H1619" s="417" t="s">
        <v>1666</v>
      </c>
      <c r="I1619" s="451" t="s">
        <v>1558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4" t="str">
        <f>LEFT(base[[#This Row],[Evento / Mercado]],FIND("/",base[[#This Row],[Evento / Mercado]])-2)</f>
        <v>Al Diraiyah vs Abha</v>
      </c>
      <c r="T1619" s="1420">
        <f>base[[#This Row],[Data de liquidação]]</f>
        <v>46143.684745370374</v>
      </c>
    </row>
    <row r="1620" spans="2:20" ht="15" customHeight="1">
      <c r="B1620" s="786" t="s">
        <v>1934</v>
      </c>
      <c r="C1620" s="911" t="s">
        <v>3556</v>
      </c>
      <c r="D1620" s="1349">
        <v>46143.698113425926</v>
      </c>
      <c r="E1620" s="879">
        <v>2.61</v>
      </c>
      <c r="F1620" s="408">
        <v>4.4999999999999998E-2</v>
      </c>
      <c r="G1620" s="453">
        <f t="shared" si="26"/>
        <v>2.7329842931937174</v>
      </c>
      <c r="H1620" s="417" t="s">
        <v>1666</v>
      </c>
      <c r="I1620" s="451" t="s">
        <v>1717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4" t="str">
        <f>LEFT(base[[#This Row],[Evento / Mercado]],FIND("/",base[[#This Row],[Evento / Mercado]])-2)</f>
        <v>Al Diraiyah vs Abha</v>
      </c>
      <c r="T1620" s="1420">
        <f>base[[#This Row],[Data de liquidação]]</f>
        <v>46143.698113425926</v>
      </c>
    </row>
    <row r="1621" spans="2:20" ht="15" customHeight="1">
      <c r="B1621" s="786" t="s">
        <v>1933</v>
      </c>
      <c r="C1621" s="911" t="s">
        <v>3556</v>
      </c>
      <c r="D1621" s="1349">
        <v>46143.745289351849</v>
      </c>
      <c r="E1621" s="879">
        <v>-2</v>
      </c>
      <c r="F1621" s="408">
        <v>4.4999999999999998E-2</v>
      </c>
      <c r="G1621" s="453">
        <f t="shared" si="26"/>
        <v>-2</v>
      </c>
      <c r="H1621" s="417" t="s">
        <v>1666</v>
      </c>
      <c r="I1621" s="451" t="s">
        <v>1758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4" t="str">
        <f>LEFT(base[[#This Row],[Evento / Mercado]],FIND("/",base[[#This Row],[Evento / Mercado]])-2)</f>
        <v>Bohemian FC vs Derry City</v>
      </c>
      <c r="T1621" s="1420">
        <f>base[[#This Row],[Data de liquidação]]</f>
        <v>46143.745289351849</v>
      </c>
    </row>
    <row r="1622" spans="2:20" ht="15" customHeight="1">
      <c r="B1622" s="786" t="s">
        <v>1932</v>
      </c>
      <c r="C1622" s="911" t="s">
        <v>3556</v>
      </c>
      <c r="D1622" s="1349">
        <v>46143.746504629627</v>
      </c>
      <c r="E1622" s="879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4" t="str">
        <f>LEFT(base[[#This Row],[Evento / Mercado]],FIND("/",base[[#This Row],[Evento / Mercado]])-2)</f>
        <v>Girona vs Real Mallorca</v>
      </c>
      <c r="T1622" s="1420">
        <f>base[[#This Row],[Data de liquidação]]</f>
        <v>46143.746504629627</v>
      </c>
    </row>
    <row r="1623" spans="2:20" ht="15" customHeight="1">
      <c r="B1623" s="786" t="s">
        <v>1931</v>
      </c>
      <c r="C1623" s="911" t="s">
        <v>3556</v>
      </c>
      <c r="D1623" s="1349">
        <v>46143.751423611109</v>
      </c>
      <c r="E1623" s="879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4" t="str">
        <f>LEFT(base[[#This Row],[Evento / Mercado]],FIND("/",base[[#This Row],[Evento / Mercado]])-2)</f>
        <v>Real Zaragoza vs Granada CF</v>
      </c>
      <c r="T1623" s="1420">
        <f>base[[#This Row],[Data de liquidação]]</f>
        <v>46143.751423611109</v>
      </c>
    </row>
    <row r="1624" spans="2:20" ht="15" customHeight="1">
      <c r="B1624" s="786" t="s">
        <v>1930</v>
      </c>
      <c r="C1624" s="911" t="s">
        <v>3556</v>
      </c>
      <c r="D1624" s="1349">
        <v>46143.91133101852</v>
      </c>
      <c r="E1624" s="879">
        <v>3.82</v>
      </c>
      <c r="F1624" s="408">
        <v>4.4999999999999998E-2</v>
      </c>
      <c r="G1624" s="453">
        <f t="shared" si="26"/>
        <v>4</v>
      </c>
      <c r="H1624" s="417" t="s">
        <v>1666</v>
      </c>
      <c r="I1624" s="415" t="s">
        <v>1759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4" t="str">
        <f>LEFT(base[[#This Row],[Evento / Mercado]],FIND("/",base[[#This Row],[Evento / Mercado]])-2)</f>
        <v>Once Caldas vs Atlético Nacional</v>
      </c>
      <c r="T1624" s="1420">
        <f>base[[#This Row],[Data de liquidação]]</f>
        <v>46143.91133101852</v>
      </c>
    </row>
    <row r="1625" spans="2:20" ht="15" customHeight="1">
      <c r="B1625" s="786" t="s">
        <v>2031</v>
      </c>
      <c r="C1625" s="911" t="s">
        <v>3556</v>
      </c>
      <c r="D1625" s="1349">
        <v>46144.374027777776</v>
      </c>
      <c r="E1625" s="879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4" t="str">
        <f>LEFT(base[[#This Row],[Evento / Mercado]],FIND("/",base[[#This Row],[Evento / Mercado]])-2)</f>
        <v>Wrexham vs Middlesbrough</v>
      </c>
      <c r="T1625" s="1420">
        <f>base[[#This Row],[Data de liquidação]]</f>
        <v>46144.374027777776</v>
      </c>
    </row>
    <row r="1626" spans="2:20" ht="15" customHeight="1">
      <c r="B1626" s="786" t="s">
        <v>2030</v>
      </c>
      <c r="C1626" s="911" t="s">
        <v>3556</v>
      </c>
      <c r="D1626" s="1349">
        <v>46144.378703703704</v>
      </c>
      <c r="E1626" s="879">
        <v>1.21</v>
      </c>
      <c r="F1626" s="408">
        <v>4.4999999999999998E-2</v>
      </c>
      <c r="G1626" s="453">
        <f t="shared" si="26"/>
        <v>1.2670157068062828</v>
      </c>
      <c r="H1626" s="417" t="s">
        <v>1666</v>
      </c>
      <c r="I1626" s="451" t="s">
        <v>1795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4" t="str">
        <f>LEFT(base[[#This Row],[Evento / Mercado]],FIND("/",base[[#This Row],[Evento / Mercado]])-2)</f>
        <v>Millwall vs Oxford United</v>
      </c>
      <c r="T1626" s="1420">
        <f>base[[#This Row],[Data de liquidação]]</f>
        <v>46144.378703703704</v>
      </c>
    </row>
    <row r="1627" spans="2:20" ht="15" customHeight="1">
      <c r="B1627" s="786" t="s">
        <v>2029</v>
      </c>
      <c r="C1627" s="911" t="s">
        <v>3556</v>
      </c>
      <c r="D1627" s="1349">
        <v>46144.385335648149</v>
      </c>
      <c r="E1627" s="879">
        <v>1.91</v>
      </c>
      <c r="F1627" s="408">
        <v>4.4999999999999998E-2</v>
      </c>
      <c r="G1627" s="453">
        <f t="shared" si="26"/>
        <v>2</v>
      </c>
      <c r="H1627" s="417" t="s">
        <v>1666</v>
      </c>
      <c r="I1627" s="451" t="s">
        <v>1558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4" t="str">
        <f>LEFT(base[[#This Row],[Evento / Mercado]],FIND("/",base[[#This Row],[Evento / Mercado]])-2)</f>
        <v>Watford vs Coventry City</v>
      </c>
      <c r="T1627" s="1420">
        <f>base[[#This Row],[Data de liquidação]]</f>
        <v>46144.385335648149</v>
      </c>
    </row>
    <row r="1628" spans="2:20" ht="15" customHeight="1">
      <c r="B1628" s="786" t="s">
        <v>2028</v>
      </c>
      <c r="C1628" s="911" t="s">
        <v>3556</v>
      </c>
      <c r="D1628" s="1349">
        <v>46144.401863425926</v>
      </c>
      <c r="E1628" s="879">
        <v>1.91</v>
      </c>
      <c r="F1628" s="408">
        <v>4.4999999999999998E-2</v>
      </c>
      <c r="G1628" s="453">
        <f t="shared" si="26"/>
        <v>2</v>
      </c>
      <c r="H1628" s="417" t="s">
        <v>1666</v>
      </c>
      <c r="I1628" s="451" t="s">
        <v>1558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4" t="str">
        <f>LEFT(base[[#This Row],[Evento / Mercado]],FIND("/",base[[#This Row],[Evento / Mercado]])-2)</f>
        <v>Millwall vs Oxford United</v>
      </c>
      <c r="T1628" s="1420">
        <f>base[[#This Row],[Data de liquidação]]</f>
        <v>46144.401863425926</v>
      </c>
    </row>
    <row r="1629" spans="2:20" ht="15" customHeight="1">
      <c r="B1629" s="786" t="s">
        <v>2027</v>
      </c>
      <c r="C1629" s="911" t="s">
        <v>3556</v>
      </c>
      <c r="D1629" s="1349">
        <v>46144.40384259259</v>
      </c>
      <c r="E1629" s="879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4" t="str">
        <f>LEFT(base[[#This Row],[Evento / Mercado]],FIND("/",base[[#This Row],[Evento / Mercado]])-2)</f>
        <v>Arminia Bielefeld vs VfL Bochum</v>
      </c>
      <c r="T1629" s="1420">
        <f>base[[#This Row],[Data de liquidação]]</f>
        <v>46144.40384259259</v>
      </c>
    </row>
    <row r="1630" spans="2:20" ht="15" customHeight="1">
      <c r="B1630" s="786" t="s">
        <v>2026</v>
      </c>
      <c r="C1630" s="911" t="s">
        <v>3556</v>
      </c>
      <c r="D1630" s="1349">
        <v>46144.412615740737</v>
      </c>
      <c r="E1630" s="879">
        <v>-1.29</v>
      </c>
      <c r="F1630" s="408">
        <v>4.4999999999999998E-2</v>
      </c>
      <c r="G1630" s="453">
        <f t="shared" si="26"/>
        <v>-1.29</v>
      </c>
      <c r="H1630" s="417" t="s">
        <v>1666</v>
      </c>
      <c r="I1630" s="451" t="s">
        <v>1558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4" t="str">
        <f>LEFT(base[[#This Row],[Evento / Mercado]],FIND("/",base[[#This Row],[Evento / Mercado]])-2)</f>
        <v>Derby County vs Sheffield United</v>
      </c>
      <c r="T1630" s="1420">
        <f>base[[#This Row],[Data de liquidação]]</f>
        <v>46144.412615740737</v>
      </c>
    </row>
    <row r="1631" spans="2:20" ht="15" customHeight="1">
      <c r="B1631" s="786" t="s">
        <v>2025</v>
      </c>
      <c r="C1631" s="911" t="s">
        <v>3556</v>
      </c>
      <c r="D1631" s="1349">
        <v>46144.412627314814</v>
      </c>
      <c r="E1631" s="879">
        <v>2.77</v>
      </c>
      <c r="F1631" s="408">
        <v>4.4999999999999998E-2</v>
      </c>
      <c r="G1631" s="453">
        <f t="shared" si="26"/>
        <v>2.9005235602094244</v>
      </c>
      <c r="H1631" s="417" t="s">
        <v>1666</v>
      </c>
      <c r="I1631" s="415" t="s">
        <v>1759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4" t="str">
        <f>LEFT(base[[#This Row],[Evento / Mercado]],FIND("/",base[[#This Row],[Evento / Mercado]])-2)</f>
        <v>Holstein Kiel vs Eintracht Braunschweig</v>
      </c>
      <c r="T1631" s="1420">
        <f>base[[#This Row],[Data de liquidação]]</f>
        <v>46144.412627314814</v>
      </c>
    </row>
    <row r="1632" spans="2:20" ht="15" customHeight="1">
      <c r="B1632" s="786" t="s">
        <v>2024</v>
      </c>
      <c r="C1632" s="911" t="s">
        <v>3556</v>
      </c>
      <c r="D1632" s="1349">
        <v>46144.412719907406</v>
      </c>
      <c r="E1632" s="879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4" t="str">
        <f>LEFT(base[[#This Row],[Evento / Mercado]],FIND("/",base[[#This Row],[Evento / Mercado]])-2)</f>
        <v>Holstein Kiel vs Eintracht Braunschweig</v>
      </c>
      <c r="T1632" s="1420">
        <f>base[[#This Row],[Data de liquidação]]</f>
        <v>46144.412719907406</v>
      </c>
    </row>
    <row r="1633" spans="2:22" ht="15" customHeight="1">
      <c r="B1633" s="786" t="s">
        <v>2023</v>
      </c>
      <c r="C1633" s="911" t="s">
        <v>3556</v>
      </c>
      <c r="D1633" s="1349">
        <v>46144.414513888885</v>
      </c>
      <c r="E1633" s="879">
        <v>-2</v>
      </c>
      <c r="F1633" s="408">
        <v>4.4999999999999998E-2</v>
      </c>
      <c r="G1633" s="453">
        <f t="shared" si="26"/>
        <v>-2</v>
      </c>
      <c r="H1633" s="417" t="s">
        <v>1666</v>
      </c>
      <c r="I1633" s="451" t="s">
        <v>1758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4" t="str">
        <f>LEFT(base[[#This Row],[Evento / Mercado]],FIND("/",base[[#This Row],[Evento / Mercado]])-2)</f>
        <v>Arminia Bielefeld vs VfL Bochum</v>
      </c>
      <c r="T1633" s="1420">
        <f>base[[#This Row],[Data de liquidação]]</f>
        <v>46144.414513888885</v>
      </c>
    </row>
    <row r="1634" spans="2:22" ht="15" customHeight="1">
      <c r="B1634" s="786" t="s">
        <v>2023</v>
      </c>
      <c r="C1634" s="911" t="s">
        <v>3556</v>
      </c>
      <c r="D1634" s="1349">
        <v>46144.414513888885</v>
      </c>
      <c r="E1634" s="879">
        <v>1.79</v>
      </c>
      <c r="F1634" s="408">
        <v>0</v>
      </c>
      <c r="G1634" s="453">
        <f t="shared" si="26"/>
        <v>1.79</v>
      </c>
      <c r="H1634" s="417" t="s">
        <v>1666</v>
      </c>
      <c r="I1634" s="415" t="s">
        <v>1759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4" t="str">
        <f>LEFT(base[[#This Row],[Evento / Mercado]],FIND("/",base[[#This Row],[Evento / Mercado]])-2)</f>
        <v>Arminia Bielefeld vs VfL Bochum</v>
      </c>
      <c r="T1634" s="142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86" t="s">
        <v>2022</v>
      </c>
      <c r="C1635" s="911" t="s">
        <v>3556</v>
      </c>
      <c r="D1635" s="1349">
        <v>46144.416620370372</v>
      </c>
      <c r="E1635" s="879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4" t="str">
        <f>LEFT(base[[#This Row],[Evento / Mercado]],FIND("/",base[[#This Row],[Evento / Mercado]])-2)</f>
        <v>Derby County vs Sheffield United</v>
      </c>
      <c r="T1635" s="1420">
        <f>base[[#This Row],[Data de liquidação]]</f>
        <v>46144.416620370372</v>
      </c>
    </row>
    <row r="1636" spans="2:22" ht="15" customHeight="1">
      <c r="B1636" s="786" t="s">
        <v>2021</v>
      </c>
      <c r="C1636" s="911" t="s">
        <v>3556</v>
      </c>
      <c r="D1636" s="1349">
        <v>46144.426886574074</v>
      </c>
      <c r="E1636" s="879">
        <v>1.91</v>
      </c>
      <c r="F1636" s="408">
        <v>4.4999999999999998E-2</v>
      </c>
      <c r="G1636" s="453">
        <f t="shared" si="26"/>
        <v>2</v>
      </c>
      <c r="H1636" s="417" t="s">
        <v>1666</v>
      </c>
      <c r="I1636" s="451" t="s">
        <v>1558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4" t="str">
        <f>LEFT(base[[#This Row],[Evento / Mercado]],FIND("/",base[[#This Row],[Evento / Mercado]])-2)</f>
        <v>Villarreal vs Levante UD</v>
      </c>
      <c r="T1636" s="1420">
        <f>base[[#This Row],[Data de liquidação]]</f>
        <v>46144.426886574074</v>
      </c>
    </row>
    <row r="1637" spans="2:22" ht="15" customHeight="1">
      <c r="B1637" s="786" t="s">
        <v>2020</v>
      </c>
      <c r="C1637" s="911" t="s">
        <v>3556</v>
      </c>
      <c r="D1637" s="1349">
        <v>46144.431886574072</v>
      </c>
      <c r="E1637" s="879">
        <v>2.5099999999999998</v>
      </c>
      <c r="F1637" s="408">
        <v>4.4999999999999998E-2</v>
      </c>
      <c r="G1637" s="453">
        <f t="shared" si="26"/>
        <v>2.6282722513089003</v>
      </c>
      <c r="H1637" s="417" t="s">
        <v>1666</v>
      </c>
      <c r="I1637" s="415" t="s">
        <v>1759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4" t="str">
        <f>LEFT(base[[#This Row],[Evento / Mercado]],FIND("/",base[[#This Row],[Evento / Mercado]])-2)</f>
        <v>Bristol City vs Stoke City</v>
      </c>
      <c r="T1637" s="1420">
        <f>base[[#This Row],[Data de liquidação]]</f>
        <v>46144.431886574072</v>
      </c>
    </row>
    <row r="1638" spans="2:22" ht="15" customHeight="1">
      <c r="B1638" s="786" t="s">
        <v>2019</v>
      </c>
      <c r="C1638" s="911" t="s">
        <v>3556</v>
      </c>
      <c r="D1638" s="1349">
        <v>46144.433379629627</v>
      </c>
      <c r="E1638" s="879">
        <v>0.6</v>
      </c>
      <c r="F1638" s="408">
        <v>4.4999999999999998E-2</v>
      </c>
      <c r="G1638" s="453">
        <f t="shared" si="26"/>
        <v>0.62827225130890052</v>
      </c>
      <c r="H1638" s="417" t="s">
        <v>1666</v>
      </c>
      <c r="I1638" s="451" t="s">
        <v>1718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4" t="str">
        <f>LEFT(base[[#This Row],[Evento / Mercado]],FIND("/",base[[#This Row],[Evento / Mercado]])-2)</f>
        <v>Watford vs Coventry City</v>
      </c>
      <c r="T1638" s="1420">
        <f>base[[#This Row],[Data de liquidação]]</f>
        <v>46144.433379629627</v>
      </c>
    </row>
    <row r="1639" spans="2:22" ht="15" customHeight="1">
      <c r="B1639" s="786" t="s">
        <v>2018</v>
      </c>
      <c r="C1639" s="911" t="s">
        <v>3556</v>
      </c>
      <c r="D1639" s="1349">
        <v>46144.433865740742</v>
      </c>
      <c r="E1639" s="879">
        <v>3.58</v>
      </c>
      <c r="F1639" s="408">
        <v>4.4999999999999998E-2</v>
      </c>
      <c r="G1639" s="453">
        <f t="shared" si="26"/>
        <v>3.74869109947644</v>
      </c>
      <c r="H1639" s="417" t="s">
        <v>1666</v>
      </c>
      <c r="I1639" s="451" t="s">
        <v>1717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4" t="str">
        <f>LEFT(base[[#This Row],[Evento / Mercado]],FIND("/",base[[#This Row],[Evento / Mercado]])-2)</f>
        <v>Millwall vs Oxford United</v>
      </c>
      <c r="T1639" s="1420">
        <f>base[[#This Row],[Data de liquidação]]</f>
        <v>46144.433865740742</v>
      </c>
    </row>
    <row r="1640" spans="2:22" ht="15" customHeight="1">
      <c r="B1640" s="786" t="s">
        <v>2017</v>
      </c>
      <c r="C1640" s="911" t="s">
        <v>3556</v>
      </c>
      <c r="D1640" s="1349">
        <v>46144.434641203705</v>
      </c>
      <c r="E1640" s="879">
        <v>-5</v>
      </c>
      <c r="F1640" s="408">
        <v>4.4999999999999998E-2</v>
      </c>
      <c r="G1640" s="453">
        <f t="shared" si="26"/>
        <v>-5</v>
      </c>
      <c r="H1640" s="417" t="s">
        <v>1666</v>
      </c>
      <c r="I1640" s="451" t="s">
        <v>1665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4" t="str">
        <f>LEFT(base[[#This Row],[Evento / Mercado]],FIND("/",base[[#This Row],[Evento / Mercado]])-2)</f>
        <v>Villarreal vs Levante UD</v>
      </c>
      <c r="T1640" s="1420">
        <f>base[[#This Row],[Data de liquidação]]</f>
        <v>46144.434641203705</v>
      </c>
    </row>
    <row r="1641" spans="2:22" ht="15" customHeight="1">
      <c r="B1641" s="786" t="s">
        <v>2016</v>
      </c>
      <c r="C1641" s="911" t="s">
        <v>3556</v>
      </c>
      <c r="D1641" s="1349">
        <v>46144.435416666667</v>
      </c>
      <c r="E1641" s="879">
        <v>36.130000000000003</v>
      </c>
      <c r="F1641" s="408">
        <v>4.4999999999999998E-2</v>
      </c>
      <c r="G1641" s="453">
        <f t="shared" si="26"/>
        <v>37.832460732984295</v>
      </c>
      <c r="H1641" s="453" t="s">
        <v>179</v>
      </c>
      <c r="I1641" s="451" t="s">
        <v>392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40" t="s">
        <v>1206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4" t="str">
        <f>LEFT(base[[#This Row],[Evento / Mercado]],FIND("/",base[[#This Row],[Evento / Mercado]])-2)</f>
        <v>Ipswich Town vs Queens Park Rangers</v>
      </c>
      <c r="T1641" s="1420">
        <f>base[[#This Row],[Data de liquidação]]</f>
        <v>46144.435416666667</v>
      </c>
    </row>
    <row r="1642" spans="2:22" ht="15" customHeight="1">
      <c r="B1642" s="786" t="s">
        <v>2015</v>
      </c>
      <c r="C1642" s="911" t="s">
        <v>3556</v>
      </c>
      <c r="D1642" s="1349">
        <v>46144.436006944445</v>
      </c>
      <c r="E1642" s="879">
        <v>1.76</v>
      </c>
      <c r="F1642" s="408">
        <v>4.4999999999999998E-2</v>
      </c>
      <c r="G1642" s="453">
        <f t="shared" si="26"/>
        <v>1.842931937172775</v>
      </c>
      <c r="H1642" s="417" t="s">
        <v>1666</v>
      </c>
      <c r="I1642" s="451" t="s">
        <v>1758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4" t="str">
        <f>LEFT(base[[#This Row],[Evento / Mercado]],FIND("/",base[[#This Row],[Evento / Mercado]])-2)</f>
        <v>Swansea City vs Charlton Athletic</v>
      </c>
      <c r="T1642" s="1420">
        <f>base[[#This Row],[Data de liquidação]]</f>
        <v>46144.436006944445</v>
      </c>
    </row>
    <row r="1643" spans="2:22" ht="15" customHeight="1">
      <c r="B1643" s="786" t="s">
        <v>2014</v>
      </c>
      <c r="C1643" s="911" t="s">
        <v>3556</v>
      </c>
      <c r="D1643" s="1349">
        <v>46144.437592592592</v>
      </c>
      <c r="E1643" s="879">
        <v>2.27</v>
      </c>
      <c r="F1643" s="408">
        <v>4.4999999999999998E-2</v>
      </c>
      <c r="G1643" s="453">
        <f t="shared" si="26"/>
        <v>2.3769633507853403</v>
      </c>
      <c r="H1643" s="417" t="s">
        <v>1666</v>
      </c>
      <c r="I1643" s="451" t="s">
        <v>1715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4" t="str">
        <f>LEFT(base[[#This Row],[Evento / Mercado]],FIND("/",base[[#This Row],[Evento / Mercado]])-2)</f>
        <v>Hull City vs Norwich City</v>
      </c>
      <c r="T1643" s="1420">
        <f>base[[#This Row],[Data de liquidação]]</f>
        <v>46144.437592592592</v>
      </c>
    </row>
    <row r="1644" spans="2:22" ht="15" customHeight="1">
      <c r="B1644" s="786" t="s">
        <v>2013</v>
      </c>
      <c r="C1644" s="911" t="s">
        <v>3556</v>
      </c>
      <c r="D1644" s="1349">
        <v>46144.438530092593</v>
      </c>
      <c r="E1644" s="879">
        <v>1.31</v>
      </c>
      <c r="F1644" s="408">
        <v>4.4999999999999998E-2</v>
      </c>
      <c r="G1644" s="453">
        <f t="shared" si="26"/>
        <v>1.3717277486910995</v>
      </c>
      <c r="H1644" s="417" t="s">
        <v>1666</v>
      </c>
      <c r="I1644" s="451" t="s">
        <v>1663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4" t="str">
        <f>LEFT(base[[#This Row],[Evento / Mercado]],FIND("/",base[[#This Row],[Evento / Mercado]])-2)</f>
        <v>Hull City vs Norwich City</v>
      </c>
      <c r="T1644" s="1420">
        <f>base[[#This Row],[Data de liquidação]]</f>
        <v>46144.438530092593</v>
      </c>
    </row>
    <row r="1645" spans="2:22" ht="15" customHeight="1">
      <c r="B1645" s="786" t="s">
        <v>2012</v>
      </c>
      <c r="C1645" s="911" t="s">
        <v>3556</v>
      </c>
      <c r="D1645" s="1349">
        <v>46144.438831018517</v>
      </c>
      <c r="E1645" s="879">
        <v>1.01</v>
      </c>
      <c r="F1645" s="408">
        <v>4.4999999999999998E-2</v>
      </c>
      <c r="G1645" s="453">
        <f t="shared" si="26"/>
        <v>1.0575916230366493</v>
      </c>
      <c r="H1645" s="417" t="s">
        <v>1666</v>
      </c>
      <c r="I1645" s="451" t="s">
        <v>1663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4" t="str">
        <f>LEFT(base[[#This Row],[Evento / Mercado]],FIND("/",base[[#This Row],[Evento / Mercado]])-2)</f>
        <v>Villarreal vs Levante UD</v>
      </c>
      <c r="T1645" s="1420">
        <f>base[[#This Row],[Data de liquidação]]</f>
        <v>46144.438831018517</v>
      </c>
    </row>
    <row r="1646" spans="2:22" ht="15" customHeight="1">
      <c r="B1646" s="786" t="s">
        <v>2011</v>
      </c>
      <c r="C1646" s="911" t="s">
        <v>3556</v>
      </c>
      <c r="D1646" s="1349">
        <v>46144.45888888889</v>
      </c>
      <c r="E1646" s="879">
        <v>1.43</v>
      </c>
      <c r="F1646" s="408">
        <v>4.4999999999999998E-2</v>
      </c>
      <c r="G1646" s="453">
        <f t="shared" si="26"/>
        <v>1.4973821989528795</v>
      </c>
      <c r="H1646" s="417" t="s">
        <v>1666</v>
      </c>
      <c r="I1646" s="451" t="s">
        <v>1758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4" t="str">
        <f>LEFT(base[[#This Row],[Evento / Mercado]],FIND("/",base[[#This Row],[Evento / Mercado]])-2)</f>
        <v>Villarreal vs Levante UD</v>
      </c>
      <c r="T1646" s="1420">
        <f>base[[#This Row],[Data de liquidação]]</f>
        <v>46144.45888888889</v>
      </c>
    </row>
    <row r="1647" spans="2:22" ht="15" customHeight="1">
      <c r="B1647" s="786" t="s">
        <v>2010</v>
      </c>
      <c r="C1647" s="911" t="s">
        <v>3556</v>
      </c>
      <c r="D1647" s="1349">
        <v>46144.471446759257</v>
      </c>
      <c r="E1647" s="879">
        <v>1.91</v>
      </c>
      <c r="F1647" s="408">
        <v>4.4999999999999998E-2</v>
      </c>
      <c r="G1647" s="453">
        <f t="shared" si="26"/>
        <v>2</v>
      </c>
      <c r="H1647" s="417" t="s">
        <v>1666</v>
      </c>
      <c r="I1647" s="451" t="s">
        <v>1558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4" t="str">
        <f>LEFT(base[[#This Row],[Evento / Mercado]],FIND("/",base[[#This Row],[Evento / Mercado]])-2)</f>
        <v>Werder Bremen vs FC Augsburg</v>
      </c>
      <c r="T1647" s="1420">
        <f>base[[#This Row],[Data de liquidação]]</f>
        <v>46144.471446759257</v>
      </c>
    </row>
    <row r="1648" spans="2:22" ht="15" customHeight="1">
      <c r="B1648" s="786" t="s">
        <v>2009</v>
      </c>
      <c r="C1648" s="911" t="s">
        <v>3556</v>
      </c>
      <c r="D1648" s="1349">
        <v>46144.496307870373</v>
      </c>
      <c r="E1648" s="879">
        <v>0.77</v>
      </c>
      <c r="F1648" s="408">
        <v>4.4999999999999998E-2</v>
      </c>
      <c r="G1648" s="453">
        <f t="shared" si="26"/>
        <v>0.80628272251308908</v>
      </c>
      <c r="H1648" s="417" t="s">
        <v>1666</v>
      </c>
      <c r="I1648" s="451" t="s">
        <v>1663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4" t="str">
        <f>LEFT(base[[#This Row],[Evento / Mercado]],FIND("/",base[[#This Row],[Evento / Mercado]])-2)</f>
        <v>FC Nantes vs Olympique Marseille</v>
      </c>
      <c r="T1648" s="1420">
        <f>base[[#This Row],[Data de liquidação]]</f>
        <v>46144.496307870373</v>
      </c>
    </row>
    <row r="1649" spans="2:20" ht="15" customHeight="1">
      <c r="B1649" s="786" t="s">
        <v>2008</v>
      </c>
      <c r="C1649" s="911" t="s">
        <v>3556</v>
      </c>
      <c r="D1649" s="1349">
        <v>46144.500509259262</v>
      </c>
      <c r="E1649" s="879">
        <v>-5</v>
      </c>
      <c r="F1649" s="408">
        <v>4.4999999999999998E-2</v>
      </c>
      <c r="G1649" s="453">
        <f t="shared" si="26"/>
        <v>-5</v>
      </c>
      <c r="H1649" s="417" t="s">
        <v>1666</v>
      </c>
      <c r="I1649" s="451" t="s">
        <v>1663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4" t="str">
        <f>LEFT(base[[#This Row],[Evento / Mercado]],FIND("/",base[[#This Row],[Evento / Mercado]])-2)</f>
        <v>Werder Bremen vs FC Augsburg</v>
      </c>
      <c r="T1649" s="1420">
        <f>base[[#This Row],[Data de liquidação]]</f>
        <v>46144.500509259262</v>
      </c>
    </row>
    <row r="1650" spans="2:20" ht="15" customHeight="1">
      <c r="B1650" s="786" t="s">
        <v>2007</v>
      </c>
      <c r="C1650" s="911" t="s">
        <v>3556</v>
      </c>
      <c r="D1650" s="1349">
        <v>46144.505706018521</v>
      </c>
      <c r="E1650" s="879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1844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4" t="str">
        <f>LEFT(base[[#This Row],[Evento / Mercado]],FIND("/",base[[#This Row],[Evento / Mercado]])-2)</f>
        <v>FC Bayern München vs 1. FC Heidenheim</v>
      </c>
      <c r="T1650" s="1420">
        <f>base[[#This Row],[Data de liquidação]]</f>
        <v>46144.505706018521</v>
      </c>
    </row>
    <row r="1651" spans="2:20" ht="15" customHeight="1">
      <c r="B1651" s="786" t="s">
        <v>2006</v>
      </c>
      <c r="C1651" s="911" t="s">
        <v>3556</v>
      </c>
      <c r="D1651" s="1349">
        <v>46144.509930555556</v>
      </c>
      <c r="E1651" s="879">
        <v>-1.54</v>
      </c>
      <c r="F1651" s="408">
        <v>4.4999999999999998E-2</v>
      </c>
      <c r="G1651" s="453">
        <f t="shared" si="26"/>
        <v>-1.54</v>
      </c>
      <c r="H1651" s="417" t="s">
        <v>1666</v>
      </c>
      <c r="I1651" s="451" t="s">
        <v>1558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4" t="str">
        <f>LEFT(base[[#This Row],[Evento / Mercado]],FIND("/",base[[#This Row],[Evento / Mercado]])-2)</f>
        <v>Brentford vs West Ham</v>
      </c>
      <c r="T1651" s="1420">
        <f>base[[#This Row],[Data de liquidação]]</f>
        <v>46144.509930555556</v>
      </c>
    </row>
    <row r="1652" spans="2:20" ht="15" customHeight="1">
      <c r="B1652" s="786" t="s">
        <v>2005</v>
      </c>
      <c r="C1652" s="911" t="s">
        <v>3556</v>
      </c>
      <c r="D1652" s="1349">
        <v>46144.518043981479</v>
      </c>
      <c r="E1652" s="879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628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1200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4" t="str">
        <f>LEFT(base[[#This Row],[Evento / Mercado]],FIND("/",base[[#This Row],[Evento / Mercado]])-2)</f>
        <v>1899 Hoffenheim vs VfB Stuttgart</v>
      </c>
      <c r="T1652" s="1420">
        <f>base[[#This Row],[Data de liquidação]]</f>
        <v>46144.518043981479</v>
      </c>
    </row>
    <row r="1653" spans="2:20" ht="15" customHeight="1">
      <c r="B1653" s="786" t="s">
        <v>2004</v>
      </c>
      <c r="C1653" s="911" t="s">
        <v>3556</v>
      </c>
      <c r="D1653" s="1349">
        <v>46144.522083333337</v>
      </c>
      <c r="E1653" s="879">
        <v>2.73</v>
      </c>
      <c r="F1653" s="408">
        <v>4.4999999999999998E-2</v>
      </c>
      <c r="G1653" s="453">
        <f t="shared" si="26"/>
        <v>2.8586387434554976</v>
      </c>
      <c r="H1653" s="417" t="s">
        <v>1666</v>
      </c>
      <c r="I1653" s="451" t="s">
        <v>1717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4" t="str">
        <f>LEFT(base[[#This Row],[Evento / Mercado]],FIND("/",base[[#This Row],[Evento / Mercado]])-2)</f>
        <v>FC Bayern München vs 1. FC Heidenheim</v>
      </c>
      <c r="T1653" s="1420">
        <f>base[[#This Row],[Data de liquidação]]</f>
        <v>46144.522083333337</v>
      </c>
    </row>
    <row r="1654" spans="2:20" ht="15" customHeight="1">
      <c r="B1654" s="786" t="s">
        <v>2003</v>
      </c>
      <c r="C1654" s="911" t="s">
        <v>3556</v>
      </c>
      <c r="D1654" s="1349">
        <v>46144.522870370369</v>
      </c>
      <c r="E1654" s="879">
        <v>0.31</v>
      </c>
      <c r="F1654" s="408">
        <v>4.4999999999999998E-2</v>
      </c>
      <c r="G1654" s="453">
        <f t="shared" si="26"/>
        <v>0.32460732984293195</v>
      </c>
      <c r="H1654" s="417" t="s">
        <v>1666</v>
      </c>
      <c r="I1654" s="451" t="s">
        <v>1718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4" t="str">
        <f>LEFT(base[[#This Row],[Evento / Mercado]],FIND("/",base[[#This Row],[Evento / Mercado]])-2)</f>
        <v>1. FC Union Berlin vs 1. FC Köln</v>
      </c>
      <c r="T1654" s="1420">
        <f>base[[#This Row],[Data de liquidação]]</f>
        <v>46144.522870370369</v>
      </c>
    </row>
    <row r="1655" spans="2:20" ht="15" customHeight="1">
      <c r="B1655" s="786" t="s">
        <v>2002</v>
      </c>
      <c r="C1655" s="911" t="s">
        <v>3556</v>
      </c>
      <c r="D1655" s="1349">
        <v>46144.522916666669</v>
      </c>
      <c r="E1655" s="879">
        <v>1.05</v>
      </c>
      <c r="F1655" s="408">
        <v>4.4999999999999998E-2</v>
      </c>
      <c r="G1655" s="453">
        <f t="shared" si="26"/>
        <v>1.0994764397905761</v>
      </c>
      <c r="H1655" s="417" t="s">
        <v>1666</v>
      </c>
      <c r="I1655" s="451" t="s">
        <v>1663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4" t="str">
        <f>LEFT(base[[#This Row],[Evento / Mercado]],FIND("/",base[[#This Row],[Evento / Mercado]])-2)</f>
        <v>Eintracht Frankfurt vs Hamburger SV</v>
      </c>
      <c r="T1655" s="1420">
        <f>base[[#This Row],[Data de liquidação]]</f>
        <v>46144.522916666669</v>
      </c>
    </row>
    <row r="1656" spans="2:20" ht="15" customHeight="1">
      <c r="B1656" s="786" t="s">
        <v>2001</v>
      </c>
      <c r="C1656" s="911" t="s">
        <v>3556</v>
      </c>
      <c r="D1656" s="1349">
        <v>46144.529745370368</v>
      </c>
      <c r="E1656" s="879">
        <v>-5</v>
      </c>
      <c r="F1656" s="408">
        <v>4.4999999999999998E-2</v>
      </c>
      <c r="G1656" s="453">
        <f t="shared" si="26"/>
        <v>-5</v>
      </c>
      <c r="H1656" s="417" t="s">
        <v>1666</v>
      </c>
      <c r="I1656" s="451" t="s">
        <v>1665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4" t="str">
        <f>LEFT(base[[#This Row],[Evento / Mercado]],FIND("/",base[[#This Row],[Evento / Mercado]])-2)</f>
        <v>Brentford vs West Ham</v>
      </c>
      <c r="T1656" s="1420">
        <f>base[[#This Row],[Data de liquidação]]</f>
        <v>46144.529745370368</v>
      </c>
    </row>
    <row r="1657" spans="2:20" ht="15" customHeight="1">
      <c r="B1657" s="786" t="s">
        <v>2000</v>
      </c>
      <c r="C1657" s="911" t="s">
        <v>3556</v>
      </c>
      <c r="D1657" s="1349">
        <v>46144.536423611113</v>
      </c>
      <c r="E1657" s="879">
        <v>2.2000000000000002</v>
      </c>
      <c r="F1657" s="408">
        <v>4.4999999999999998E-2</v>
      </c>
      <c r="G1657" s="453">
        <f t="shared" si="26"/>
        <v>2.3036649214659688</v>
      </c>
      <c r="H1657" s="417" t="s">
        <v>1666</v>
      </c>
      <c r="I1657" s="451" t="s">
        <v>1760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4" t="str">
        <f>LEFT(base[[#This Row],[Evento / Mercado]],FIND("/",base[[#This Row],[Evento / Mercado]])-2)</f>
        <v>Stevenage vs Wigan Athletic</v>
      </c>
      <c r="T1657" s="1420">
        <f>base[[#This Row],[Data de liquidação]]</f>
        <v>46144.536423611113</v>
      </c>
    </row>
    <row r="1658" spans="2:20" ht="15" customHeight="1">
      <c r="B1658" s="786" t="s">
        <v>1999</v>
      </c>
      <c r="C1658" s="911" t="s">
        <v>3556</v>
      </c>
      <c r="D1658" s="1349">
        <v>46144.540578703702</v>
      </c>
      <c r="E1658" s="879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4" t="str">
        <f>LEFT(base[[#This Row],[Evento / Mercado]],FIND("/",base[[#This Row],[Evento / Mercado]])-2)</f>
        <v>Brentford vs West Ham</v>
      </c>
      <c r="T1658" s="1420">
        <f>base[[#This Row],[Data de liquidação]]</f>
        <v>46144.540578703702</v>
      </c>
    </row>
    <row r="1659" spans="2:20" ht="15" customHeight="1">
      <c r="B1659" s="786" t="s">
        <v>1998</v>
      </c>
      <c r="C1659" s="911" t="s">
        <v>3556</v>
      </c>
      <c r="D1659" s="1349">
        <v>46144.541388888887</v>
      </c>
      <c r="E1659" s="879">
        <v>2.0699999999999998</v>
      </c>
      <c r="F1659" s="408">
        <v>4.4999999999999998E-2</v>
      </c>
      <c r="G1659" s="453">
        <f t="shared" si="26"/>
        <v>2.1675392670157065</v>
      </c>
      <c r="H1659" s="417" t="s">
        <v>1666</v>
      </c>
      <c r="I1659" s="451" t="s">
        <v>1715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4" t="str">
        <f>LEFT(base[[#This Row],[Evento / Mercado]],FIND("/",base[[#This Row],[Evento / Mercado]])-2)</f>
        <v>Stevenage vs Wigan Athletic</v>
      </c>
      <c r="T1659" s="1420">
        <f>base[[#This Row],[Data de liquidação]]</f>
        <v>46144.541388888887</v>
      </c>
    </row>
    <row r="1660" spans="2:20" ht="15" customHeight="1">
      <c r="B1660" s="786" t="s">
        <v>1997</v>
      </c>
      <c r="C1660" s="911" t="s">
        <v>3556</v>
      </c>
      <c r="D1660" s="1349">
        <v>46144.541990740741</v>
      </c>
      <c r="E1660" s="879">
        <v>-2</v>
      </c>
      <c r="F1660" s="408">
        <v>4.4999999999999998E-2</v>
      </c>
      <c r="G1660" s="453">
        <f t="shared" si="26"/>
        <v>-2</v>
      </c>
      <c r="H1660" s="417" t="s">
        <v>1666</v>
      </c>
      <c r="I1660" s="451" t="s">
        <v>1760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4" t="str">
        <f>LEFT(base[[#This Row],[Evento / Mercado]],FIND("/",base[[#This Row],[Evento / Mercado]])-2)</f>
        <v>Crawley Town vs Salford City</v>
      </c>
      <c r="T1660" s="1420">
        <f>base[[#This Row],[Data de liquidação]]</f>
        <v>46144.541990740741</v>
      </c>
    </row>
    <row r="1661" spans="2:20" ht="15" customHeight="1">
      <c r="B1661" s="786" t="s">
        <v>1996</v>
      </c>
      <c r="C1661" s="911" t="s">
        <v>3556</v>
      </c>
      <c r="D1661" s="1349">
        <v>46144.55976851852</v>
      </c>
      <c r="E1661" s="879">
        <v>1.8</v>
      </c>
      <c r="F1661" s="408">
        <v>4.4999999999999998E-2</v>
      </c>
      <c r="G1661" s="453">
        <f t="shared" si="26"/>
        <v>1.8848167539267018</v>
      </c>
      <c r="H1661" s="417" t="s">
        <v>1666</v>
      </c>
      <c r="I1661" s="451" t="s">
        <v>1760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4" t="str">
        <f>LEFT(base[[#This Row],[Evento / Mercado]],FIND("/",base[[#This Row],[Evento / Mercado]])-2)</f>
        <v>FC Utrecht vs NAC Breda</v>
      </c>
      <c r="T1661" s="1420">
        <f>base[[#This Row],[Data de liquidação]]</f>
        <v>46144.55976851852</v>
      </c>
    </row>
    <row r="1662" spans="2:20" ht="15" customHeight="1">
      <c r="B1662" s="786" t="s">
        <v>1995</v>
      </c>
      <c r="C1662" s="911" t="s">
        <v>3556</v>
      </c>
      <c r="D1662" s="1349">
        <v>46144.567812499998</v>
      </c>
      <c r="E1662" s="879">
        <v>-5</v>
      </c>
      <c r="F1662" s="408">
        <v>4.4999999999999998E-2</v>
      </c>
      <c r="G1662" s="453">
        <f t="shared" si="26"/>
        <v>-5</v>
      </c>
      <c r="H1662" s="417" t="s">
        <v>1666</v>
      </c>
      <c r="I1662" s="451" t="s">
        <v>1663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4" t="str">
        <f>LEFT(base[[#This Row],[Evento / Mercado]],FIND("/",base[[#This Row],[Evento / Mercado]])-2)</f>
        <v>FC Vaduz vs Stade Lausanne-Ouchy</v>
      </c>
      <c r="T1662" s="1420">
        <f>base[[#This Row],[Data de liquidação]]</f>
        <v>46144.567812499998</v>
      </c>
    </row>
    <row r="1663" spans="2:20" ht="15" customHeight="1">
      <c r="B1663" s="786" t="s">
        <v>1994</v>
      </c>
      <c r="C1663" s="911" t="s">
        <v>3556</v>
      </c>
      <c r="D1663" s="1349">
        <v>46144.578761574077</v>
      </c>
      <c r="E1663" s="879">
        <v>57.79</v>
      </c>
      <c r="F1663" s="408">
        <v>4.4999999999999998E-2</v>
      </c>
      <c r="G1663" s="453">
        <f t="shared" si="26"/>
        <v>60.513089005235607</v>
      </c>
      <c r="H1663" s="453" t="s">
        <v>179</v>
      </c>
      <c r="I1663" s="451" t="s">
        <v>392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1208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4" t="str">
        <f>LEFT(base[[#This Row],[Evento / Mercado]],FIND("/",base[[#This Row],[Evento / Mercado]])-2)</f>
        <v>Paris Saint-Germain vs FC Lorient</v>
      </c>
      <c r="T1663" s="1420">
        <f>base[[#This Row],[Data de liquidação]]</f>
        <v>46144.578761574077</v>
      </c>
    </row>
    <row r="1664" spans="2:20" ht="15" customHeight="1">
      <c r="B1664" s="786" t="s">
        <v>1993</v>
      </c>
      <c r="C1664" s="911" t="s">
        <v>3556</v>
      </c>
      <c r="D1664" s="1349">
        <v>46144.591261574074</v>
      </c>
      <c r="E1664" s="879">
        <v>1.91</v>
      </c>
      <c r="F1664" s="408">
        <v>4.4999999999999998E-2</v>
      </c>
      <c r="G1664" s="453">
        <f t="shared" si="26"/>
        <v>2</v>
      </c>
      <c r="H1664" s="417" t="s">
        <v>1666</v>
      </c>
      <c r="I1664" s="451" t="s">
        <v>1558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4" t="str">
        <f>LEFT(base[[#This Row],[Evento / Mercado]],FIND("/",base[[#This Row],[Evento / Mercado]])-2)</f>
        <v>Arsenal vs Fulham</v>
      </c>
      <c r="T1664" s="1420">
        <f>base[[#This Row],[Data de liquidação]]</f>
        <v>46144.591261574074</v>
      </c>
    </row>
    <row r="1665" spans="2:20" ht="15" customHeight="1">
      <c r="B1665" s="786" t="s">
        <v>1992</v>
      </c>
      <c r="C1665" s="911" t="s">
        <v>3556</v>
      </c>
      <c r="D1665" s="1349">
        <v>46144.595439814817</v>
      </c>
      <c r="E1665" s="879">
        <v>1.91</v>
      </c>
      <c r="F1665" s="408">
        <v>4.4999999999999998E-2</v>
      </c>
      <c r="G1665" s="453">
        <f t="shared" si="26"/>
        <v>2</v>
      </c>
      <c r="H1665" s="417" t="s">
        <v>1666</v>
      </c>
      <c r="I1665" s="451" t="s">
        <v>1558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4" t="str">
        <f>LEFT(base[[#This Row],[Evento / Mercado]],FIND("/",base[[#This Row],[Evento / Mercado]])-2)</f>
        <v>Bayer 04 Leverkusen vs RB Leipzig</v>
      </c>
      <c r="T1665" s="1420">
        <f>base[[#This Row],[Data de liquidação]]</f>
        <v>46144.595439814817</v>
      </c>
    </row>
    <row r="1666" spans="2:20" ht="15" customHeight="1">
      <c r="B1666" s="786" t="s">
        <v>1991</v>
      </c>
      <c r="C1666" s="911" t="s">
        <v>3556</v>
      </c>
      <c r="D1666" s="1349">
        <v>46144.596585648149</v>
      </c>
      <c r="E1666" s="879">
        <v>-2</v>
      </c>
      <c r="F1666" s="408">
        <v>4.4999999999999998E-2</v>
      </c>
      <c r="G1666" s="453">
        <f t="shared" si="26"/>
        <v>-2</v>
      </c>
      <c r="H1666" s="417" t="s">
        <v>1666</v>
      </c>
      <c r="I1666" s="451" t="s">
        <v>1795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4" t="str">
        <f>LEFT(base[[#This Row],[Evento / Mercado]],FIND("/",base[[#This Row],[Evento / Mercado]])-2)</f>
        <v>CD Castellon vs Córdoba CF</v>
      </c>
      <c r="T1666" s="1420">
        <f>base[[#This Row],[Data de liquidação]]</f>
        <v>46144.596585648149</v>
      </c>
    </row>
    <row r="1667" spans="2:20" ht="15" customHeight="1">
      <c r="B1667" s="786" t="s">
        <v>1990</v>
      </c>
      <c r="C1667" s="911" t="s">
        <v>3556</v>
      </c>
      <c r="D1667" s="1349">
        <v>46144.602372685185</v>
      </c>
      <c r="E1667" s="879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1666</v>
      </c>
      <c r="I1667" s="451" t="s">
        <v>1558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4" t="str">
        <f>LEFT(base[[#This Row],[Evento / Mercado]],FIND("/",base[[#This Row],[Evento / Mercado]])-2)</f>
        <v>FC Groningen vs Excelsior Rotterdam</v>
      </c>
      <c r="T1667" s="1420">
        <f>base[[#This Row],[Data de liquidação]]</f>
        <v>46144.602372685185</v>
      </c>
    </row>
    <row r="1668" spans="2:20" ht="15" customHeight="1">
      <c r="B1668" s="786" t="s">
        <v>1989</v>
      </c>
      <c r="C1668" s="911" t="s">
        <v>3556</v>
      </c>
      <c r="D1668" s="1349">
        <v>46144.6094212963</v>
      </c>
      <c r="E1668" s="879">
        <v>1.91</v>
      </c>
      <c r="F1668" s="408">
        <v>4.4999999999999998E-2</v>
      </c>
      <c r="G1668" s="453">
        <f t="shared" si="27"/>
        <v>2</v>
      </c>
      <c r="H1668" s="417" t="s">
        <v>1666</v>
      </c>
      <c r="I1668" s="451" t="s">
        <v>1558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4" t="str">
        <f>LEFT(base[[#This Row],[Evento / Mercado]],FIND("/",base[[#This Row],[Evento / Mercado]])-2)</f>
        <v>Fenerbahçe SK vs Istanbul Basaksehir FK</v>
      </c>
      <c r="T1668" s="1420">
        <f>base[[#This Row],[Data de liquidação]]</f>
        <v>46144.6094212963</v>
      </c>
    </row>
    <row r="1669" spans="2:20" ht="15" customHeight="1">
      <c r="B1669" s="786" t="s">
        <v>1988</v>
      </c>
      <c r="C1669" s="911" t="s">
        <v>3556</v>
      </c>
      <c r="D1669" s="1349">
        <v>46144.642013888886</v>
      </c>
      <c r="E1669" s="879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627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1201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4" t="str">
        <f>LEFT(base[[#This Row],[Evento / Mercado]],FIND("/",base[[#This Row],[Evento / Mercado]])-2)</f>
        <v>Arsenal vs Fulham</v>
      </c>
      <c r="T1669" s="1420">
        <f>base[[#This Row],[Data de liquidação]]</f>
        <v>46144.642013888886</v>
      </c>
    </row>
    <row r="1670" spans="2:20" ht="15" customHeight="1">
      <c r="B1670" s="786" t="s">
        <v>1987</v>
      </c>
      <c r="C1670" s="911" t="s">
        <v>3556</v>
      </c>
      <c r="D1670" s="1349">
        <v>46144.642465277779</v>
      </c>
      <c r="E1670" s="879">
        <v>51.93</v>
      </c>
      <c r="F1670" s="408">
        <v>4.4999999999999998E-2</v>
      </c>
      <c r="G1670" s="453">
        <f t="shared" si="27"/>
        <v>54.376963350785346</v>
      </c>
      <c r="H1670" s="453" t="s">
        <v>179</v>
      </c>
      <c r="I1670" s="451" t="s">
        <v>392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1201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4" t="str">
        <f>LEFT(base[[#This Row],[Evento / Mercado]],FIND("/",base[[#This Row],[Evento / Mercado]])-2)</f>
        <v>Arsenal vs Fulham</v>
      </c>
      <c r="T1670" s="1420">
        <f>base[[#This Row],[Data de liquidação]]</f>
        <v>46144.642465277779</v>
      </c>
    </row>
    <row r="1671" spans="2:20" ht="15" customHeight="1">
      <c r="B1671" s="786" t="s">
        <v>1986</v>
      </c>
      <c r="C1671" s="911" t="s">
        <v>3556</v>
      </c>
      <c r="D1671" s="1349">
        <v>46144.655115740738</v>
      </c>
      <c r="E1671" s="879">
        <v>3.18</v>
      </c>
      <c r="F1671" s="408">
        <v>4.4999999999999998E-2</v>
      </c>
      <c r="G1671" s="453">
        <f t="shared" si="27"/>
        <v>3.329842931937173</v>
      </c>
      <c r="H1671" s="417" t="s">
        <v>1666</v>
      </c>
      <c r="I1671" s="451" t="s">
        <v>1759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4" t="str">
        <f>LEFT(base[[#This Row],[Evento / Mercado]],FIND("/",base[[#This Row],[Evento / Mercado]])-2)</f>
        <v>HNK Vukovar 1991 vs NK Osijek</v>
      </c>
      <c r="T1671" s="1420">
        <f>base[[#This Row],[Data de liquidação]]</f>
        <v>46144.655115740738</v>
      </c>
    </row>
    <row r="1672" spans="2:20" ht="15" customHeight="1">
      <c r="B1672" s="786" t="s">
        <v>1985</v>
      </c>
      <c r="C1672" s="911" t="s">
        <v>3556</v>
      </c>
      <c r="D1672" s="1349">
        <v>46144.664236111108</v>
      </c>
      <c r="E1672" s="879">
        <v>3.82</v>
      </c>
      <c r="F1672" s="408">
        <v>4.4999999999999998E-2</v>
      </c>
      <c r="G1672" s="453">
        <f t="shared" si="27"/>
        <v>4</v>
      </c>
      <c r="H1672" s="417" t="s">
        <v>1666</v>
      </c>
      <c r="I1672" s="451" t="s">
        <v>1715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4" t="str">
        <f>LEFT(base[[#This Row],[Evento / Mercado]],FIND("/",base[[#This Row],[Evento / Mercado]])-2)</f>
        <v>Fenerbahçe SK vs Istanbul Basaksehir FK</v>
      </c>
      <c r="T1672" s="1420">
        <f>base[[#This Row],[Data de liquidação]]</f>
        <v>46144.664236111108</v>
      </c>
    </row>
    <row r="1673" spans="2:20" ht="15" customHeight="1">
      <c r="B1673" s="786" t="s">
        <v>1984</v>
      </c>
      <c r="C1673" s="911" t="s">
        <v>3556</v>
      </c>
      <c r="D1673" s="1349">
        <v>46144.673090277778</v>
      </c>
      <c r="E1673" s="879">
        <v>-100</v>
      </c>
      <c r="F1673" s="408">
        <v>4.4999999999999998E-2</v>
      </c>
      <c r="G1673" s="453">
        <f t="shared" si="27"/>
        <v>-100</v>
      </c>
      <c r="H1673" s="453" t="s">
        <v>1555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4" t="str">
        <f>LEFT(base[[#This Row],[Evento / Mercado]],FIND("/",base[[#This Row],[Evento / Mercado]])-2)</f>
        <v>Famalicão vs Benfica</v>
      </c>
      <c r="T1673" s="1420">
        <f>base[[#This Row],[Data de liquidação]]</f>
        <v>46144.673090277778</v>
      </c>
    </row>
    <row r="1674" spans="2:20" ht="15" customHeight="1">
      <c r="B1674" s="786" t="s">
        <v>1983</v>
      </c>
      <c r="C1674" s="911" t="s">
        <v>3556</v>
      </c>
      <c r="D1674" s="1349">
        <v>46144.674247685187</v>
      </c>
      <c r="E1674" s="879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4" t="str">
        <f>LEFT(base[[#This Row],[Evento / Mercado]],FIND("/",base[[#This Row],[Evento / Mercado]])-2)</f>
        <v>Toronto FC vs San Jose Earthquakes</v>
      </c>
      <c r="T1674" s="1420">
        <f>base[[#This Row],[Data de liquidação]]</f>
        <v>46144.674247685187</v>
      </c>
    </row>
    <row r="1675" spans="2:20" ht="15" customHeight="1">
      <c r="B1675" s="786" t="s">
        <v>1982</v>
      </c>
      <c r="C1675" s="911" t="s">
        <v>3556</v>
      </c>
      <c r="D1675" s="1349">
        <v>46144.695196759261</v>
      </c>
      <c r="E1675" s="879">
        <v>-2.25</v>
      </c>
      <c r="F1675" s="408">
        <v>4.4999999999999998E-2</v>
      </c>
      <c r="G1675" s="453">
        <f t="shared" si="27"/>
        <v>-2.25</v>
      </c>
      <c r="H1675" s="417" t="s">
        <v>1666</v>
      </c>
      <c r="I1675" s="451" t="s">
        <v>1558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4" t="str">
        <f>LEFT(base[[#This Row],[Evento / Mercado]],FIND("/",base[[#This Row],[Evento / Mercado]])-2)</f>
        <v>Al Hazm vs Al-Hilal Riyadh</v>
      </c>
      <c r="T1675" s="1420">
        <f>base[[#This Row],[Data de liquidação]]</f>
        <v>46144.695196759261</v>
      </c>
    </row>
    <row r="1676" spans="2:20" ht="15" customHeight="1">
      <c r="B1676" s="786" t="s">
        <v>1981</v>
      </c>
      <c r="C1676" s="911" t="s">
        <v>3556</v>
      </c>
      <c r="D1676" s="1349">
        <v>46144.704583333332</v>
      </c>
      <c r="E1676" s="879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627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1205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4" t="str">
        <f>LEFT(base[[#This Row],[Evento / Mercado]],FIND("/",base[[#This Row],[Evento / Mercado]])-2)</f>
        <v>Ajax vs PSV Eindhoven</v>
      </c>
      <c r="T1676" s="1420">
        <f>base[[#This Row],[Data de liquidação]]</f>
        <v>46144.704583333332</v>
      </c>
    </row>
    <row r="1677" spans="2:20" ht="15" customHeight="1">
      <c r="B1677" s="786" t="s">
        <v>1980</v>
      </c>
      <c r="C1677" s="911" t="s">
        <v>3556</v>
      </c>
      <c r="D1677" s="1349">
        <v>46144.718819444446</v>
      </c>
      <c r="E1677" s="879">
        <v>1.1100000000000001</v>
      </c>
      <c r="F1677" s="408">
        <v>4.4999999999999998E-2</v>
      </c>
      <c r="G1677" s="453">
        <f t="shared" si="27"/>
        <v>1.1623036649214662</v>
      </c>
      <c r="H1677" s="417" t="s">
        <v>1666</v>
      </c>
      <c r="I1677" s="451" t="s">
        <v>1795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4" t="str">
        <f>LEFT(base[[#This Row],[Evento / Mercado]],FIND("/",base[[#This Row],[Evento / Mercado]])-2)</f>
        <v>FC Porto vs Alverca</v>
      </c>
      <c r="T1677" s="1420">
        <f>base[[#This Row],[Data de liquidação]]</f>
        <v>46144.718819444446</v>
      </c>
    </row>
    <row r="1678" spans="2:20" ht="15" customHeight="1">
      <c r="B1678" s="786" t="s">
        <v>1979</v>
      </c>
      <c r="C1678" s="911" t="s">
        <v>3556</v>
      </c>
      <c r="D1678" s="1349">
        <v>46144.719340277778</v>
      </c>
      <c r="E1678" s="879">
        <v>1.03</v>
      </c>
      <c r="F1678" s="408">
        <v>4.4999999999999998E-2</v>
      </c>
      <c r="G1678" s="453">
        <f t="shared" si="27"/>
        <v>1.0785340314136127</v>
      </c>
      <c r="H1678" s="417" t="s">
        <v>1666</v>
      </c>
      <c r="I1678" s="451" t="s">
        <v>1663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4" t="str">
        <f>LEFT(base[[#This Row],[Evento / Mercado]],FIND("/",base[[#This Row],[Evento / Mercado]])-2)</f>
        <v>Motor Lublin vs Lech Poznan</v>
      </c>
      <c r="T1678" s="1420">
        <f>base[[#This Row],[Data de liquidação]]</f>
        <v>46144.719340277778</v>
      </c>
    </row>
    <row r="1679" spans="2:20" ht="15" customHeight="1">
      <c r="B1679" s="786" t="s">
        <v>1978</v>
      </c>
      <c r="C1679" s="911" t="s">
        <v>3556</v>
      </c>
      <c r="D1679" s="1349">
        <v>46144.724872685183</v>
      </c>
      <c r="E1679" s="879">
        <v>1.77</v>
      </c>
      <c r="F1679" s="408">
        <v>4.4999999999999998E-2</v>
      </c>
      <c r="G1679" s="453">
        <f t="shared" si="27"/>
        <v>1.8534031413612566</v>
      </c>
      <c r="H1679" s="417" t="s">
        <v>1666</v>
      </c>
      <c r="I1679" s="451" t="s">
        <v>1715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4" t="str">
        <f>LEFT(base[[#This Row],[Evento / Mercado]],FIND("/",base[[#This Row],[Evento / Mercado]])-2)</f>
        <v>FC Basel vs FC Thun</v>
      </c>
      <c r="T1679" s="1420">
        <f>base[[#This Row],[Data de liquidação]]</f>
        <v>46144.724872685183</v>
      </c>
    </row>
    <row r="1680" spans="2:20" ht="15" customHeight="1">
      <c r="B1680" s="786" t="s">
        <v>1977</v>
      </c>
      <c r="C1680" s="911" t="s">
        <v>3556</v>
      </c>
      <c r="D1680" s="1349">
        <v>46144.725763888891</v>
      </c>
      <c r="E1680" s="879">
        <v>1.37</v>
      </c>
      <c r="F1680" s="408">
        <v>4.4999999999999998E-2</v>
      </c>
      <c r="G1680" s="453">
        <f t="shared" si="27"/>
        <v>1.4345549738219896</v>
      </c>
      <c r="H1680" s="417" t="s">
        <v>1666</v>
      </c>
      <c r="I1680" s="451" t="s">
        <v>1759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4" t="str">
        <f>LEFT(base[[#This Row],[Evento / Mercado]],FIND("/",base[[#This Row],[Evento / Mercado]])-2)</f>
        <v>FC Schalke 04 vs Fortuna Düsseldorf</v>
      </c>
      <c r="T1680" s="1420">
        <f>base[[#This Row],[Data de liquidação]]</f>
        <v>46144.725763888891</v>
      </c>
    </row>
    <row r="1681" spans="2:22" ht="15" customHeight="1">
      <c r="B1681" s="786" t="s">
        <v>1976</v>
      </c>
      <c r="C1681" s="911" t="s">
        <v>3556</v>
      </c>
      <c r="D1681" s="1349">
        <v>46144.731446759259</v>
      </c>
      <c r="E1681" s="879">
        <v>-1.56</v>
      </c>
      <c r="F1681" s="408">
        <v>4.4999999999999998E-2</v>
      </c>
      <c r="G1681" s="453">
        <f t="shared" si="27"/>
        <v>-1.56</v>
      </c>
      <c r="H1681" s="417" t="s">
        <v>1666</v>
      </c>
      <c r="I1681" s="451" t="s">
        <v>1558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4" t="str">
        <f>LEFT(base[[#This Row],[Evento / Mercado]],FIND("/",base[[#This Row],[Evento / Mercado]])-2)</f>
        <v>Botafogo FR vs Clube do Remo</v>
      </c>
      <c r="T1681" s="1420">
        <f>base[[#This Row],[Data de liquidação]]</f>
        <v>46144.731446759259</v>
      </c>
    </row>
    <row r="1682" spans="2:22" ht="15" customHeight="1">
      <c r="B1682" s="786" t="s">
        <v>1975</v>
      </c>
      <c r="C1682" s="911" t="s">
        <v>3556</v>
      </c>
      <c r="D1682" s="1349">
        <v>46144.734548611108</v>
      </c>
      <c r="E1682" s="879">
        <v>1.62</v>
      </c>
      <c r="F1682" s="408">
        <v>4.4999999999999998E-2</v>
      </c>
      <c r="G1682" s="453">
        <f t="shared" si="27"/>
        <v>1.6963350785340316</v>
      </c>
      <c r="H1682" s="417" t="s">
        <v>1666</v>
      </c>
      <c r="I1682" s="451" t="s">
        <v>1760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4" t="str">
        <f>LEFT(base[[#This Row],[Evento / Mercado]],FIND("/",base[[#This Row],[Evento / Mercado]])-2)</f>
        <v>Osasuna vs FC Barcelona</v>
      </c>
      <c r="T1682" s="1420">
        <f>base[[#This Row],[Data de liquidação]]</f>
        <v>46144.734548611108</v>
      </c>
    </row>
    <row r="1683" spans="2:22" ht="15" customHeight="1">
      <c r="B1683" s="786" t="s">
        <v>1974</v>
      </c>
      <c r="C1683" s="911" t="s">
        <v>3556</v>
      </c>
      <c r="D1683" s="1349">
        <v>46144.735868055555</v>
      </c>
      <c r="E1683" s="879">
        <v>-2</v>
      </c>
      <c r="F1683" s="408">
        <v>4.4999999999999998E-2</v>
      </c>
      <c r="G1683" s="453">
        <f t="shared" si="27"/>
        <v>-2</v>
      </c>
      <c r="H1683" s="417" t="s">
        <v>1666</v>
      </c>
      <c r="I1683" s="451" t="s">
        <v>1760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4" t="str">
        <f>LEFT(base[[#This Row],[Evento / Mercado]],FIND("/",base[[#This Row],[Evento / Mercado]])-2)</f>
        <v>Atalanta vs Genoa</v>
      </c>
      <c r="T1683" s="1420">
        <f>base[[#This Row],[Data de liquidação]]</f>
        <v>46144.735868055555</v>
      </c>
    </row>
    <row r="1684" spans="2:22" ht="15" customHeight="1">
      <c r="B1684" s="786" t="s">
        <v>1973</v>
      </c>
      <c r="C1684" s="911" t="s">
        <v>3556</v>
      </c>
      <c r="D1684" s="1349">
        <v>46144.739571759259</v>
      </c>
      <c r="E1684" s="879">
        <v>-5</v>
      </c>
      <c r="F1684" s="408">
        <v>4.4999999999999998E-2</v>
      </c>
      <c r="G1684" s="453">
        <f t="shared" si="27"/>
        <v>-5</v>
      </c>
      <c r="H1684" s="417" t="s">
        <v>1666</v>
      </c>
      <c r="I1684" s="451" t="s">
        <v>1665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4" t="str">
        <f>LEFT(base[[#This Row],[Evento / Mercado]],FIND("/",base[[#This Row],[Evento / Mercado]])-2)</f>
        <v>Osasuna vs FC Barcelona</v>
      </c>
      <c r="T1684" s="1420">
        <f>base[[#This Row],[Data de liquidação]]</f>
        <v>46144.739571759259</v>
      </c>
    </row>
    <row r="1685" spans="2:22" ht="15" customHeight="1">
      <c r="B1685" s="786" t="s">
        <v>1972</v>
      </c>
      <c r="C1685" s="911" t="s">
        <v>3556</v>
      </c>
      <c r="D1685" s="1349">
        <v>46144.745787037034</v>
      </c>
      <c r="E1685" s="879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694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1202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4" t="str">
        <f>LEFT(base[[#This Row],[Evento / Mercado]],FIND("/",base[[#This Row],[Evento / Mercado]])-2)</f>
        <v>Osasuna vs FC Barcelona</v>
      </c>
      <c r="T1685" s="1420">
        <f>base[[#This Row],[Data de liquidação]]</f>
        <v>46144.745787037034</v>
      </c>
    </row>
    <row r="1686" spans="2:22" ht="15" customHeight="1">
      <c r="B1686" s="786" t="s">
        <v>1971</v>
      </c>
      <c r="C1686" s="911" t="s">
        <v>3556</v>
      </c>
      <c r="D1686" s="1349">
        <v>46144.746087962965</v>
      </c>
      <c r="E1686" s="879">
        <v>0.86</v>
      </c>
      <c r="F1686" s="408">
        <v>4.4999999999999998E-2</v>
      </c>
      <c r="G1686" s="453">
        <f t="shared" si="27"/>
        <v>0.90052356020942415</v>
      </c>
      <c r="H1686" s="417" t="s">
        <v>1666</v>
      </c>
      <c r="I1686" s="451" t="s">
        <v>1663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4" t="str">
        <f>LEFT(base[[#This Row],[Evento / Mercado]],FIND("/",base[[#This Row],[Evento / Mercado]])-2)</f>
        <v>Osasuna vs FC Barcelona</v>
      </c>
      <c r="T1686" s="1420">
        <f>base[[#This Row],[Data de liquidação]]</f>
        <v>46144.746087962965</v>
      </c>
    </row>
    <row r="1687" spans="2:22" ht="15" customHeight="1">
      <c r="B1687" s="786" t="s">
        <v>1970</v>
      </c>
      <c r="C1687" s="911" t="s">
        <v>3556</v>
      </c>
      <c r="D1687" s="1349">
        <v>46144.749988425923</v>
      </c>
      <c r="E1687" s="879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392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1370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4" t="str">
        <f>LEFT(base[[#This Row],[Evento / Mercado]],FIND("/",base[[#This Row],[Evento / Mercado]])-2)</f>
        <v>Botafogo FR vs Clube do Remo</v>
      </c>
      <c r="T1687" s="1420">
        <f>base[[#This Row],[Data de liquidação]]</f>
        <v>46144.749988425923</v>
      </c>
    </row>
    <row r="1688" spans="2:22" ht="15" customHeight="1">
      <c r="B1688" s="786" t="s">
        <v>1969</v>
      </c>
      <c r="C1688" s="911" t="s">
        <v>3556</v>
      </c>
      <c r="D1688" s="1349">
        <v>46144.750185185185</v>
      </c>
      <c r="E1688" s="879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694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1208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4" t="str">
        <f>LEFT(base[[#This Row],[Evento / Mercado]],FIND("/",base[[#This Row],[Evento / Mercado]])-2)</f>
        <v>OGC Nice vs RC Lens</v>
      </c>
      <c r="T1688" s="1420">
        <f>base[[#This Row],[Data de liquidação]]</f>
        <v>46144.750185185185</v>
      </c>
    </row>
    <row r="1689" spans="2:22" ht="15" customHeight="1">
      <c r="B1689" s="786" t="s">
        <v>1968</v>
      </c>
      <c r="C1689" s="911" t="s">
        <v>3556</v>
      </c>
      <c r="D1689" s="1349">
        <v>46144.766053240739</v>
      </c>
      <c r="E1689" s="879">
        <v>0.99</v>
      </c>
      <c r="F1689" s="408">
        <v>4.4999999999999998E-2</v>
      </c>
      <c r="G1689" s="453">
        <f t="shared" si="27"/>
        <v>1.036649214659686</v>
      </c>
      <c r="H1689" s="417" t="s">
        <v>1666</v>
      </c>
      <c r="I1689" s="451" t="s">
        <v>1663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4" t="str">
        <f>LEFT(base[[#This Row],[Evento / Mercado]],FIND("/",base[[#This Row],[Evento / Mercado]])-2)</f>
        <v>NEC vs SC Telstar</v>
      </c>
      <c r="T1689" s="1420">
        <f>base[[#This Row],[Data de liquidação]]</f>
        <v>46144.766053240739</v>
      </c>
    </row>
    <row r="1690" spans="2:22" ht="15" customHeight="1">
      <c r="B1690" s="786" t="s">
        <v>1967</v>
      </c>
      <c r="C1690" s="911" t="s">
        <v>3556</v>
      </c>
      <c r="D1690" s="1349">
        <v>46144.766111111108</v>
      </c>
      <c r="E1690" s="879">
        <v>2.54</v>
      </c>
      <c r="F1690" s="408">
        <v>4.4999999999999998E-2</v>
      </c>
      <c r="G1690" s="453">
        <f t="shared" si="27"/>
        <v>2.6596858638743459</v>
      </c>
      <c r="H1690" s="417" t="s">
        <v>1666</v>
      </c>
      <c r="I1690" s="451" t="s">
        <v>1777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4" t="str">
        <f>LEFT(base[[#This Row],[Evento / Mercado]],FIND("/",base[[#This Row],[Evento / Mercado]])-2)</f>
        <v>NEC vs SC Telstar</v>
      </c>
      <c r="T1690" s="1420">
        <f>base[[#This Row],[Data de liquidação]]</f>
        <v>46144.766111111108</v>
      </c>
    </row>
    <row r="1691" spans="2:22" ht="15" customHeight="1">
      <c r="B1691" s="786" t="s">
        <v>1966</v>
      </c>
      <c r="C1691" s="911" t="s">
        <v>3556</v>
      </c>
      <c r="D1691" s="1349">
        <v>46144.771168981482</v>
      </c>
      <c r="E1691" s="879">
        <v>-0.86</v>
      </c>
      <c r="F1691" s="408">
        <v>4.4999999999999998E-2</v>
      </c>
      <c r="G1691" s="453">
        <f t="shared" si="27"/>
        <v>-0.86</v>
      </c>
      <c r="H1691" s="417" t="s">
        <v>1666</v>
      </c>
      <c r="I1691" s="451" t="s">
        <v>1558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4" t="str">
        <f>LEFT(base[[#This Row],[Evento / Mercado]],FIND("/",base[[#This Row],[Evento / Mercado]])-2)</f>
        <v>FC Porto vs Alverca</v>
      </c>
      <c r="T1691" s="1420">
        <f>base[[#This Row],[Data de liquidação]]</f>
        <v>46144.771168981482</v>
      </c>
    </row>
    <row r="1692" spans="2:22" ht="15" customHeight="1">
      <c r="B1692" s="786" t="s">
        <v>1965</v>
      </c>
      <c r="C1692" s="911" t="s">
        <v>3556</v>
      </c>
      <c r="D1692" s="1349">
        <v>46144.771215277775</v>
      </c>
      <c r="E1692" s="879">
        <v>27.914649999999998</v>
      </c>
      <c r="F1692" s="408">
        <v>4.4999999999999998E-2</v>
      </c>
      <c r="G1692" s="453">
        <f t="shared" si="27"/>
        <v>29.23</v>
      </c>
      <c r="H1692" s="453" t="s">
        <v>179</v>
      </c>
      <c r="I1692" s="451" t="s">
        <v>392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1203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4" t="str">
        <f>LEFT(base[[#This Row],[Evento / Mercado]],FIND("/",base[[#This Row],[Evento / Mercado]])-2)</f>
        <v>FC Porto vs Alverca</v>
      </c>
      <c r="T1692" s="142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86" t="s">
        <v>1965</v>
      </c>
      <c r="C1693" s="911" t="s">
        <v>3556</v>
      </c>
      <c r="D1693" s="1349">
        <v>46144.771215277775</v>
      </c>
      <c r="E1693" s="879">
        <v>12.2431</v>
      </c>
      <c r="F1693" s="408">
        <v>4.4999999999999998E-2</v>
      </c>
      <c r="G1693" s="453">
        <f t="shared" si="27"/>
        <v>12.82</v>
      </c>
      <c r="H1693" s="453" t="s">
        <v>1555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4" t="str">
        <f>LEFT(base[[#This Row],[Evento / Mercado]],FIND("/",base[[#This Row],[Evento / Mercado]])-2)</f>
        <v>FC Porto vs Alverca</v>
      </c>
      <c r="T1693" s="142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86" t="s">
        <v>1964</v>
      </c>
      <c r="C1694" s="911" t="s">
        <v>3556</v>
      </c>
      <c r="D1694" s="1349">
        <v>46144.830405092594</v>
      </c>
      <c r="E1694" s="879">
        <v>1.91</v>
      </c>
      <c r="F1694" s="408">
        <v>4.4999999999999998E-2</v>
      </c>
      <c r="G1694" s="453">
        <f t="shared" si="27"/>
        <v>2</v>
      </c>
      <c r="H1694" s="417" t="s">
        <v>1666</v>
      </c>
      <c r="I1694" s="451" t="s">
        <v>1759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4" t="str">
        <f>LEFT(base[[#This Row],[Evento / Mercado]],FIND("/",base[[#This Row],[Evento / Mercado]])-2)</f>
        <v>Jaguares de Córdoba vs Cúcuta Deportivo</v>
      </c>
      <c r="T1694" s="1420">
        <f>base[[#This Row],[Data de liquidação]]</f>
        <v>46144.830405092594</v>
      </c>
    </row>
    <row r="1695" spans="2:22" ht="15" customHeight="1">
      <c r="B1695" s="786" t="s">
        <v>1963</v>
      </c>
      <c r="C1695" s="911" t="s">
        <v>3556</v>
      </c>
      <c r="D1695" s="1349">
        <v>46144.831342592595</v>
      </c>
      <c r="E1695" s="879">
        <v>-1.67</v>
      </c>
      <c r="F1695" s="408">
        <v>4.4999999999999998E-2</v>
      </c>
      <c r="G1695" s="453">
        <f t="shared" si="27"/>
        <v>-1.67</v>
      </c>
      <c r="H1695" s="417" t="s">
        <v>1666</v>
      </c>
      <c r="I1695" s="451" t="s">
        <v>1558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4" t="str">
        <f>LEFT(base[[#This Row],[Evento / Mercado]],FIND("/",base[[#This Row],[Evento / Mercado]])-2)</f>
        <v>Palmeiras vs Santos FC</v>
      </c>
      <c r="T1695" s="1420">
        <f>base[[#This Row],[Data de liquidação]]</f>
        <v>46144.831342592595</v>
      </c>
    </row>
    <row r="1696" spans="2:22" ht="15" customHeight="1">
      <c r="B1696" s="786" t="s">
        <v>1962</v>
      </c>
      <c r="C1696" s="911" t="s">
        <v>3556</v>
      </c>
      <c r="D1696" s="1349">
        <v>46144.854791666665</v>
      </c>
      <c r="E1696" s="879">
        <v>2.27</v>
      </c>
      <c r="F1696" s="408">
        <v>4.4999999999999998E-2</v>
      </c>
      <c r="G1696" s="453">
        <f t="shared" si="27"/>
        <v>2.3769633507853403</v>
      </c>
      <c r="H1696" s="417" t="s">
        <v>1666</v>
      </c>
      <c r="I1696" s="451" t="s">
        <v>1715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4" t="str">
        <f>LEFT(base[[#This Row],[Evento / Mercado]],FIND("/",base[[#This Row],[Evento / Mercado]])-2)</f>
        <v>Palmeiras vs Santos FC</v>
      </c>
      <c r="T1696" s="1420">
        <f>base[[#This Row],[Data de liquidação]]</f>
        <v>46144.854791666665</v>
      </c>
    </row>
    <row r="1697" spans="2:22" ht="15" customHeight="1">
      <c r="B1697" s="786" t="s">
        <v>1961</v>
      </c>
      <c r="C1697" s="911" t="s">
        <v>3556</v>
      </c>
      <c r="D1697" s="1349">
        <v>46144.855011574073</v>
      </c>
      <c r="E1697" s="879">
        <v>51.84695</v>
      </c>
      <c r="F1697" s="408">
        <v>4.4999999999999998E-2</v>
      </c>
      <c r="G1697" s="453">
        <f t="shared" si="27"/>
        <v>54.29</v>
      </c>
      <c r="H1697" s="453" t="s">
        <v>179</v>
      </c>
      <c r="I1697" s="451" t="s">
        <v>392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1370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4" t="str">
        <f>LEFT(base[[#This Row],[Evento / Mercado]],FIND("/",base[[#This Row],[Evento / Mercado]])-2)</f>
        <v>Palmeiras vs Santos FC</v>
      </c>
      <c r="T1697" s="142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86" t="s">
        <v>1961</v>
      </c>
      <c r="C1698" s="911" t="s">
        <v>3556</v>
      </c>
      <c r="D1698" s="1349">
        <v>46144.855011574073</v>
      </c>
      <c r="E1698" s="879">
        <v>3.1801499999999998</v>
      </c>
      <c r="F1698" s="408">
        <v>4.4999999999999998E-2</v>
      </c>
      <c r="G1698" s="453">
        <f t="shared" si="27"/>
        <v>3.33</v>
      </c>
      <c r="H1698" s="417" t="s">
        <v>1666</v>
      </c>
      <c r="I1698" s="451" t="s">
        <v>1777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4" t="str">
        <f>LEFT(base[[#This Row],[Evento / Mercado]],FIND("/",base[[#This Row],[Evento / Mercado]])-2)</f>
        <v>Palmeiras vs Santos FC</v>
      </c>
      <c r="T1698" s="142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86" t="s">
        <v>1960</v>
      </c>
      <c r="C1699" s="911" t="s">
        <v>3556</v>
      </c>
      <c r="D1699" s="1349">
        <v>46144.913252314815</v>
      </c>
      <c r="E1699" s="879">
        <v>-1.66</v>
      </c>
      <c r="F1699" s="408">
        <v>4.4999999999999998E-2</v>
      </c>
      <c r="G1699" s="453">
        <f t="shared" si="27"/>
        <v>-1.66</v>
      </c>
      <c r="H1699" s="417" t="s">
        <v>1666</v>
      </c>
      <c r="I1699" s="451" t="s">
        <v>1558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4" t="str">
        <f>LEFT(base[[#This Row],[Evento / Mercado]],FIND("/",base[[#This Row],[Evento / Mercado]])-2)</f>
        <v>Columbus Crew vs Minnesota United</v>
      </c>
      <c r="T1699" s="1420">
        <f>base[[#This Row],[Data de liquidação]]</f>
        <v>46144.913252314815</v>
      </c>
    </row>
    <row r="1700" spans="2:22" ht="15" customHeight="1">
      <c r="B1700" s="786" t="s">
        <v>1959</v>
      </c>
      <c r="C1700" s="911" t="s">
        <v>3556</v>
      </c>
      <c r="D1700" s="1349">
        <v>46144.919039351851</v>
      </c>
      <c r="E1700" s="879">
        <v>1.99</v>
      </c>
      <c r="F1700" s="408">
        <v>4.4999999999999998E-2</v>
      </c>
      <c r="G1700" s="453">
        <f t="shared" si="27"/>
        <v>2.0837696335078535</v>
      </c>
      <c r="H1700" s="417" t="s">
        <v>1666</v>
      </c>
      <c r="I1700" s="451" t="s">
        <v>1715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4" t="str">
        <f>LEFT(base[[#This Row],[Evento / Mercado]],FIND("/",base[[#This Row],[Evento / Mercado]])-2)</f>
        <v>Miami FC vs Brooklyn FC</v>
      </c>
      <c r="T1700" s="1420">
        <f>base[[#This Row],[Data de liquidação]]</f>
        <v>46144.919039351851</v>
      </c>
    </row>
    <row r="1701" spans="2:22" ht="15" customHeight="1">
      <c r="B1701" s="786" t="s">
        <v>1958</v>
      </c>
      <c r="C1701" s="911" t="s">
        <v>3556</v>
      </c>
      <c r="D1701" s="1349">
        <v>46144.938506944447</v>
      </c>
      <c r="E1701" s="879">
        <v>1.99</v>
      </c>
      <c r="F1701" s="408">
        <v>4.4999999999999998E-2</v>
      </c>
      <c r="G1701" s="453">
        <f t="shared" si="27"/>
        <v>2.0837696335078535</v>
      </c>
      <c r="H1701" s="417" t="s">
        <v>1666</v>
      </c>
      <c r="I1701" s="451" t="s">
        <v>1715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4" t="str">
        <f>LEFT(base[[#This Row],[Evento / Mercado]],FIND("/",base[[#This Row],[Evento / Mercado]])-2)</f>
        <v>New York Red Bulls vs FC Dallas</v>
      </c>
      <c r="T1701" s="1420">
        <f>base[[#This Row],[Data de liquidação]]</f>
        <v>46144.938506944447</v>
      </c>
    </row>
    <row r="1702" spans="2:22" ht="15" customHeight="1">
      <c r="B1702" s="786" t="s">
        <v>1957</v>
      </c>
      <c r="C1702" s="911" t="s">
        <v>3556</v>
      </c>
      <c r="D1702" s="1349">
        <v>46144.938611111109</v>
      </c>
      <c r="E1702" s="879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627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1370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4" t="str">
        <f>LEFT(base[[#This Row],[Evento / Mercado]],FIND("/",base[[#This Row],[Evento / Mercado]])-2)</f>
        <v>Athlético Paranaense vs Grêmio FBPA</v>
      </c>
      <c r="T1702" s="1420">
        <f>base[[#This Row],[Data de liquidação]]</f>
        <v>46144.938611111109</v>
      </c>
    </row>
    <row r="1703" spans="2:22" ht="15" customHeight="1">
      <c r="B1703" s="786" t="s">
        <v>1956</v>
      </c>
      <c r="C1703" s="911" t="s">
        <v>3556</v>
      </c>
      <c r="D1703" s="1349">
        <v>46144.938750000001</v>
      </c>
      <c r="E1703" s="879">
        <v>-2</v>
      </c>
      <c r="F1703" s="408">
        <v>4.4999999999999998E-2</v>
      </c>
      <c r="G1703" s="453">
        <f t="shared" si="27"/>
        <v>-2</v>
      </c>
      <c r="H1703" s="417" t="s">
        <v>1666</v>
      </c>
      <c r="I1703" s="451" t="s">
        <v>1758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4" t="str">
        <f>LEFT(base[[#This Row],[Evento / Mercado]],FIND("/",base[[#This Row],[Evento / Mercado]])-2)</f>
        <v>Athlético Paranaense vs Grêmio FBPA</v>
      </c>
      <c r="T1703" s="1420">
        <f>base[[#This Row],[Data de liquidação]]</f>
        <v>46144.938750000001</v>
      </c>
    </row>
    <row r="1704" spans="2:22" ht="15" customHeight="1">
      <c r="B1704" s="786" t="s">
        <v>1955</v>
      </c>
      <c r="C1704" s="911" t="s">
        <v>3556</v>
      </c>
      <c r="D1704" s="1349">
        <v>46144.938842592594</v>
      </c>
      <c r="E1704" s="879">
        <v>27.91</v>
      </c>
      <c r="F1704" s="408">
        <v>4.4999999999999998E-2</v>
      </c>
      <c r="G1704" s="453">
        <f t="shared" si="27"/>
        <v>29.225130890052359</v>
      </c>
      <c r="H1704" s="453" t="s">
        <v>179</v>
      </c>
      <c r="I1704" s="451" t="s">
        <v>1594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1370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4" t="str">
        <f>LEFT(base[[#This Row],[Evento / Mercado]],FIND("/",base[[#This Row],[Evento / Mercado]])-2)</f>
        <v>Athlético Paranaense vs Grêmio FBPA</v>
      </c>
      <c r="T1704" s="1420">
        <f>base[[#This Row],[Data de liquidação]]</f>
        <v>46144.938842592594</v>
      </c>
    </row>
    <row r="1705" spans="2:22" ht="15" customHeight="1">
      <c r="B1705" s="786" t="s">
        <v>1954</v>
      </c>
      <c r="C1705" s="911" t="s">
        <v>3556</v>
      </c>
      <c r="D1705" s="1349">
        <v>46144.939027777778</v>
      </c>
      <c r="E1705" s="879">
        <v>3.26</v>
      </c>
      <c r="F1705" s="408">
        <v>4.4999999999999998E-2</v>
      </c>
      <c r="G1705" s="453">
        <f t="shared" si="27"/>
        <v>3.413612565445026</v>
      </c>
      <c r="H1705" s="417" t="s">
        <v>1666</v>
      </c>
      <c r="I1705" s="451" t="s">
        <v>1717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4" t="str">
        <f>LEFT(base[[#This Row],[Evento / Mercado]],FIND("/",base[[#This Row],[Evento / Mercado]])-2)</f>
        <v>Oriente Petrolero vs Real Tomayapo</v>
      </c>
      <c r="T1705" s="1420">
        <f>base[[#This Row],[Data de liquidação]]</f>
        <v>46144.939027777778</v>
      </c>
    </row>
    <row r="1706" spans="2:22" ht="15" customHeight="1">
      <c r="B1706" s="786" t="s">
        <v>1953</v>
      </c>
      <c r="C1706" s="911" t="s">
        <v>3556</v>
      </c>
      <c r="D1706" s="1349">
        <v>46144.943449074075</v>
      </c>
      <c r="E1706" s="879">
        <v>1.71</v>
      </c>
      <c r="F1706" s="408">
        <v>4.4999999999999998E-2</v>
      </c>
      <c r="G1706" s="453">
        <f t="shared" si="27"/>
        <v>1.7905759162303665</v>
      </c>
      <c r="H1706" s="417" t="s">
        <v>1666</v>
      </c>
      <c r="I1706" s="451" t="s">
        <v>1715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4" t="str">
        <f>LEFT(base[[#This Row],[Evento / Mercado]],FIND("/",base[[#This Row],[Evento / Mercado]])-2)</f>
        <v>New England Revolution vs Charlotte FC</v>
      </c>
      <c r="T1706" s="1420">
        <f>base[[#This Row],[Data de liquidação]]</f>
        <v>46144.943449074075</v>
      </c>
    </row>
    <row r="1707" spans="2:22" ht="15" customHeight="1">
      <c r="B1707" s="786" t="s">
        <v>1952</v>
      </c>
      <c r="C1707" s="911" t="s">
        <v>3556</v>
      </c>
      <c r="D1707" s="1349">
        <v>46144.943622685183</v>
      </c>
      <c r="E1707" s="879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4" t="str">
        <f>LEFT(base[[#This Row],[Evento / Mercado]],FIND("/",base[[#This Row],[Evento / Mercado]])-2)</f>
        <v>New England Revolution vs Charlotte FC</v>
      </c>
      <c r="T1707" s="1420">
        <f>base[[#This Row],[Data de liquidação]]</f>
        <v>46144.943622685183</v>
      </c>
    </row>
    <row r="1708" spans="2:22" ht="15" customHeight="1">
      <c r="B1708" s="786" t="s">
        <v>1951</v>
      </c>
      <c r="C1708" s="911" t="s">
        <v>3556</v>
      </c>
      <c r="D1708" s="1349">
        <v>46144.986354166664</v>
      </c>
      <c r="E1708" s="879">
        <v>2.0699999999999998</v>
      </c>
      <c r="F1708" s="408">
        <v>4.4999999999999998E-2</v>
      </c>
      <c r="G1708" s="453">
        <f t="shared" si="27"/>
        <v>2.1675392670157065</v>
      </c>
      <c r="H1708" s="417" t="s">
        <v>1666</v>
      </c>
      <c r="I1708" s="451" t="s">
        <v>1715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4" t="str">
        <f>LEFT(base[[#This Row],[Evento / Mercado]],FIND("/",base[[#This Row],[Evento / Mercado]])-2)</f>
        <v>Houston Dynamo vs Colorado Rapids</v>
      </c>
      <c r="T1708" s="1420">
        <f>base[[#This Row],[Data de liquidação]]</f>
        <v>46144.986354166664</v>
      </c>
    </row>
    <row r="1709" spans="2:22" ht="15" customHeight="1">
      <c r="B1709" s="786" t="s">
        <v>2089</v>
      </c>
      <c r="C1709" s="911" t="s">
        <v>3556</v>
      </c>
      <c r="D1709" s="1349">
        <v>46145.030138888891</v>
      </c>
      <c r="E1709" s="879">
        <v>3.41</v>
      </c>
      <c r="F1709" s="408">
        <v>4.4999999999999998E-2</v>
      </c>
      <c r="G1709" s="453">
        <f t="shared" si="27"/>
        <v>3.5706806282722514</v>
      </c>
      <c r="H1709" s="417" t="s">
        <v>1666</v>
      </c>
      <c r="I1709" s="451" t="s">
        <v>1759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4" t="str">
        <f>LEFT(base[[#This Row],[Evento / Mercado]],FIND("/",base[[#This Row],[Evento / Mercado]])-2)</f>
        <v>San Diego FC vs Los Angeles FC</v>
      </c>
      <c r="T1709" s="1420">
        <f>base[[#This Row],[Data de liquidação]]</f>
        <v>46145.030138888891</v>
      </c>
    </row>
    <row r="1710" spans="2:22" ht="15" customHeight="1">
      <c r="B1710" s="786" t="s">
        <v>2088</v>
      </c>
      <c r="C1710" s="911" t="s">
        <v>3556</v>
      </c>
      <c r="D1710" s="1349">
        <v>46145.065960648149</v>
      </c>
      <c r="E1710" s="879">
        <v>5.0199999999999996</v>
      </c>
      <c r="F1710" s="408">
        <v>4.4999999999999998E-2</v>
      </c>
      <c r="G1710" s="453">
        <f t="shared" si="27"/>
        <v>5.2565445026178006</v>
      </c>
      <c r="H1710" s="417" t="s">
        <v>1666</v>
      </c>
      <c r="I1710" s="451" t="s">
        <v>1759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4" t="str">
        <f>LEFT(base[[#This Row],[Evento / Mercado]],FIND("/",base[[#This Row],[Evento / Mercado]])-2)</f>
        <v>Los Angeles Galaxy vs Vancouver Whitecaps</v>
      </c>
      <c r="T1710" s="1420">
        <f>base[[#This Row],[Data de liquidação]]</f>
        <v>46145.065960648149</v>
      </c>
    </row>
    <row r="1711" spans="2:22" ht="15" customHeight="1">
      <c r="B1711" s="786" t="s">
        <v>2087</v>
      </c>
      <c r="C1711" s="911" t="s">
        <v>3556</v>
      </c>
      <c r="D1711" s="1349">
        <v>46145.382118055553</v>
      </c>
      <c r="E1711" s="879">
        <v>3.82</v>
      </c>
      <c r="F1711" s="408">
        <v>4.4999999999999998E-2</v>
      </c>
      <c r="G1711" s="453">
        <f t="shared" si="27"/>
        <v>4</v>
      </c>
      <c r="H1711" s="417" t="s">
        <v>1666</v>
      </c>
      <c r="I1711" s="451" t="s">
        <v>1558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4" t="str">
        <f>LEFT(base[[#This Row],[Evento / Mercado]],FIND("/",base[[#This Row],[Evento / Mercado]])-2)</f>
        <v>Hannover 96 vs Preußen Münster</v>
      </c>
      <c r="T1711" s="1420">
        <f>base[[#This Row],[Data de liquidação]]</f>
        <v>46145.382118055553</v>
      </c>
    </row>
    <row r="1712" spans="2:22" ht="15" customHeight="1">
      <c r="B1712" s="786" t="s">
        <v>2086</v>
      </c>
      <c r="C1712" s="911" t="s">
        <v>3556</v>
      </c>
      <c r="D1712" s="1349">
        <v>46145.39806712963</v>
      </c>
      <c r="E1712" s="879">
        <v>-2</v>
      </c>
      <c r="F1712" s="408">
        <v>4.4999999999999998E-2</v>
      </c>
      <c r="G1712" s="453">
        <f t="shared" si="27"/>
        <v>-2</v>
      </c>
      <c r="H1712" s="417" t="s">
        <v>1666</v>
      </c>
      <c r="I1712" s="451" t="s">
        <v>1760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4" t="str">
        <f>LEFT(base[[#This Row],[Evento / Mercado]],FIND("/",base[[#This Row],[Evento / Mercado]])-2)</f>
        <v>Bologna vs Cagliari</v>
      </c>
      <c r="T1712" s="1420">
        <f>base[[#This Row],[Data de liquidação]]</f>
        <v>46145.39806712963</v>
      </c>
    </row>
    <row r="1713" spans="2:20" ht="15" customHeight="1">
      <c r="B1713" s="786" t="s">
        <v>2085</v>
      </c>
      <c r="C1713" s="911" t="s">
        <v>3556</v>
      </c>
      <c r="D1713" s="1349">
        <v>46145.406875000001</v>
      </c>
      <c r="E1713" s="879">
        <v>-2</v>
      </c>
      <c r="F1713" s="408">
        <v>4.4999999999999998E-2</v>
      </c>
      <c r="G1713" s="453">
        <f t="shared" si="27"/>
        <v>-2</v>
      </c>
      <c r="H1713" s="417" t="s">
        <v>1666</v>
      </c>
      <c r="I1713" s="451" t="s">
        <v>1795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4" t="str">
        <f>LEFT(base[[#This Row],[Evento / Mercado]],FIND("/",base[[#This Row],[Evento / Mercado]])-2)</f>
        <v>Hammarby IF vs Västerås SK FK</v>
      </c>
      <c r="T1713" s="1420">
        <f>base[[#This Row],[Data de liquidação]]</f>
        <v>46145.406875000001</v>
      </c>
    </row>
    <row r="1714" spans="2:20" ht="15" customHeight="1">
      <c r="B1714" s="786" t="s">
        <v>2084</v>
      </c>
      <c r="C1714" s="911" t="s">
        <v>3556</v>
      </c>
      <c r="D1714" s="1349">
        <v>46145.42491898148</v>
      </c>
      <c r="E1714" s="879">
        <v>3.82</v>
      </c>
      <c r="F1714" s="408">
        <v>4.4999999999999998E-2</v>
      </c>
      <c r="G1714" s="453">
        <f t="shared" si="27"/>
        <v>4</v>
      </c>
      <c r="H1714" s="417" t="s">
        <v>1666</v>
      </c>
      <c r="I1714" s="451" t="s">
        <v>1558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4" t="str">
        <f>LEFT(base[[#This Row],[Evento / Mercado]],FIND("/",base[[#This Row],[Evento / Mercado]])-2)</f>
        <v>Racing Santander vs Huesca</v>
      </c>
      <c r="T1714" s="1420">
        <f>base[[#This Row],[Data de liquidação]]</f>
        <v>46145.42491898148</v>
      </c>
    </row>
    <row r="1715" spans="2:20" ht="15" customHeight="1">
      <c r="B1715" s="786" t="s">
        <v>2083</v>
      </c>
      <c r="C1715" s="911" t="s">
        <v>3556</v>
      </c>
      <c r="D1715" s="1349">
        <v>46145.435185185182</v>
      </c>
      <c r="E1715" s="879">
        <v>1.99</v>
      </c>
      <c r="F1715" s="408">
        <v>4.4999999999999998E-2</v>
      </c>
      <c r="G1715" s="453">
        <f t="shared" si="27"/>
        <v>2.0837696335078535</v>
      </c>
      <c r="H1715" s="417" t="s">
        <v>1666</v>
      </c>
      <c r="I1715" s="451" t="s">
        <v>1715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4" t="str">
        <f>LEFT(base[[#This Row],[Evento / Mercado]],FIND("/",base[[#This Row],[Evento / Mercado]])-2)</f>
        <v>Karlsruher SC vs SV Darmstadt 98</v>
      </c>
      <c r="T1715" s="1420">
        <f>base[[#This Row],[Data de liquidação]]</f>
        <v>46145.435185185182</v>
      </c>
    </row>
    <row r="1716" spans="2:20" ht="15" customHeight="1">
      <c r="B1716" s="786" t="s">
        <v>2082</v>
      </c>
      <c r="C1716" s="911" t="s">
        <v>3556</v>
      </c>
      <c r="D1716" s="1349">
        <v>46145.435312499998</v>
      </c>
      <c r="E1716" s="879">
        <v>5.0199999999999996</v>
      </c>
      <c r="F1716" s="408">
        <v>4.4999999999999998E-2</v>
      </c>
      <c r="G1716" s="453">
        <f t="shared" si="27"/>
        <v>5.2565445026178006</v>
      </c>
      <c r="H1716" s="417" t="s">
        <v>1666</v>
      </c>
      <c r="I1716" s="451" t="s">
        <v>1759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4" t="str">
        <f>LEFT(base[[#This Row],[Evento / Mercado]],FIND("/",base[[#This Row],[Evento / Mercado]])-2)</f>
        <v>Karlsruher SC vs SV Darmstadt 98</v>
      </c>
      <c r="T1716" s="1420">
        <f>base[[#This Row],[Data de liquidação]]</f>
        <v>46145.435312499998</v>
      </c>
    </row>
    <row r="1717" spans="2:20" ht="15" customHeight="1">
      <c r="B1717" s="786" t="s">
        <v>2081</v>
      </c>
      <c r="C1717" s="911" t="s">
        <v>3556</v>
      </c>
      <c r="D1717" s="1349">
        <v>46145.43545138889</v>
      </c>
      <c r="E1717" s="879">
        <v>3.29</v>
      </c>
      <c r="F1717" s="408">
        <v>4.4999999999999998E-2</v>
      </c>
      <c r="G1717" s="453">
        <f t="shared" si="27"/>
        <v>3.4450261780104712</v>
      </c>
      <c r="H1717" s="417" t="s">
        <v>1666</v>
      </c>
      <c r="I1717" s="451" t="s">
        <v>1715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4" t="str">
        <f>LEFT(base[[#This Row],[Evento / Mercado]],FIND("/",base[[#This Row],[Evento / Mercado]])-2)</f>
        <v>1. FC Magdeburg vs Hertha BSC</v>
      </c>
      <c r="T1717" s="1420">
        <f>base[[#This Row],[Data de liquidação]]</f>
        <v>46145.43545138889</v>
      </c>
    </row>
    <row r="1718" spans="2:20" ht="15" customHeight="1">
      <c r="B1718" s="786" t="s">
        <v>2080</v>
      </c>
      <c r="C1718" s="911" t="s">
        <v>3556</v>
      </c>
      <c r="D1718" s="1349">
        <v>46145.435729166667</v>
      </c>
      <c r="E1718" s="879">
        <v>3.29</v>
      </c>
      <c r="F1718" s="408">
        <v>4.4999999999999998E-2</v>
      </c>
      <c r="G1718" s="453">
        <f t="shared" si="27"/>
        <v>3.4450261780104712</v>
      </c>
      <c r="H1718" s="417" t="s">
        <v>1666</v>
      </c>
      <c r="I1718" s="451" t="s">
        <v>1759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4" t="str">
        <f>LEFT(base[[#This Row],[Evento / Mercado]],FIND("/",base[[#This Row],[Evento / Mercado]])-2)</f>
        <v>1. FC Magdeburg vs Hertha BSC</v>
      </c>
      <c r="T1718" s="1420">
        <f>base[[#This Row],[Data de liquidação]]</f>
        <v>46145.435729166667</v>
      </c>
    </row>
    <row r="1719" spans="2:20" ht="15" customHeight="1">
      <c r="B1719" s="786" t="s">
        <v>2079</v>
      </c>
      <c r="C1719" s="911" t="s">
        <v>3556</v>
      </c>
      <c r="D1719" s="1349">
        <v>46145.437060185184</v>
      </c>
      <c r="E1719" s="879">
        <v>1.65</v>
      </c>
      <c r="F1719" s="408">
        <v>4.4999999999999998E-2</v>
      </c>
      <c r="G1719" s="453">
        <f t="shared" si="27"/>
        <v>1.7277486910994764</v>
      </c>
      <c r="H1719" s="417" t="s">
        <v>1666</v>
      </c>
      <c r="I1719" s="451" t="s">
        <v>1795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4" t="str">
        <f>LEFT(base[[#This Row],[Evento / Mercado]],FIND("/",base[[#This Row],[Evento / Mercado]])-2)</f>
        <v>Lille OSC vs Le Havre AC</v>
      </c>
      <c r="T1719" s="1420">
        <f>base[[#This Row],[Data de liquidação]]</f>
        <v>46145.437060185184</v>
      </c>
    </row>
    <row r="1720" spans="2:20" ht="15" customHeight="1">
      <c r="B1720" s="786" t="s">
        <v>2078</v>
      </c>
      <c r="C1720" s="911" t="s">
        <v>3556</v>
      </c>
      <c r="D1720" s="1349">
        <v>46145.44636574074</v>
      </c>
      <c r="E1720" s="879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4" t="str">
        <f>LEFT(base[[#This Row],[Evento / Mercado]],FIND("/",base[[#This Row],[Evento / Mercado]])-2)</f>
        <v>Celta de Vigo vs Elche CF</v>
      </c>
      <c r="T1720" s="1420">
        <f>base[[#This Row],[Data de liquidação]]</f>
        <v>46145.44636574074</v>
      </c>
    </row>
    <row r="1721" spans="2:20" ht="15" customHeight="1">
      <c r="B1721" s="786" t="s">
        <v>2077</v>
      </c>
      <c r="C1721" s="911" t="s">
        <v>3556</v>
      </c>
      <c r="D1721" s="1349">
        <v>46145.452835648146</v>
      </c>
      <c r="E1721" s="879">
        <v>3.33</v>
      </c>
      <c r="F1721" s="408">
        <v>4.4999999999999998E-2</v>
      </c>
      <c r="G1721" s="453">
        <f t="shared" si="27"/>
        <v>3.4869109947643979</v>
      </c>
      <c r="H1721" s="417" t="s">
        <v>1666</v>
      </c>
      <c r="I1721" s="451" t="s">
        <v>1717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4" t="str">
        <f>LEFT(base[[#This Row],[Evento / Mercado]],FIND("/",base[[#This Row],[Evento / Mercado]])-2)</f>
        <v>Hammarby IF vs Västerås SK FK</v>
      </c>
      <c r="T1721" s="1420">
        <f>base[[#This Row],[Data de liquidação]]</f>
        <v>46145.452835648146</v>
      </c>
    </row>
    <row r="1722" spans="2:20" ht="15" customHeight="1">
      <c r="B1722" s="786" t="s">
        <v>2076</v>
      </c>
      <c r="C1722" s="911" t="s">
        <v>3556</v>
      </c>
      <c r="D1722" s="1349">
        <v>46145.464328703703</v>
      </c>
      <c r="E1722" s="879">
        <v>3.77</v>
      </c>
      <c r="F1722" s="408">
        <v>4.4999999999999998E-2</v>
      </c>
      <c r="G1722" s="453">
        <f t="shared" si="27"/>
        <v>3.9476439790575917</v>
      </c>
      <c r="H1722" s="417" t="s">
        <v>1666</v>
      </c>
      <c r="I1722" s="451" t="s">
        <v>1717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4" t="str">
        <f>LEFT(base[[#This Row],[Evento / Mercado]],FIND("/",base[[#This Row],[Evento / Mercado]])-2)</f>
        <v>Racing Santander vs Huesca</v>
      </c>
      <c r="T1722" s="1420">
        <f>base[[#This Row],[Data de liquidação]]</f>
        <v>46145.464328703703</v>
      </c>
    </row>
    <row r="1723" spans="2:20" ht="15" customHeight="1">
      <c r="B1723" s="786" t="s">
        <v>2075</v>
      </c>
      <c r="C1723" s="911" t="s">
        <v>3556</v>
      </c>
      <c r="D1723" s="1349">
        <v>46145.475254629629</v>
      </c>
      <c r="E1723" s="879">
        <v>-4.7300000000000004</v>
      </c>
      <c r="F1723" s="408">
        <v>4.4999999999999998E-2</v>
      </c>
      <c r="G1723" s="453">
        <f t="shared" si="27"/>
        <v>-4.7300000000000004</v>
      </c>
      <c r="H1723" s="417" t="s">
        <v>1666</v>
      </c>
      <c r="I1723" s="451" t="s">
        <v>1558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4" t="str">
        <f>LEFT(base[[#This Row],[Evento / Mercado]],FIND("/",base[[#This Row],[Evento / Mercado]])-2)</f>
        <v>PEC Zwolle vs Heracles Almelo</v>
      </c>
      <c r="T1723" s="1420">
        <f>base[[#This Row],[Data de liquidação]]</f>
        <v>46145.475254629629</v>
      </c>
    </row>
    <row r="1724" spans="2:20" ht="15" customHeight="1">
      <c r="B1724" s="786" t="s">
        <v>2074</v>
      </c>
      <c r="C1724" s="911" t="s">
        <v>3556</v>
      </c>
      <c r="D1724" s="1349">
        <v>46145.480162037034</v>
      </c>
      <c r="E1724" s="879">
        <v>5.34</v>
      </c>
      <c r="F1724" s="408">
        <v>4.4999999999999998E-2</v>
      </c>
      <c r="G1724" s="453">
        <f t="shared" si="27"/>
        <v>5.5916230366492146</v>
      </c>
      <c r="H1724" s="417" t="s">
        <v>1666</v>
      </c>
      <c r="I1724" s="451" t="s">
        <v>1759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4" t="str">
        <f>LEFT(base[[#This Row],[Evento / Mercado]],FIND("/",base[[#This Row],[Evento / Mercado]])-2)</f>
        <v>Fortuna Sittard vs Feyenoord</v>
      </c>
      <c r="T1724" s="1420">
        <f>base[[#This Row],[Data de liquidação]]</f>
        <v>46145.480162037034</v>
      </c>
    </row>
    <row r="1725" spans="2:20" ht="15" customHeight="1">
      <c r="B1725" s="786" t="s">
        <v>2073</v>
      </c>
      <c r="C1725" s="911" t="s">
        <v>3556</v>
      </c>
      <c r="D1725" s="1349">
        <v>46145.484722222223</v>
      </c>
      <c r="E1725" s="879">
        <v>-5</v>
      </c>
      <c r="F1725" s="408">
        <v>4.4999999999999998E-2</v>
      </c>
      <c r="G1725" s="453">
        <f t="shared" si="27"/>
        <v>-5</v>
      </c>
      <c r="H1725" s="417" t="s">
        <v>1666</v>
      </c>
      <c r="I1725" s="451" t="s">
        <v>1665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4" t="str">
        <f>LEFT(base[[#This Row],[Evento / Mercado]],FIND("/",base[[#This Row],[Evento / Mercado]])-2)</f>
        <v>AFC Bournemouth vs Crystal Palace</v>
      </c>
      <c r="T1725" s="1420">
        <f>base[[#This Row],[Data de liquidação]]</f>
        <v>46145.484722222223</v>
      </c>
    </row>
    <row r="1726" spans="2:20" ht="15" customHeight="1">
      <c r="B1726" s="786" t="s">
        <v>2072</v>
      </c>
      <c r="C1726" s="911" t="s">
        <v>3556</v>
      </c>
      <c r="D1726" s="1349">
        <v>46145.490254629629</v>
      </c>
      <c r="E1726" s="879">
        <v>-2</v>
      </c>
      <c r="F1726" s="408">
        <v>4.4999999999999998E-2</v>
      </c>
      <c r="G1726" s="453">
        <f t="shared" si="27"/>
        <v>-2</v>
      </c>
      <c r="H1726" s="417" t="s">
        <v>1666</v>
      </c>
      <c r="I1726" s="451" t="s">
        <v>1760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4" t="str">
        <f>LEFT(base[[#This Row],[Evento / Mercado]],FIND("/",base[[#This Row],[Evento / Mercado]])-2)</f>
        <v>Zaglebie Lubin vs Cracovia Kraków</v>
      </c>
      <c r="T1726" s="1420">
        <f>base[[#This Row],[Data de liquidação]]</f>
        <v>46145.490254629629</v>
      </c>
    </row>
    <row r="1727" spans="2:20" ht="15" customHeight="1">
      <c r="B1727" s="786" t="s">
        <v>2071</v>
      </c>
      <c r="C1727" s="911" t="s">
        <v>3556</v>
      </c>
      <c r="D1727" s="1349">
        <v>46145.497511574074</v>
      </c>
      <c r="E1727" s="879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1844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4" t="str">
        <f>LEFT(base[[#This Row],[Evento / Mercado]],FIND("/",base[[#This Row],[Evento / Mercado]])-2)</f>
        <v>Lille OSC vs Le Havre AC</v>
      </c>
      <c r="T1727" s="1420">
        <f>base[[#This Row],[Data de liquidação]]</f>
        <v>46145.497511574074</v>
      </c>
    </row>
    <row r="1728" spans="2:20" ht="15" customHeight="1">
      <c r="B1728" s="786" t="s">
        <v>2070</v>
      </c>
      <c r="C1728" s="911" t="s">
        <v>3556</v>
      </c>
      <c r="D1728" s="1349">
        <v>46145.557893518519</v>
      </c>
      <c r="E1728" s="879">
        <v>3.18</v>
      </c>
      <c r="F1728" s="408">
        <v>4.4999999999999998E-2</v>
      </c>
      <c r="G1728" s="453">
        <f t="shared" si="27"/>
        <v>3.329842931937173</v>
      </c>
      <c r="H1728" s="417" t="s">
        <v>1666</v>
      </c>
      <c r="I1728" s="451" t="s">
        <v>1715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4" t="str">
        <f>LEFT(base[[#This Row],[Evento / Mercado]],FIND("/",base[[#This Row],[Evento / Mercado]])-2)</f>
        <v>FC Lugano vs BSC Young Boys</v>
      </c>
      <c r="T1728" s="1420">
        <f>base[[#This Row],[Data de liquidação]]</f>
        <v>46145.557893518519</v>
      </c>
    </row>
    <row r="1729" spans="2:20" ht="15" customHeight="1">
      <c r="B1729" s="786" t="s">
        <v>2069</v>
      </c>
      <c r="C1729" s="911" t="s">
        <v>3556</v>
      </c>
      <c r="D1729" s="1349">
        <v>46145.566388888888</v>
      </c>
      <c r="E1729" s="879">
        <v>-2.08</v>
      </c>
      <c r="F1729" s="408">
        <v>4.4999999999999998E-2</v>
      </c>
      <c r="G1729" s="453">
        <f t="shared" si="27"/>
        <v>-2.08</v>
      </c>
      <c r="H1729" s="417" t="s">
        <v>1666</v>
      </c>
      <c r="I1729" s="451" t="s">
        <v>1558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4" t="str">
        <f>LEFT(base[[#This Row],[Evento / Mercado]],FIND("/",base[[#This Row],[Evento / Mercado]])-2)</f>
        <v>Start vs Tromsø</v>
      </c>
      <c r="T1729" s="1420">
        <f>base[[#This Row],[Data de liquidação]]</f>
        <v>46145.566388888888</v>
      </c>
    </row>
    <row r="1730" spans="2:20" ht="15" customHeight="1">
      <c r="B1730" s="786" t="s">
        <v>2068</v>
      </c>
      <c r="C1730" s="911" t="s">
        <v>3556</v>
      </c>
      <c r="D1730" s="1349">
        <v>46145.566967592589</v>
      </c>
      <c r="E1730" s="879">
        <v>1.1200000000000001</v>
      </c>
      <c r="F1730" s="408">
        <v>4.4999999999999998E-2</v>
      </c>
      <c r="G1730" s="453">
        <f t="shared" si="27"/>
        <v>1.1727748691099478</v>
      </c>
      <c r="H1730" s="417" t="s">
        <v>1666</v>
      </c>
      <c r="I1730" s="451" t="s">
        <v>1795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4" t="str">
        <f>LEFT(base[[#This Row],[Evento / Mercado]],FIND("/",base[[#This Row],[Evento / Mercado]])-2)</f>
        <v>Juventus vs Hellas Verona</v>
      </c>
      <c r="T1730" s="1420">
        <f>base[[#This Row],[Data de liquidação]]</f>
        <v>46145.566967592589</v>
      </c>
    </row>
    <row r="1731" spans="2:20" ht="15" customHeight="1">
      <c r="B1731" s="786" t="s">
        <v>2067</v>
      </c>
      <c r="C1731" s="911" t="s">
        <v>3556</v>
      </c>
      <c r="D1731" s="1349">
        <v>46145.56827546296</v>
      </c>
      <c r="E1731" s="879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627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1205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4" t="str">
        <f>LEFT(base[[#This Row],[Evento / Mercado]],FIND("/",base[[#This Row],[Evento / Mercado]])-2)</f>
        <v>AZ Alkmaar vs FC Twente</v>
      </c>
      <c r="T1731" s="1420">
        <f>base[[#This Row],[Data de liquidação]]</f>
        <v>46145.56827546296</v>
      </c>
    </row>
    <row r="1732" spans="2:20" ht="15" customHeight="1">
      <c r="B1732" s="786" t="s">
        <v>2066</v>
      </c>
      <c r="C1732" s="911" t="s">
        <v>3556</v>
      </c>
      <c r="D1732" s="1349">
        <v>46145.568287037036</v>
      </c>
      <c r="E1732" s="879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1844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4" t="str">
        <f>LEFT(base[[#This Row],[Evento / Mercado]],FIND("/",base[[#This Row],[Evento / Mercado]])-2)</f>
        <v>AZ Alkmaar vs FC Twente</v>
      </c>
      <c r="T1732" s="1420">
        <f>base[[#This Row],[Data de liquidação]]</f>
        <v>46145.568287037036</v>
      </c>
    </row>
    <row r="1733" spans="2:20" ht="15" customHeight="1">
      <c r="B1733" s="786" t="s">
        <v>2065</v>
      </c>
      <c r="C1733" s="911" t="s">
        <v>3556</v>
      </c>
      <c r="D1733" s="1349">
        <v>46145.570011574076</v>
      </c>
      <c r="E1733" s="879">
        <v>-5</v>
      </c>
      <c r="F1733" s="408">
        <v>4.4999999999999998E-2</v>
      </c>
      <c r="G1733" s="453">
        <f t="shared" si="28"/>
        <v>-5</v>
      </c>
      <c r="H1733" s="417" t="s">
        <v>1666</v>
      </c>
      <c r="I1733" s="451" t="s">
        <v>1665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4" t="str">
        <f>LEFT(base[[#This Row],[Evento / Mercado]],FIND("/",base[[#This Row],[Evento / Mercado]])-2)</f>
        <v>Paris FC vs Stade Brestois 29</v>
      </c>
      <c r="T1733" s="1420">
        <f>base[[#This Row],[Data de liquidação]]</f>
        <v>46145.570011574076</v>
      </c>
    </row>
    <row r="1734" spans="2:20" ht="15" customHeight="1">
      <c r="B1734" s="786" t="s">
        <v>2064</v>
      </c>
      <c r="C1734" s="911" t="s">
        <v>3556</v>
      </c>
      <c r="D1734" s="1349">
        <v>46145.575069444443</v>
      </c>
      <c r="E1734" s="879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1844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4" t="str">
        <f>LEFT(base[[#This Row],[Evento / Mercado]],FIND("/",base[[#This Row],[Evento / Mercado]])-2)</f>
        <v>AGF Aarhus vs SønderjyskE</v>
      </c>
      <c r="T1734" s="1420">
        <f>base[[#This Row],[Data de liquidação]]</f>
        <v>46145.575069444443</v>
      </c>
    </row>
    <row r="1735" spans="2:20" ht="15" customHeight="1">
      <c r="B1735" s="786" t="s">
        <v>2063</v>
      </c>
      <c r="C1735" s="911" t="s">
        <v>3556</v>
      </c>
      <c r="D1735" s="1349">
        <v>46145.576817129629</v>
      </c>
      <c r="E1735" s="879">
        <v>-3.52</v>
      </c>
      <c r="F1735" s="408">
        <v>4.4999999999999998E-2</v>
      </c>
      <c r="G1735" s="453">
        <f t="shared" si="28"/>
        <v>-3.52</v>
      </c>
      <c r="H1735" s="417" t="s">
        <v>1666</v>
      </c>
      <c r="I1735" s="451" t="s">
        <v>1558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4" t="str">
        <f>LEFT(base[[#This Row],[Evento / Mercado]],FIND("/",base[[#This Row],[Evento / Mercado]])-2)</f>
        <v>FC Red Bull Salzburg vs SK Puntigamer Sturm Graz</v>
      </c>
      <c r="T1735" s="1420">
        <f>base[[#This Row],[Data de liquidação]]</f>
        <v>46145.576817129629</v>
      </c>
    </row>
    <row r="1736" spans="2:20" ht="15" customHeight="1">
      <c r="B1736" s="786" t="s">
        <v>2062</v>
      </c>
      <c r="C1736" s="911" t="s">
        <v>3556</v>
      </c>
      <c r="D1736" s="1349">
        <v>46145.580983796295</v>
      </c>
      <c r="E1736" s="879">
        <v>1.54</v>
      </c>
      <c r="F1736" s="408">
        <v>4.4999999999999998E-2</v>
      </c>
      <c r="G1736" s="453">
        <f t="shared" si="28"/>
        <v>1.6125654450261782</v>
      </c>
      <c r="H1736" s="417" t="s">
        <v>1666</v>
      </c>
      <c r="I1736" s="451" t="s">
        <v>1759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4" t="str">
        <f>LEFT(base[[#This Row],[Evento / Mercado]],FIND("/",base[[#This Row],[Evento / Mercado]])-2)</f>
        <v>FC Red Bull Salzburg vs SK Puntigamer Sturm Graz</v>
      </c>
      <c r="T1736" s="1420">
        <f>base[[#This Row],[Data de liquidação]]</f>
        <v>46145.580983796295</v>
      </c>
    </row>
    <row r="1737" spans="2:20" ht="15" customHeight="1">
      <c r="B1737" s="786" t="s">
        <v>2061</v>
      </c>
      <c r="C1737" s="911" t="s">
        <v>3556</v>
      </c>
      <c r="D1737" s="1349">
        <v>46145.598298611112</v>
      </c>
      <c r="E1737" s="879">
        <v>-3.14</v>
      </c>
      <c r="F1737" s="408">
        <v>4.4999999999999998E-2</v>
      </c>
      <c r="G1737" s="453">
        <f t="shared" si="28"/>
        <v>-3.14</v>
      </c>
      <c r="H1737" s="417" t="s">
        <v>1666</v>
      </c>
      <c r="I1737" s="451" t="s">
        <v>1558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4" t="str">
        <f>LEFT(base[[#This Row],[Evento / Mercado]],FIND("/",base[[#This Row],[Evento / Mercado]])-2)</f>
        <v>Juventus vs Hellas Verona</v>
      </c>
      <c r="T1737" s="1420">
        <f>base[[#This Row],[Data de liquidação]]</f>
        <v>46145.598298611112</v>
      </c>
    </row>
    <row r="1738" spans="2:20" ht="15" customHeight="1">
      <c r="B1738" s="786" t="s">
        <v>2060</v>
      </c>
      <c r="C1738" s="911" t="s">
        <v>3556</v>
      </c>
      <c r="D1738" s="1349">
        <v>46145.603935185187</v>
      </c>
      <c r="E1738" s="879">
        <v>1.83</v>
      </c>
      <c r="F1738" s="408">
        <v>4.4999999999999998E-2</v>
      </c>
      <c r="G1738" s="453">
        <f t="shared" si="28"/>
        <v>1.9162303664921467</v>
      </c>
      <c r="H1738" s="417" t="s">
        <v>1666</v>
      </c>
      <c r="I1738" s="451" t="s">
        <v>1715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4" t="str">
        <f>LEFT(base[[#This Row],[Evento / Mercado]],FIND("/",base[[#This Row],[Evento / Mercado]])-2)</f>
        <v>Pogon Szczecin vs Wisla Plock</v>
      </c>
      <c r="T1738" s="1420">
        <f>base[[#This Row],[Data de liquidação]]</f>
        <v>46145.603935185187</v>
      </c>
    </row>
    <row r="1739" spans="2:20" ht="15" customHeight="1">
      <c r="B1739" s="786" t="s">
        <v>2059</v>
      </c>
      <c r="C1739" s="911" t="s">
        <v>3556</v>
      </c>
      <c r="D1739" s="1349">
        <v>46145.604074074072</v>
      </c>
      <c r="E1739" s="879">
        <v>1.54</v>
      </c>
      <c r="F1739" s="408">
        <v>4.4999999999999998E-2</v>
      </c>
      <c r="G1739" s="453">
        <f t="shared" si="28"/>
        <v>1.6125654450261782</v>
      </c>
      <c r="H1739" s="417" t="s">
        <v>1666</v>
      </c>
      <c r="I1739" s="451" t="s">
        <v>1759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4" t="str">
        <f>LEFT(base[[#This Row],[Evento / Mercado]],FIND("/",base[[#This Row],[Evento / Mercado]])-2)</f>
        <v>Pogon Szczecin vs Wisla Plock</v>
      </c>
      <c r="T1739" s="1420">
        <f>base[[#This Row],[Data de liquidação]]</f>
        <v>46145.604074074072</v>
      </c>
    </row>
    <row r="1740" spans="2:20" ht="15" customHeight="1">
      <c r="B1740" s="786" t="s">
        <v>2058</v>
      </c>
      <c r="C1740" s="911" t="s">
        <v>3556</v>
      </c>
      <c r="D1740" s="1349">
        <v>46145.606956018521</v>
      </c>
      <c r="E1740" s="879">
        <v>6.43</v>
      </c>
      <c r="F1740" s="408">
        <v>4.4999999999999998E-2</v>
      </c>
      <c r="G1740" s="453">
        <f t="shared" si="28"/>
        <v>6.7329842931937174</v>
      </c>
      <c r="H1740" s="417" t="s">
        <v>1666</v>
      </c>
      <c r="I1740" s="451" t="s">
        <v>1665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4" t="str">
        <f>LEFT(base[[#This Row],[Evento / Mercado]],FIND("/",base[[#This Row],[Evento / Mercado]])-2)</f>
        <v>Borussia Mönchengladbach vs Borussia Dortmund</v>
      </c>
      <c r="T1740" s="1420">
        <f>base[[#This Row],[Data de liquidação]]</f>
        <v>46145.606956018521</v>
      </c>
    </row>
    <row r="1741" spans="2:20" ht="15" customHeight="1">
      <c r="B1741" s="786" t="s">
        <v>2057</v>
      </c>
      <c r="C1741" s="911" t="s">
        <v>3556</v>
      </c>
      <c r="D1741" s="1349">
        <v>46145.621979166666</v>
      </c>
      <c r="E1741" s="879">
        <v>27.02</v>
      </c>
      <c r="F1741" s="408">
        <v>4.4999999999999998E-2</v>
      </c>
      <c r="G1741" s="453">
        <f t="shared" si="28"/>
        <v>28.293193717277486</v>
      </c>
      <c r="H1741" s="453" t="s">
        <v>179</v>
      </c>
      <c r="I1741" s="451" t="s">
        <v>392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1207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4" t="str">
        <f>LEFT(base[[#This Row],[Evento / Mercado]],FIND("/",base[[#This Row],[Evento / Mercado]])-2)</f>
        <v>Juventus vs Hellas Verona</v>
      </c>
      <c r="T1741" s="1420">
        <f>base[[#This Row],[Data de liquidação]]</f>
        <v>46145.621979166666</v>
      </c>
    </row>
    <row r="1742" spans="2:20" ht="15" customHeight="1">
      <c r="B1742" s="786" t="s">
        <v>2056</v>
      </c>
      <c r="C1742" s="911" t="s">
        <v>3556</v>
      </c>
      <c r="D1742" s="1349">
        <v>46145.622071759259</v>
      </c>
      <c r="E1742" s="879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1844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4" t="str">
        <f>LEFT(base[[#This Row],[Evento / Mercado]],FIND("/",base[[#This Row],[Evento / Mercado]])-2)</f>
        <v>Juventus vs Hellas Verona</v>
      </c>
      <c r="T1742" s="1420">
        <f>base[[#This Row],[Data de liquidação]]</f>
        <v>46145.622071759259</v>
      </c>
    </row>
    <row r="1743" spans="2:20" ht="15" customHeight="1">
      <c r="B1743" s="786" t="s">
        <v>2055</v>
      </c>
      <c r="C1743" s="911" t="s">
        <v>3556</v>
      </c>
      <c r="D1743" s="1349">
        <v>46145.654560185183</v>
      </c>
      <c r="E1743" s="879">
        <v>3.82</v>
      </c>
      <c r="F1743" s="408">
        <v>4.4999999999999998E-2</v>
      </c>
      <c r="G1743" s="453">
        <f t="shared" si="28"/>
        <v>4</v>
      </c>
      <c r="H1743" s="417" t="s">
        <v>1666</v>
      </c>
      <c r="I1743" s="451" t="s">
        <v>1558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4" t="str">
        <f>LEFT(base[[#This Row],[Evento / Mercado]],FIND("/",base[[#This Row],[Evento / Mercado]])-2)</f>
        <v>Al-Qadisiyah vs Al-Nassr Riyadh</v>
      </c>
      <c r="T1743" s="1420">
        <f>base[[#This Row],[Data de liquidação]]</f>
        <v>46145.654560185183</v>
      </c>
    </row>
    <row r="1744" spans="2:20" ht="15" customHeight="1">
      <c r="B1744" s="786" t="s">
        <v>2054</v>
      </c>
      <c r="C1744" s="911" t="s">
        <v>3556</v>
      </c>
      <c r="D1744" s="1349">
        <v>46145.665162037039</v>
      </c>
      <c r="E1744" s="879">
        <v>1.22</v>
      </c>
      <c r="F1744" s="408">
        <v>4.4999999999999998E-2</v>
      </c>
      <c r="G1744" s="453">
        <f t="shared" si="28"/>
        <v>1.2774869109947644</v>
      </c>
      <c r="H1744" s="417" t="s">
        <v>1666</v>
      </c>
      <c r="I1744" s="451" t="s">
        <v>1759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4" t="str">
        <f>LEFT(base[[#This Row],[Evento / Mercado]],FIND("/",base[[#This Row],[Evento / Mercado]])-2)</f>
        <v>Sporting de Braga vs Estoril-Praia</v>
      </c>
      <c r="T1744" s="1420">
        <f>base[[#This Row],[Data de liquidação]]</f>
        <v>46145.665162037039</v>
      </c>
    </row>
    <row r="1745" spans="2:22" ht="15" customHeight="1">
      <c r="B1745" s="786" t="s">
        <v>2053</v>
      </c>
      <c r="C1745" s="911" t="s">
        <v>3556</v>
      </c>
      <c r="D1745" s="1349">
        <v>46145.669861111113</v>
      </c>
      <c r="E1745" s="879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1844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4" t="str">
        <f>LEFT(base[[#This Row],[Evento / Mercado]],FIND("/",base[[#This Row],[Evento / Mercado]])-2)</f>
        <v>SC Freiburg vs VfL Wolfsburg</v>
      </c>
      <c r="T1745" s="1420">
        <f>base[[#This Row],[Data de liquidação]]</f>
        <v>46145.669861111113</v>
      </c>
    </row>
    <row r="1746" spans="2:22" ht="15" customHeight="1">
      <c r="B1746" s="786" t="s">
        <v>2052</v>
      </c>
      <c r="C1746" s="911" t="s">
        <v>3556</v>
      </c>
      <c r="D1746" s="1349">
        <v>46145.671273148146</v>
      </c>
      <c r="E1746" s="879">
        <v>3.68</v>
      </c>
      <c r="F1746" s="408">
        <v>4.4999999999999998E-2</v>
      </c>
      <c r="G1746" s="453">
        <f t="shared" si="28"/>
        <v>3.8534031413612571</v>
      </c>
      <c r="H1746" s="417" t="s">
        <v>1666</v>
      </c>
      <c r="I1746" s="451" t="s">
        <v>1715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4" t="str">
        <f>LEFT(base[[#This Row],[Evento / Mercado]],FIND("/",base[[#This Row],[Evento / Mercado]])-2)</f>
        <v>Kayserispor vs Eyüpspor</v>
      </c>
      <c r="T1746" s="1420">
        <f>base[[#This Row],[Data de liquidação]]</f>
        <v>46145.671273148146</v>
      </c>
    </row>
    <row r="1747" spans="2:22" ht="15" customHeight="1">
      <c r="B1747" s="786" t="s">
        <v>2051</v>
      </c>
      <c r="C1747" s="911" t="s">
        <v>3556</v>
      </c>
      <c r="D1747" s="1349">
        <v>46145.682500000003</v>
      </c>
      <c r="E1747" s="879">
        <v>3.82</v>
      </c>
      <c r="F1747" s="408">
        <v>4.4999999999999998E-2</v>
      </c>
      <c r="G1747" s="453">
        <f t="shared" si="28"/>
        <v>4</v>
      </c>
      <c r="H1747" s="417" t="s">
        <v>1666</v>
      </c>
      <c r="I1747" s="451" t="s">
        <v>1558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4" t="str">
        <f>LEFT(base[[#This Row],[Evento / Mercado]],FIND("/",base[[#This Row],[Evento / Mercado]])-2)</f>
        <v>Olympique Lyonnais vs Stade Rennais</v>
      </c>
      <c r="T1747" s="1420">
        <f>base[[#This Row],[Data de liquidação]]</f>
        <v>46145.682500000003</v>
      </c>
    </row>
    <row r="1748" spans="2:22" ht="15" customHeight="1">
      <c r="B1748" s="786" t="s">
        <v>2050</v>
      </c>
      <c r="C1748" s="911" t="s">
        <v>3556</v>
      </c>
      <c r="D1748" s="1349">
        <v>46145.685289351852</v>
      </c>
      <c r="E1748" s="879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4" t="str">
        <f>LEFT(base[[#This Row],[Evento / Mercado]],FIND("/",base[[#This Row],[Evento / Mercado]])-2)</f>
        <v>SC Freiburg vs VfL Wolfsburg</v>
      </c>
      <c r="T1748" s="1420">
        <f>base[[#This Row],[Data de liquidação]]</f>
        <v>46145.685289351852</v>
      </c>
    </row>
    <row r="1749" spans="2:22" ht="15" customHeight="1">
      <c r="B1749" s="786" t="s">
        <v>2050</v>
      </c>
      <c r="C1749" s="911" t="s">
        <v>3556</v>
      </c>
      <c r="D1749" s="1349">
        <v>46145.685289351852</v>
      </c>
      <c r="E1749" s="879">
        <v>6.33</v>
      </c>
      <c r="F1749" s="408">
        <v>0</v>
      </c>
      <c r="G1749" s="453">
        <f t="shared" si="28"/>
        <v>6.33</v>
      </c>
      <c r="H1749" s="417" t="s">
        <v>1666</v>
      </c>
      <c r="I1749" s="451" t="s">
        <v>1665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4" t="str">
        <f>LEFT(base[[#This Row],[Evento / Mercado]],FIND("/",base[[#This Row],[Evento / Mercado]])-2)</f>
        <v>SC Freiburg vs VfL Wolfsburg</v>
      </c>
      <c r="T1749" s="1420">
        <f>base[[#This Row],[Data de liquidação]]</f>
        <v>46145.685289351852</v>
      </c>
    </row>
    <row r="1750" spans="2:22" ht="15" customHeight="1">
      <c r="B1750" s="786" t="s">
        <v>2049</v>
      </c>
      <c r="C1750" s="911" t="s">
        <v>3556</v>
      </c>
      <c r="D1750" s="1349">
        <v>46145.699571759258</v>
      </c>
      <c r="E1750" s="879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1844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4" t="str">
        <f>LEFT(base[[#This Row],[Evento / Mercado]],FIND("/",base[[#This Row],[Evento / Mercado]])-2)</f>
        <v>Flamengo vs Vasco da Gama</v>
      </c>
      <c r="T1750" s="1420">
        <f>base[[#This Row],[Data de liquidação]]</f>
        <v>46145.699571759258</v>
      </c>
    </row>
    <row r="1751" spans="2:22" ht="15" customHeight="1">
      <c r="B1751" s="786" t="s">
        <v>2048</v>
      </c>
      <c r="C1751" s="911" t="s">
        <v>3556</v>
      </c>
      <c r="D1751" s="1349">
        <v>46145.706597222219</v>
      </c>
      <c r="E1751" s="879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693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1211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4" t="str">
        <f>LEFT(base[[#This Row],[Evento / Mercado]],FIND("/",base[[#This Row],[Evento / Mercado]])-2)</f>
        <v>Al-Qadisiyah vs Al-Nassr Riyadh</v>
      </c>
      <c r="T1751" s="1420">
        <f>base[[#This Row],[Data de liquidação]]</f>
        <v>46145.706597222219</v>
      </c>
    </row>
    <row r="1752" spans="2:22" ht="15" customHeight="1">
      <c r="B1752" s="786" t="s">
        <v>2047</v>
      </c>
      <c r="C1752" s="911" t="s">
        <v>3556</v>
      </c>
      <c r="D1752" s="1349">
        <v>46145.722129629627</v>
      </c>
      <c r="E1752" s="879">
        <v>-3.6</v>
      </c>
      <c r="F1752" s="408">
        <v>4.4999999999999998E-2</v>
      </c>
      <c r="G1752" s="453">
        <f t="shared" si="28"/>
        <v>-3.6</v>
      </c>
      <c r="H1752" s="417" t="s">
        <v>1666</v>
      </c>
      <c r="I1752" s="451" t="s">
        <v>1558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4" t="str">
        <f>LEFT(base[[#This Row],[Evento / Mercado]],FIND("/",base[[#This Row],[Evento / Mercado]])-2)</f>
        <v>Flamengo vs Vasco da Gama</v>
      </c>
      <c r="T1752" s="1420">
        <f>base[[#This Row],[Data de liquidação]]</f>
        <v>46145.722129629627</v>
      </c>
    </row>
    <row r="1753" spans="2:22" ht="15" customHeight="1">
      <c r="B1753" s="786" t="s">
        <v>2046</v>
      </c>
      <c r="C1753" s="911" t="s">
        <v>3556</v>
      </c>
      <c r="D1753" s="1349">
        <v>46145.736226851855</v>
      </c>
      <c r="E1753" s="879">
        <v>32.22</v>
      </c>
      <c r="F1753" s="408">
        <v>4.4999999999999998E-2</v>
      </c>
      <c r="G1753" s="453">
        <f t="shared" si="28"/>
        <v>33.738219895287955</v>
      </c>
      <c r="H1753" s="453" t="s">
        <v>179</v>
      </c>
      <c r="I1753" s="451" t="s">
        <v>392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1207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4" t="str">
        <f>LEFT(base[[#This Row],[Evento / Mercado]],FIND("/",base[[#This Row],[Evento / Mercado]])-2)</f>
        <v>Internazionale vs Parma</v>
      </c>
      <c r="T1753" s="1420">
        <f>base[[#This Row],[Data de liquidação]]</f>
        <v>46145.736226851855</v>
      </c>
    </row>
    <row r="1754" spans="2:22" ht="15" customHeight="1">
      <c r="B1754" s="786" t="s">
        <v>2045</v>
      </c>
      <c r="C1754" s="911" t="s">
        <v>3556</v>
      </c>
      <c r="D1754" s="1349">
        <v>46145.739282407405</v>
      </c>
      <c r="E1754" s="879">
        <v>-2.5499999999999998</v>
      </c>
      <c r="F1754" s="408">
        <v>4.4999999999999998E-2</v>
      </c>
      <c r="G1754" s="453">
        <f t="shared" si="28"/>
        <v>-2.5499999999999998</v>
      </c>
      <c r="H1754" s="417" t="s">
        <v>1666</v>
      </c>
      <c r="I1754" s="451" t="s">
        <v>1558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4" t="str">
        <f>LEFT(base[[#This Row],[Evento / Mercado]],FIND("/",base[[#This Row],[Evento / Mercado]])-2)</f>
        <v>New York City FC vs DC United</v>
      </c>
      <c r="T1754" s="142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86" t="s">
        <v>2045</v>
      </c>
      <c r="C1755" s="911" t="s">
        <v>3556</v>
      </c>
      <c r="D1755" s="1349">
        <v>46145.739282407405</v>
      </c>
      <c r="E1755" s="879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1844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4" t="str">
        <f>LEFT(base[[#This Row],[Evento / Mercado]],FIND("/",base[[#This Row],[Evento / Mercado]])-2)</f>
        <v>New York City FC vs DC United</v>
      </c>
      <c r="T1755" s="142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86" t="s">
        <v>2044</v>
      </c>
      <c r="C1756" s="911" t="s">
        <v>3556</v>
      </c>
      <c r="D1756" s="1349">
        <v>46145.739953703705</v>
      </c>
      <c r="E1756" s="879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627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1208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4" t="str">
        <f>LEFT(base[[#This Row],[Evento / Mercado]],FIND("/",base[[#This Row],[Evento / Mercado]])-2)</f>
        <v>Olympique Lyonnais vs Stade Rennais</v>
      </c>
      <c r="T1756" s="1420">
        <f>base[[#This Row],[Data de liquidação]]</f>
        <v>46145.739953703705</v>
      </c>
    </row>
    <row r="1757" spans="2:22" ht="15" customHeight="1">
      <c r="B1757" s="786" t="s">
        <v>2043</v>
      </c>
      <c r="C1757" s="911" t="s">
        <v>3556</v>
      </c>
      <c r="D1757" s="1349">
        <v>46145.74827546296</v>
      </c>
      <c r="E1757" s="879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627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1370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4" t="str">
        <f>LEFT(base[[#This Row],[Evento / Mercado]],FIND("/",base[[#This Row],[Evento / Mercado]])-2)</f>
        <v>Flamengo vs Vasco da Gama</v>
      </c>
      <c r="T1757" s="1420">
        <f>base[[#This Row],[Data de liquidação]]</f>
        <v>46145.74827546296</v>
      </c>
    </row>
    <row r="1758" spans="2:22" ht="15" customHeight="1">
      <c r="B1758" s="786" t="s">
        <v>2042</v>
      </c>
      <c r="C1758" s="911" t="s">
        <v>3556</v>
      </c>
      <c r="D1758" s="1349">
        <v>46145.748402777775</v>
      </c>
      <c r="E1758" s="879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392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1370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4" t="str">
        <f>LEFT(base[[#This Row],[Evento / Mercado]],FIND("/",base[[#This Row],[Evento / Mercado]])-2)</f>
        <v>Flamengo vs Vasco da Gama</v>
      </c>
      <c r="T1758" s="1420">
        <f>base[[#This Row],[Data de liquidação]]</f>
        <v>46145.748402777775</v>
      </c>
    </row>
    <row r="1759" spans="2:22" ht="15" customHeight="1">
      <c r="B1759" s="786" t="s">
        <v>2041</v>
      </c>
      <c r="C1759" s="911" t="s">
        <v>3556</v>
      </c>
      <c r="D1759" s="1349">
        <v>46145.758506944447</v>
      </c>
      <c r="E1759" s="879">
        <v>-2</v>
      </c>
      <c r="F1759" s="408">
        <v>4.4999999999999998E-2</v>
      </c>
      <c r="G1759" s="453">
        <f t="shared" si="28"/>
        <v>-2</v>
      </c>
      <c r="H1759" s="417" t="s">
        <v>1666</v>
      </c>
      <c r="I1759" s="451" t="s">
        <v>1758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4" t="str">
        <f>LEFT(base[[#This Row],[Evento / Mercado]],FIND("/",base[[#This Row],[Evento / Mercado]])-2)</f>
        <v>New York City FC vs DC United</v>
      </c>
      <c r="T1759" s="1420">
        <f>base[[#This Row],[Data de liquidação]]</f>
        <v>46145.758506944447</v>
      </c>
    </row>
    <row r="1760" spans="2:22" ht="15" customHeight="1">
      <c r="B1760" s="786" t="s">
        <v>2040</v>
      </c>
      <c r="C1760" s="911" t="s">
        <v>3556</v>
      </c>
      <c r="D1760" s="1349">
        <v>46145.81490740741</v>
      </c>
      <c r="E1760" s="879">
        <v>-5.05</v>
      </c>
      <c r="F1760" s="408">
        <v>4.4999999999999998E-2</v>
      </c>
      <c r="G1760" s="453">
        <f t="shared" si="28"/>
        <v>-5.05</v>
      </c>
      <c r="H1760" s="417" t="s">
        <v>1666</v>
      </c>
      <c r="I1760" s="451" t="s">
        <v>1777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4" t="str">
        <f>LEFT(base[[#This Row],[Evento / Mercado]],FIND("/",base[[#This Row],[Evento / Mercado]])-2)</f>
        <v>Independiente Medellín vs Águilas Doradas</v>
      </c>
      <c r="T1760" s="1420">
        <f>base[[#This Row],[Data de liquidação]]</f>
        <v>46145.81490740741</v>
      </c>
    </row>
    <row r="1761" spans="2:22" ht="15" customHeight="1">
      <c r="B1761" s="786" t="s">
        <v>2039</v>
      </c>
      <c r="C1761" s="911" t="s">
        <v>3556</v>
      </c>
      <c r="D1761" s="1349">
        <v>46145.852754629632</v>
      </c>
      <c r="E1761" s="879">
        <v>-30.78</v>
      </c>
      <c r="F1761" s="408">
        <v>4.4999999999999998E-2</v>
      </c>
      <c r="G1761" s="453">
        <f t="shared" si="28"/>
        <v>-30.78</v>
      </c>
      <c r="H1761" s="417" t="s">
        <v>1666</v>
      </c>
      <c r="I1761" s="451" t="s">
        <v>1717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4" t="str">
        <f>LEFT(base[[#This Row],[Evento / Mercado]],FIND("/",base[[#This Row],[Evento / Mercado]])-2)</f>
        <v>River Plate vs Atlético Tucumán</v>
      </c>
      <c r="T1761" s="1420">
        <f>base[[#This Row],[Data de liquidação]]</f>
        <v>46145.852754629632</v>
      </c>
    </row>
    <row r="1762" spans="2:22" ht="15" customHeight="1">
      <c r="B1762" s="786" t="s">
        <v>2039</v>
      </c>
      <c r="C1762" s="911" t="s">
        <v>3556</v>
      </c>
      <c r="D1762" s="1349">
        <v>46145.852754629632</v>
      </c>
      <c r="E1762" s="879">
        <v>-5.01</v>
      </c>
      <c r="F1762" s="408">
        <v>4.4999999999999998E-2</v>
      </c>
      <c r="G1762" s="453">
        <f t="shared" si="28"/>
        <v>-5.01</v>
      </c>
      <c r="H1762" s="417" t="s">
        <v>1666</v>
      </c>
      <c r="I1762" s="451" t="s">
        <v>1777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4" t="str">
        <f>LEFT(base[[#This Row],[Evento / Mercado]],FIND("/",base[[#This Row],[Evento / Mercado]])-2)</f>
        <v>River Plate vs Atlético Tucumán</v>
      </c>
      <c r="T1762" s="1420">
        <f>base[[#This Row],[Data de liquidação]]</f>
        <v>46145.852754629632</v>
      </c>
    </row>
    <row r="1763" spans="2:22" ht="15" customHeight="1">
      <c r="B1763" s="786" t="s">
        <v>2039</v>
      </c>
      <c r="C1763" s="911" t="s">
        <v>3556</v>
      </c>
      <c r="D1763" s="1349">
        <v>46145.852754629632</v>
      </c>
      <c r="E1763" s="879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392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2090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4" t="str">
        <f>LEFT(base[[#This Row],[Evento / Mercado]],FIND("/",base[[#This Row],[Evento / Mercado]])-2)</f>
        <v>River Plate vs Atlético Tucumán</v>
      </c>
      <c r="T1763" s="1420">
        <f>base[[#This Row],[Data de liquidação]]</f>
        <v>46145.852754629632</v>
      </c>
    </row>
    <row r="1764" spans="2:22" ht="15" customHeight="1">
      <c r="B1764" s="786" t="s">
        <v>2038</v>
      </c>
      <c r="C1764" s="911" t="s">
        <v>3556</v>
      </c>
      <c r="D1764" s="1349">
        <v>46145.852789351855</v>
      </c>
      <c r="E1764" s="879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1844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4" t="str">
        <f>LEFT(base[[#This Row],[Evento / Mercado]],FIND("/",base[[#This Row],[Evento / Mercado]])-2)</f>
        <v>River Plate vs Atlético Tucumán</v>
      </c>
      <c r="T1764" s="1420">
        <f>base[[#This Row],[Data de liquidação]]</f>
        <v>46145.852789351855</v>
      </c>
    </row>
    <row r="1765" spans="2:22" ht="15" customHeight="1">
      <c r="B1765" s="786" t="s">
        <v>2037</v>
      </c>
      <c r="C1765" s="911" t="s">
        <v>3556</v>
      </c>
      <c r="D1765" s="1349">
        <v>46145.857847222222</v>
      </c>
      <c r="E1765" s="879">
        <v>2.17</v>
      </c>
      <c r="F1765" s="408">
        <v>4.4999999999999998E-2</v>
      </c>
      <c r="G1765" s="453">
        <f t="shared" si="28"/>
        <v>2.2722513089005236</v>
      </c>
      <c r="H1765" s="417" t="s">
        <v>1666</v>
      </c>
      <c r="I1765" s="451" t="s">
        <v>1715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4" t="str">
        <f>LEFT(base[[#This Row],[Evento / Mercado]],FIND("/",base[[#This Row],[Evento / Mercado]])-2)</f>
        <v>Austin FC vs Saint Louis City SC</v>
      </c>
      <c r="T1765" s="1420">
        <f>base[[#This Row],[Data de liquidação]]</f>
        <v>46145.857847222222</v>
      </c>
    </row>
    <row r="1766" spans="2:22" ht="15" customHeight="1">
      <c r="B1766" s="786" t="s">
        <v>2036</v>
      </c>
      <c r="C1766" s="911" t="s">
        <v>3556</v>
      </c>
      <c r="D1766" s="1349">
        <v>46145.858159722222</v>
      </c>
      <c r="E1766" s="879">
        <v>1.71</v>
      </c>
      <c r="F1766" s="408">
        <v>4.4999999999999998E-2</v>
      </c>
      <c r="G1766" s="453">
        <f t="shared" si="28"/>
        <v>1.7905759162303665</v>
      </c>
      <c r="H1766" s="417" t="s">
        <v>1666</v>
      </c>
      <c r="I1766" s="451" t="s">
        <v>1759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4" t="str">
        <f>LEFT(base[[#This Row],[Evento / Mercado]],FIND("/",base[[#This Row],[Evento / Mercado]])-2)</f>
        <v>Austin FC vs Saint Louis City SC</v>
      </c>
      <c r="T1766" s="1420">
        <f>base[[#This Row],[Data de liquidação]]</f>
        <v>46145.858159722222</v>
      </c>
    </row>
    <row r="1767" spans="2:22" ht="15" customHeight="1">
      <c r="B1767" s="786" t="s">
        <v>2035</v>
      </c>
      <c r="C1767" s="911" t="s">
        <v>3556</v>
      </c>
      <c r="D1767" s="1349">
        <v>46145.902118055557</v>
      </c>
      <c r="E1767" s="879">
        <v>2.5499999999999998</v>
      </c>
      <c r="F1767" s="408">
        <v>0</v>
      </c>
      <c r="G1767" s="453">
        <f t="shared" si="28"/>
        <v>2.5499999999999998</v>
      </c>
      <c r="H1767" s="417" t="s">
        <v>1666</v>
      </c>
      <c r="I1767" s="451" t="s">
        <v>1716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4" t="str">
        <f>LEFT(base[[#This Row],[Evento / Mercado]],FIND("/",base[[#This Row],[Evento / Mercado]])-2)</f>
        <v>América de Cali vs Deportivo Pereira</v>
      </c>
      <c r="T1767" s="1420">
        <f>base[[#This Row],[Data de liquidação]]</f>
        <v>46145.902118055557</v>
      </c>
      <c r="V1767" s="11"/>
    </row>
    <row r="1768" spans="2:22" ht="15" customHeight="1">
      <c r="B1768" s="786" t="s">
        <v>2035</v>
      </c>
      <c r="C1768" s="911" t="s">
        <v>3556</v>
      </c>
      <c r="D1768" s="1349">
        <v>46145.902118055557</v>
      </c>
      <c r="E1768" s="879">
        <v>-2.13</v>
      </c>
      <c r="F1768" s="408">
        <v>4.4999999999999998E-2</v>
      </c>
      <c r="G1768" s="453">
        <f t="shared" si="28"/>
        <v>-2.13</v>
      </c>
      <c r="H1768" s="417" t="s">
        <v>1666</v>
      </c>
      <c r="I1768" s="451" t="s">
        <v>1558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4" t="str">
        <f>LEFT(base[[#This Row],[Evento / Mercado]],FIND("/",base[[#This Row],[Evento / Mercado]])-2)</f>
        <v>América de Cali vs Deportivo Pereira</v>
      </c>
      <c r="T1768" s="1420">
        <f>base[[#This Row],[Data de liquidação]]</f>
        <v>46145.902118055557</v>
      </c>
      <c r="V1768" s="11"/>
    </row>
    <row r="1769" spans="2:22" ht="15" customHeight="1">
      <c r="B1769" s="786" t="s">
        <v>2034</v>
      </c>
      <c r="C1769" s="911" t="s">
        <v>3556</v>
      </c>
      <c r="D1769" s="1349">
        <v>46145.913101851853</v>
      </c>
      <c r="E1769" s="879">
        <v>3.77</v>
      </c>
      <c r="F1769" s="408">
        <v>4.4999999999999998E-2</v>
      </c>
      <c r="G1769" s="453">
        <f t="shared" si="28"/>
        <v>3.9476439790575917</v>
      </c>
      <c r="H1769" s="417" t="s">
        <v>1666</v>
      </c>
      <c r="I1769" s="451" t="s">
        <v>1717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4" t="str">
        <f>LEFT(base[[#This Row],[Evento / Mercado]],FIND("/",base[[#This Row],[Evento / Mercado]])-2)</f>
        <v>FBC Melgar vs Universidad Técnica de Cajamarca</v>
      </c>
      <c r="T1769" s="1420">
        <f>base[[#This Row],[Data de liquidação]]</f>
        <v>46145.913101851853</v>
      </c>
    </row>
    <row r="1770" spans="2:22" ht="15" customHeight="1">
      <c r="B1770" s="786" t="s">
        <v>2033</v>
      </c>
      <c r="C1770" s="911" t="s">
        <v>3556</v>
      </c>
      <c r="D1770" s="1349">
        <v>46145.92728009259</v>
      </c>
      <c r="E1770" s="879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4" t="str">
        <f>LEFT(base[[#This Row],[Evento / Mercado]],FIND("/",base[[#This Row],[Evento / Mercado]])-2)</f>
        <v>Mirassol FC vs Corinthians</v>
      </c>
      <c r="T1770" s="1420">
        <f>base[[#This Row],[Data de liquidação]]</f>
        <v>46145.92728009259</v>
      </c>
    </row>
    <row r="1771" spans="2:22" ht="15" customHeight="1">
      <c r="B1771" s="786" t="s">
        <v>2101</v>
      </c>
      <c r="C1771" s="911" t="s">
        <v>3556</v>
      </c>
      <c r="D1771" s="1349">
        <v>46146.613125000003</v>
      </c>
      <c r="E1771" s="879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4" t="str">
        <f>LEFT(base[[#This Row],[Evento / Mercado]],FIND("/",base[[#This Row],[Evento / Mercado]])-2)</f>
        <v>Hearts vs Rangers</v>
      </c>
      <c r="T1771" s="1420">
        <f>base[[#This Row],[Data de liquidação]]</f>
        <v>46146.613125000003</v>
      </c>
    </row>
    <row r="1772" spans="2:22" ht="15" customHeight="1">
      <c r="B1772" s="786" t="s">
        <v>2100</v>
      </c>
      <c r="C1772" s="911" t="s">
        <v>3556</v>
      </c>
      <c r="D1772" s="1349">
        <v>46146.617025462961</v>
      </c>
      <c r="E1772" s="879">
        <v>-5</v>
      </c>
      <c r="F1772" s="408">
        <v>4.4999999999999998E-2</v>
      </c>
      <c r="G1772" s="453">
        <f t="shared" si="28"/>
        <v>-5</v>
      </c>
      <c r="H1772" s="417" t="s">
        <v>1666</v>
      </c>
      <c r="I1772" s="451" t="s">
        <v>1716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4" t="str">
        <f>LEFT(base[[#This Row],[Evento / Mercado]],FIND("/",base[[#This Row],[Evento / Mercado]])-2)</f>
        <v>Derry City vs Galway United</v>
      </c>
      <c r="T1772" s="1420">
        <f>base[[#This Row],[Data de liquidação]]</f>
        <v>46146.617025462961</v>
      </c>
    </row>
    <row r="1773" spans="2:22" ht="15" customHeight="1">
      <c r="B1773" s="786" t="s">
        <v>2099</v>
      </c>
      <c r="C1773" s="911" t="s">
        <v>3556</v>
      </c>
      <c r="D1773" s="1349">
        <v>46146.665219907409</v>
      </c>
      <c r="E1773" s="879">
        <v>-4.7300000000000004</v>
      </c>
      <c r="F1773" s="408">
        <v>4.4999999999999998E-2</v>
      </c>
      <c r="G1773" s="453">
        <f t="shared" si="28"/>
        <v>-4.7300000000000004</v>
      </c>
      <c r="H1773" s="417" t="s">
        <v>1666</v>
      </c>
      <c r="I1773" s="451" t="s">
        <v>1558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4" t="str">
        <f>LEFT(base[[#This Row],[Evento / Mercado]],FIND("/",base[[#This Row],[Evento / Mercado]])-2)</f>
        <v>Bod</v>
      </c>
      <c r="T1773" s="1420">
        <f>base[[#This Row],[Data de liquidação]]</f>
        <v>46146.665219907409</v>
      </c>
    </row>
    <row r="1774" spans="2:22" ht="15" customHeight="1">
      <c r="B1774" s="786" t="s">
        <v>1928</v>
      </c>
      <c r="C1774" s="911" t="s">
        <v>3556</v>
      </c>
      <c r="D1774" s="1349">
        <v>46146.697152777779</v>
      </c>
      <c r="E1774" s="879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1844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4" t="str">
        <f>LEFT(base[[#This Row],[Evento / Mercado]],FIND("/",base[[#This Row],[Evento / Mercado]])-2)</f>
        <v>Everton vs Manchester City</v>
      </c>
      <c r="T1774" s="1420">
        <f>base[[#This Row],[Data de liquidação]]</f>
        <v>46146.697152777779</v>
      </c>
    </row>
    <row r="1775" spans="2:22" ht="15" customHeight="1">
      <c r="B1775" s="786" t="s">
        <v>2098</v>
      </c>
      <c r="C1775" s="911" t="s">
        <v>3556</v>
      </c>
      <c r="D1775" s="1349">
        <v>46146.706145833334</v>
      </c>
      <c r="E1775" s="879">
        <v>1.06</v>
      </c>
      <c r="F1775" s="408">
        <v>4.4999999999999998E-2</v>
      </c>
      <c r="G1775" s="453">
        <f t="shared" si="28"/>
        <v>1.1099476439790577</v>
      </c>
      <c r="H1775" s="417" t="s">
        <v>1666</v>
      </c>
      <c r="I1775" s="451" t="s">
        <v>1663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4" t="str">
        <f>LEFT(base[[#This Row],[Evento / Mercado]],FIND("/",base[[#This Row],[Evento / Mercado]])-2)</f>
        <v>Al-Ettifaq vs Al Najma Club</v>
      </c>
      <c r="T1775" s="1420">
        <f>base[[#This Row],[Data de liquidação]]</f>
        <v>46146.706145833334</v>
      </c>
    </row>
    <row r="1776" spans="2:22" ht="15" customHeight="1">
      <c r="B1776" s="786" t="s">
        <v>2097</v>
      </c>
      <c r="C1776" s="911" t="s">
        <v>3556</v>
      </c>
      <c r="D1776" s="1349">
        <v>46146.708298611113</v>
      </c>
      <c r="E1776" s="879">
        <v>3.41</v>
      </c>
      <c r="F1776" s="408">
        <v>4.4999999999999998E-2</v>
      </c>
      <c r="G1776" s="453">
        <f t="shared" si="28"/>
        <v>3.5706806282722514</v>
      </c>
      <c r="H1776" s="417" t="s">
        <v>1666</v>
      </c>
      <c r="I1776" s="451" t="s">
        <v>1715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4" t="str">
        <f>LEFT(base[[#This Row],[Evento / Mercado]],FIND("/",base[[#This Row],[Evento / Mercado]])-2)</f>
        <v>Al-Ittihad Jeddah vs Al-Kholood Club</v>
      </c>
      <c r="T1776" s="1420">
        <f>base[[#This Row],[Data de liquidação]]</f>
        <v>46146.708298611113</v>
      </c>
    </row>
    <row r="1777" spans="2:20" ht="15" customHeight="1">
      <c r="B1777" s="786" t="s">
        <v>2096</v>
      </c>
      <c r="C1777" s="911" t="s">
        <v>3556</v>
      </c>
      <c r="D1777" s="1349">
        <v>46146.728113425925</v>
      </c>
      <c r="E1777" s="879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4" t="str">
        <f>LEFT(base[[#This Row],[Evento / Mercado]],FIND("/",base[[#This Row],[Evento / Mercado]])-2)</f>
        <v>Everton vs Manchester City</v>
      </c>
      <c r="T1777" s="1420">
        <f>base[[#This Row],[Data de liquidação]]</f>
        <v>46146.728113425925</v>
      </c>
    </row>
    <row r="1778" spans="2:20" ht="15" customHeight="1">
      <c r="B1778" s="786" t="s">
        <v>2095</v>
      </c>
      <c r="C1778" s="911" t="s">
        <v>3556</v>
      </c>
      <c r="D1778" s="1349">
        <v>46146.72929398148</v>
      </c>
      <c r="E1778" s="879">
        <v>4.1500000000000004</v>
      </c>
      <c r="F1778" s="408">
        <v>4.4999999999999998E-2</v>
      </c>
      <c r="G1778" s="453">
        <f t="shared" si="28"/>
        <v>4.345549738219896</v>
      </c>
      <c r="H1778" s="417" t="s">
        <v>1666</v>
      </c>
      <c r="I1778" s="451" t="s">
        <v>1715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4" t="str">
        <f>LEFT(base[[#This Row],[Evento / Mercado]],FIND("/",base[[#This Row],[Evento / Mercado]])-2)</f>
        <v>LASK Linz vs SK Rapid Wien</v>
      </c>
      <c r="T1778" s="1420">
        <f>base[[#This Row],[Data de liquidação]]</f>
        <v>46146.72929398148</v>
      </c>
    </row>
    <row r="1779" spans="2:20" ht="15" customHeight="1">
      <c r="B1779" s="786" t="s">
        <v>2094</v>
      </c>
      <c r="C1779" s="911" t="s">
        <v>3556</v>
      </c>
      <c r="D1779" s="1349">
        <v>46146.748217592591</v>
      </c>
      <c r="E1779" s="879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391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1201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4" t="str">
        <f>LEFT(base[[#This Row],[Evento / Mercado]],FIND("/",base[[#This Row],[Evento / Mercado]])-2)</f>
        <v>Everton vs Manchester City</v>
      </c>
      <c r="T1779" s="1420">
        <f>base[[#This Row],[Data de liquidação]]</f>
        <v>46146.748217592591</v>
      </c>
    </row>
    <row r="1780" spans="2:20" ht="15" customHeight="1">
      <c r="B1780" s="786" t="s">
        <v>2093</v>
      </c>
      <c r="C1780" s="911" t="s">
        <v>3556</v>
      </c>
      <c r="D1780" s="1349">
        <v>46146.750243055554</v>
      </c>
      <c r="E1780" s="879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4" t="str">
        <f>LEFT(base[[#This Row],[Evento / Mercado]],FIND("/",base[[#This Row],[Evento / Mercado]])-2)</f>
        <v>Sevilla vs Real Sociedad</v>
      </c>
      <c r="T1780" s="1420">
        <f>base[[#This Row],[Data de liquidação]]</f>
        <v>46146.750243055554</v>
      </c>
    </row>
    <row r="1781" spans="2:20" ht="15" customHeight="1">
      <c r="B1781" s="786" t="s">
        <v>2092</v>
      </c>
      <c r="C1781" s="911" t="s">
        <v>3556</v>
      </c>
      <c r="D1781" s="1349">
        <v>46146.906365740739</v>
      </c>
      <c r="E1781" s="879">
        <v>-2</v>
      </c>
      <c r="F1781" s="408">
        <v>4.4999999999999998E-2</v>
      </c>
      <c r="G1781" s="453">
        <f t="shared" si="28"/>
        <v>-2</v>
      </c>
      <c r="H1781" s="417" t="s">
        <v>1666</v>
      </c>
      <c r="I1781" s="451" t="s">
        <v>1758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4" t="str">
        <f>LEFT(base[[#This Row],[Evento / Mercado]],FIND("/",base[[#This Row],[Evento / Mercado]])-2)</f>
        <v>Vélez Sársfield vs Newell's Old Boys</v>
      </c>
      <c r="T1781" s="1420">
        <f>base[[#This Row],[Data de liquidação]]</f>
        <v>46146.906365740739</v>
      </c>
    </row>
    <row r="1782" spans="2:20" ht="15" customHeight="1">
      <c r="B1782" s="786" t="s">
        <v>2091</v>
      </c>
      <c r="C1782" s="911" t="s">
        <v>3556</v>
      </c>
      <c r="D1782" s="1349">
        <v>46146.953796296293</v>
      </c>
      <c r="E1782" s="879">
        <v>-2</v>
      </c>
      <c r="F1782" s="408">
        <v>4.4999999999999998E-2</v>
      </c>
      <c r="G1782" s="453">
        <f t="shared" si="28"/>
        <v>-2</v>
      </c>
      <c r="H1782" s="417" t="s">
        <v>1666</v>
      </c>
      <c r="I1782" s="451" t="s">
        <v>1758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4" t="str">
        <f>LEFT(base[[#This Row],[Evento / Mercado]],FIND("/",base[[#This Row],[Evento / Mercado]])-2)</f>
        <v>Universitario de Vinto vs Blooming Santa Cruz</v>
      </c>
      <c r="T1782" s="1420">
        <f>base[[#This Row],[Data de liquidação]]</f>
        <v>46146.953796296293</v>
      </c>
    </row>
    <row r="1783" spans="2:20" ht="15" customHeight="1">
      <c r="B1783" s="786" t="s">
        <v>2109</v>
      </c>
      <c r="C1783" s="911" t="s">
        <v>3556</v>
      </c>
      <c r="D1783" s="1349">
        <v>46147.438240740739</v>
      </c>
      <c r="E1783" s="879">
        <v>-49.95</v>
      </c>
      <c r="F1783" s="408">
        <v>4.4999999999999998E-2</v>
      </c>
      <c r="G1783" s="453">
        <f t="shared" si="28"/>
        <v>-49.95</v>
      </c>
      <c r="H1783" s="417" t="s">
        <v>1666</v>
      </c>
      <c r="I1783" s="451" t="s">
        <v>1715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4" t="str">
        <f>LEFT(base[[#This Row],[Evento / Mercado]],FIND("/",base[[#This Row],[Evento / Mercado]])-2)</f>
        <v>Shandong Taishan vs Shanghai Shenhua</v>
      </c>
      <c r="T1783" s="1420">
        <f>base[[#This Row],[Data de liquidação]]</f>
        <v>46147.438240740739</v>
      </c>
    </row>
    <row r="1784" spans="2:20" ht="15" customHeight="1">
      <c r="B1784" s="786" t="s">
        <v>2108</v>
      </c>
      <c r="C1784" s="911" t="s">
        <v>3556</v>
      </c>
      <c r="D1784" s="1349">
        <v>46147.497233796297</v>
      </c>
      <c r="E1784" s="879">
        <v>3.82</v>
      </c>
      <c r="F1784" s="408">
        <v>4.4999999999999998E-2</v>
      </c>
      <c r="G1784" s="453">
        <f t="shared" si="28"/>
        <v>4</v>
      </c>
      <c r="H1784" s="417" t="s">
        <v>1666</v>
      </c>
      <c r="I1784" s="451" t="s">
        <v>1558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4" t="str">
        <f>LEFT(base[[#This Row],[Evento / Mercado]],FIND("/",base[[#This Row],[Evento / Mercado]])-2)</f>
        <v>Ajman vs Al-Jazira Club</v>
      </c>
      <c r="T1784" s="1420">
        <f>base[[#This Row],[Data de liquidação]]</f>
        <v>46147.497233796297</v>
      </c>
    </row>
    <row r="1785" spans="2:20" ht="15" customHeight="1">
      <c r="B1785" s="786" t="s">
        <v>2107</v>
      </c>
      <c r="C1785" s="911" t="s">
        <v>3556</v>
      </c>
      <c r="D1785" s="1349">
        <v>46147.619039351855</v>
      </c>
      <c r="E1785" s="879">
        <v>1.99</v>
      </c>
      <c r="F1785" s="408">
        <v>4.4999999999999998E-2</v>
      </c>
      <c r="G1785" s="453">
        <f t="shared" si="28"/>
        <v>2.0837696335078535</v>
      </c>
      <c r="H1785" s="417" t="s">
        <v>1666</v>
      </c>
      <c r="I1785" s="451" t="s">
        <v>1715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4" t="str">
        <f>LEFT(base[[#This Row],[Evento / Mercado]],FIND("/",base[[#This Row],[Evento / Mercado]])-2)</f>
        <v>MFK Skalica vs FK Košice</v>
      </c>
      <c r="T1785" s="1420">
        <f>base[[#This Row],[Data de liquidação]]</f>
        <v>46147.619039351855</v>
      </c>
    </row>
    <row r="1786" spans="2:20" ht="15" customHeight="1">
      <c r="B1786" s="786" t="s">
        <v>2106</v>
      </c>
      <c r="C1786" s="911" t="s">
        <v>3556</v>
      </c>
      <c r="D1786" s="1349">
        <v>46147.658136574071</v>
      </c>
      <c r="E1786" s="879">
        <v>5.55</v>
      </c>
      <c r="F1786" s="408">
        <v>4.4999999999999998E-2</v>
      </c>
      <c r="G1786" s="453">
        <f t="shared" si="28"/>
        <v>5.8115183246073299</v>
      </c>
      <c r="H1786" s="417" t="s">
        <v>1666</v>
      </c>
      <c r="I1786" s="451" t="s">
        <v>1759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4" t="str">
        <f>LEFT(base[[#This Row],[Evento / Mercado]],FIND("/",base[[#This Row],[Evento / Mercado]])-2)</f>
        <v>Dibba Al Fujairah vs Al-Bataeh</v>
      </c>
      <c r="T1786" s="1420">
        <f>base[[#This Row],[Data de liquidação]]</f>
        <v>46147.658136574071</v>
      </c>
    </row>
    <row r="1787" spans="2:20" ht="15" customHeight="1">
      <c r="B1787" s="786" t="s">
        <v>2105</v>
      </c>
      <c r="C1787" s="911" t="s">
        <v>3556</v>
      </c>
      <c r="D1787" s="1349">
        <v>46147.696273148147</v>
      </c>
      <c r="E1787" s="879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1844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4" t="str">
        <f>LEFT(base[[#This Row],[Evento / Mercado]],FIND("/",base[[#This Row],[Evento / Mercado]])-2)</f>
        <v>Al-Khaleej Saihat vs Al-Hilal Riyadh</v>
      </c>
      <c r="T1787" s="1420">
        <f>base[[#This Row],[Data de liquidação]]</f>
        <v>46147.696273148147</v>
      </c>
    </row>
    <row r="1788" spans="2:20" ht="15" customHeight="1">
      <c r="B1788" s="786" t="s">
        <v>2104</v>
      </c>
      <c r="C1788" s="911" t="s">
        <v>3556</v>
      </c>
      <c r="D1788" s="1349">
        <v>46147.707106481481</v>
      </c>
      <c r="E1788" s="879">
        <v>36.130000000000003</v>
      </c>
      <c r="F1788" s="408">
        <v>4.4999999999999998E-2</v>
      </c>
      <c r="G1788" s="453">
        <f t="shared" si="28"/>
        <v>37.832460732984295</v>
      </c>
      <c r="H1788" s="453" t="s">
        <v>179</v>
      </c>
      <c r="I1788" s="451" t="s">
        <v>391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1211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4" t="str">
        <f>LEFT(base[[#This Row],[Evento / Mercado]],FIND("/",base[[#This Row],[Evento / Mercado]])-2)</f>
        <v>Al-Khaleej Saihat vs Al-Hilal Riyadh</v>
      </c>
      <c r="T1788" s="1420">
        <f>base[[#This Row],[Data de liquidação]]</f>
        <v>46147.707106481481</v>
      </c>
    </row>
    <row r="1789" spans="2:20" ht="15" customHeight="1">
      <c r="B1789" s="786" t="s">
        <v>2103</v>
      </c>
      <c r="C1789" s="911" t="s">
        <v>3556</v>
      </c>
      <c r="D1789" s="1349">
        <v>46147.74596064815</v>
      </c>
      <c r="E1789" s="879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1844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4" t="str">
        <f>LEFT(base[[#This Row],[Evento / Mercado]],FIND("/",base[[#This Row],[Evento / Mercado]])-2)</f>
        <v>Arsenal vs Atlético de Madrid</v>
      </c>
      <c r="T1789" s="1420">
        <f>base[[#This Row],[Data de liquidação]]</f>
        <v>46147.74596064815</v>
      </c>
    </row>
    <row r="1790" spans="2:20" ht="15" customHeight="1">
      <c r="B1790" s="786" t="s">
        <v>2102</v>
      </c>
      <c r="C1790" s="911" t="s">
        <v>3556</v>
      </c>
      <c r="D1790" s="1349">
        <v>46147.746180555558</v>
      </c>
      <c r="E1790" s="879">
        <v>1.91</v>
      </c>
      <c r="F1790" s="408">
        <v>4.4999999999999998E-2</v>
      </c>
      <c r="G1790" s="453">
        <f t="shared" si="28"/>
        <v>2</v>
      </c>
      <c r="H1790" s="417" t="s">
        <v>1666</v>
      </c>
      <c r="I1790" s="451" t="s">
        <v>1759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4" t="str">
        <f>LEFT(base[[#This Row],[Evento / Mercado]],FIND("/",base[[#This Row],[Evento / Mercado]])-2)</f>
        <v>Arsenal vs Atlético de Madrid</v>
      </c>
      <c r="T1790" s="1420">
        <f>base[[#This Row],[Data de liquidação]]</f>
        <v>46147.746180555558</v>
      </c>
    </row>
    <row r="1791" spans="2:20" ht="15" customHeight="1">
      <c r="B1791" s="786" t="s">
        <v>2112</v>
      </c>
      <c r="C1791" s="911" t="s">
        <v>3556</v>
      </c>
      <c r="D1791" s="1349">
        <v>46148.430474537039</v>
      </c>
      <c r="E1791" s="879">
        <v>-6.59</v>
      </c>
      <c r="F1791" s="408">
        <v>4.4999999999999998E-2</v>
      </c>
      <c r="G1791" s="453">
        <f t="shared" si="28"/>
        <v>-6.59</v>
      </c>
      <c r="H1791" s="417" t="s">
        <v>1666</v>
      </c>
      <c r="I1791" s="451" t="s">
        <v>1558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4" t="str">
        <f>LEFT(base[[#This Row],[Evento / Mercado]],FIND("/",base[[#This Row],[Evento / Mercado]])-2)</f>
        <v>Yunnan Yukun vs Zhejiang Professional</v>
      </c>
      <c r="T1791" s="1420">
        <f>base[[#This Row],[Data de liquidação]]</f>
        <v>46148.430474537039</v>
      </c>
    </row>
    <row r="1792" spans="2:20" ht="15" customHeight="1">
      <c r="B1792" s="786" t="s">
        <v>2111</v>
      </c>
      <c r="C1792" s="911" t="s">
        <v>3556</v>
      </c>
      <c r="D1792" s="1349">
        <v>46148.748194444444</v>
      </c>
      <c r="E1792" s="879">
        <v>-3.78</v>
      </c>
      <c r="F1792" s="408">
        <v>4.4999999999999998E-2</v>
      </c>
      <c r="G1792" s="453">
        <f t="shared" si="28"/>
        <v>-3.78</v>
      </c>
      <c r="H1792" s="417" t="s">
        <v>1666</v>
      </c>
      <c r="I1792" s="451" t="s">
        <v>1558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4" t="str">
        <f>LEFT(base[[#This Row],[Evento / Mercado]],FIND("/",base[[#This Row],[Evento / Mercado]])-2)</f>
        <v>FC Bayern München vs Paris Saint-Germain</v>
      </c>
      <c r="T1792" s="1420">
        <f>base[[#This Row],[Data de liquidação]]</f>
        <v>46148.748194444444</v>
      </c>
    </row>
    <row r="1793" spans="2:20" ht="15" customHeight="1">
      <c r="B1793" s="786" t="s">
        <v>2110</v>
      </c>
      <c r="C1793" s="911" t="s">
        <v>3556</v>
      </c>
      <c r="D1793" s="1349">
        <v>46148.750219907408</v>
      </c>
      <c r="E1793" s="879">
        <v>3.14</v>
      </c>
      <c r="F1793" s="408">
        <v>4.4999999999999998E-2</v>
      </c>
      <c r="G1793" s="453">
        <f t="shared" si="28"/>
        <v>3.2879581151832462</v>
      </c>
      <c r="H1793" s="417" t="s">
        <v>1666</v>
      </c>
      <c r="I1793" s="451" t="s">
        <v>1777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4" t="str">
        <f>LEFT(base[[#This Row],[Evento / Mercado]],FIND("/",base[[#This Row],[Evento / Mercado]])-2)</f>
        <v>FC Bayern München vs Paris Saint-Germain</v>
      </c>
      <c r="T1793" s="1420">
        <f>base[[#This Row],[Data de liquidação]]</f>
        <v>46148.750219907408</v>
      </c>
    </row>
    <row r="1794" spans="2:20" ht="15" customHeight="1">
      <c r="B1794" s="786" t="s">
        <v>2114</v>
      </c>
      <c r="C1794" s="911" t="s">
        <v>3556</v>
      </c>
      <c r="D1794" s="1349">
        <v>46149.707569444443</v>
      </c>
      <c r="E1794" s="879">
        <v>59.44</v>
      </c>
      <c r="F1794" s="408">
        <v>4.4999999999999998E-2</v>
      </c>
      <c r="G1794" s="453">
        <f t="shared" si="28"/>
        <v>62.240837696335078</v>
      </c>
      <c r="H1794" s="453" t="s">
        <v>179</v>
      </c>
      <c r="I1794" s="451" t="s">
        <v>391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1211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4" t="str">
        <f>LEFT(base[[#This Row],[Evento / Mercado]],FIND("/",base[[#This Row],[Evento / Mercado]])-2)</f>
        <v>Al-Shabab Riyadh vs Al-Nassr Riyadh</v>
      </c>
      <c r="T1794" s="1420">
        <f>base[[#This Row],[Data de liquidação]]</f>
        <v>46149.707569444443</v>
      </c>
    </row>
    <row r="1795" spans="2:20" ht="15" customHeight="1">
      <c r="B1795" s="786" t="s">
        <v>2113</v>
      </c>
      <c r="C1795" s="911" t="s">
        <v>3556</v>
      </c>
      <c r="D1795" s="1349">
        <v>46149.743726851855</v>
      </c>
      <c r="E1795" s="879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1666</v>
      </c>
      <c r="I1795" s="451" t="s">
        <v>1715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4" t="str">
        <f>LEFT(base[[#This Row],[Evento / Mercado]],FIND("/",base[[#This Row],[Evento / Mercado]])-2)</f>
        <v>Crystal Palace vs Shakhtar Donetsk</v>
      </c>
      <c r="T1795" s="1420">
        <f>base[[#This Row],[Data de liquidação]]</f>
        <v>46149.743726851855</v>
      </c>
    </row>
    <row r="1796" spans="2:20" ht="15" customHeight="1">
      <c r="B1796" s="786" t="s">
        <v>2147</v>
      </c>
      <c r="C1796" s="911" t="s">
        <v>3556</v>
      </c>
      <c r="D1796" s="1349">
        <v>46150.421550925923</v>
      </c>
      <c r="E1796" s="879">
        <v>12.57</v>
      </c>
      <c r="F1796" s="408">
        <v>4.4999999999999998E-2</v>
      </c>
      <c r="G1796" s="453">
        <f t="shared" si="29"/>
        <v>13.162303664921467</v>
      </c>
      <c r="H1796" s="453" t="s">
        <v>2148</v>
      </c>
      <c r="I1796" s="451" t="s">
        <v>1795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4" t="str">
        <f>LEFT(base[[#This Row],[Evento / Mercado]],FIND("/",base[[#This Row],[Evento / Mercado]])-2)</f>
        <v>Terengganu FC vs Imigresen FC</v>
      </c>
      <c r="T1796" s="1420">
        <f>base[[#This Row],[Data de liquidação]]</f>
        <v>46150.421550925923</v>
      </c>
    </row>
    <row r="1797" spans="2:20" ht="15" customHeight="1">
      <c r="B1797" s="786" t="s">
        <v>2146</v>
      </c>
      <c r="C1797" s="911" t="s">
        <v>3556</v>
      </c>
      <c r="D1797" s="1349">
        <v>46150.507430555554</v>
      </c>
      <c r="E1797" s="879">
        <v>19.579999999999998</v>
      </c>
      <c r="F1797" s="408">
        <v>4.4999999999999998E-2</v>
      </c>
      <c r="G1797" s="453">
        <f t="shared" si="29"/>
        <v>20.502617801047119</v>
      </c>
      <c r="H1797" s="453" t="s">
        <v>2148</v>
      </c>
      <c r="I1797" s="451" t="s">
        <v>1795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4" t="str">
        <f>LEFT(base[[#This Row],[Evento / Mercado]],FIND("/",base[[#This Row],[Evento / Mercado]])-2)</f>
        <v>Ilves vs AC Oulu</v>
      </c>
      <c r="T1797" s="1420">
        <f>base[[#This Row],[Data de liquidação]]</f>
        <v>46150.507430555554</v>
      </c>
    </row>
    <row r="1798" spans="2:20" ht="15" customHeight="1">
      <c r="B1798" s="786" t="s">
        <v>2145</v>
      </c>
      <c r="C1798" s="911" t="s">
        <v>3556</v>
      </c>
      <c r="D1798" s="1349">
        <v>46150.534421296295</v>
      </c>
      <c r="E1798" s="879">
        <v>-50</v>
      </c>
      <c r="F1798" s="408">
        <v>4.4999999999999998E-2</v>
      </c>
      <c r="G1798" s="453">
        <f t="shared" si="29"/>
        <v>-50</v>
      </c>
      <c r="H1798" s="453" t="s">
        <v>2148</v>
      </c>
      <c r="I1798" s="451" t="s">
        <v>1795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4" t="str">
        <f>LEFT(base[[#This Row],[Evento / Mercado]],FIND("/",base[[#This Row],[Evento / Mercado]])-2)</f>
        <v>TPS vs HJK Helsinki</v>
      </c>
      <c r="T1798" s="1420">
        <f>base[[#This Row],[Data de liquidação]]</f>
        <v>46150.534421296295</v>
      </c>
    </row>
    <row r="1799" spans="2:20" ht="15" customHeight="1">
      <c r="B1799" s="786" t="s">
        <v>2144</v>
      </c>
      <c r="C1799" s="911" t="s">
        <v>3556</v>
      </c>
      <c r="D1799" s="1349">
        <v>46150.577592592592</v>
      </c>
      <c r="E1799" s="879">
        <v>10.85</v>
      </c>
      <c r="F1799" s="408">
        <v>4.4999999999999998E-2</v>
      </c>
      <c r="G1799" s="453">
        <f t="shared" si="29"/>
        <v>11.361256544502618</v>
      </c>
      <c r="H1799" s="453" t="s">
        <v>2148</v>
      </c>
      <c r="I1799" s="451" t="s">
        <v>1795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4" t="str">
        <f>LEFT(base[[#This Row],[Evento / Mercado]],FIND("/",base[[#This Row],[Evento / Mercado]])-2)</f>
        <v>SC Paderborn 07 vs Karlsruher SC</v>
      </c>
      <c r="T1799" s="1420">
        <f>base[[#This Row],[Data de liquidação]]</f>
        <v>46150.577592592592</v>
      </c>
    </row>
    <row r="1800" spans="2:20" ht="15" customHeight="1">
      <c r="B1800" s="786" t="s">
        <v>2143</v>
      </c>
      <c r="C1800" s="911" t="s">
        <v>3556</v>
      </c>
      <c r="D1800" s="1349">
        <v>46150.591782407406</v>
      </c>
      <c r="E1800" s="879">
        <v>12.57</v>
      </c>
      <c r="F1800" s="408">
        <v>4.4999999999999998E-2</v>
      </c>
      <c r="G1800" s="453">
        <f t="shared" si="29"/>
        <v>13.162303664921467</v>
      </c>
      <c r="H1800" s="453" t="s">
        <v>2148</v>
      </c>
      <c r="I1800" s="451" t="s">
        <v>1795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4" t="str">
        <f>LEFT(base[[#This Row],[Evento / Mercado]],FIND("/",base[[#This Row],[Evento / Mercado]])-2)</f>
        <v>Aalborg BK vs Middelfart Boldklub</v>
      </c>
      <c r="T1800" s="1420">
        <f>base[[#This Row],[Data de liquidação]]</f>
        <v>46150.591782407406</v>
      </c>
    </row>
    <row r="1801" spans="2:20" ht="15" customHeight="1">
      <c r="B1801" s="786" t="s">
        <v>2142</v>
      </c>
      <c r="C1801" s="911" t="s">
        <v>3556</v>
      </c>
      <c r="D1801" s="1349">
        <v>46150.616712962961</v>
      </c>
      <c r="E1801" s="879">
        <v>-50</v>
      </c>
      <c r="F1801" s="408">
        <v>4.4999999999999998E-2</v>
      </c>
      <c r="G1801" s="453">
        <f t="shared" si="29"/>
        <v>-50</v>
      </c>
      <c r="H1801" s="453" t="s">
        <v>2148</v>
      </c>
      <c r="I1801" s="451" t="s">
        <v>1795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4" t="str">
        <f>LEFT(base[[#This Row],[Evento / Mercado]],FIND("/",base[[#This Row],[Evento / Mercado]])-2)</f>
        <v>KuPS vs SJK</v>
      </c>
      <c r="T1801" s="1420">
        <f>base[[#This Row],[Data de liquidação]]</f>
        <v>46150.616712962961</v>
      </c>
    </row>
    <row r="1802" spans="2:20" ht="15" customHeight="1">
      <c r="B1802" s="786" t="s">
        <v>2141</v>
      </c>
      <c r="C1802" s="911" t="s">
        <v>3556</v>
      </c>
      <c r="D1802" s="1349">
        <v>46150.619421296295</v>
      </c>
      <c r="E1802" s="879">
        <v>18.02</v>
      </c>
      <c r="F1802" s="408">
        <v>4.4999999999999998E-2</v>
      </c>
      <c r="G1802" s="453">
        <f t="shared" si="29"/>
        <v>18.869109947643981</v>
      </c>
      <c r="H1802" s="453" t="s">
        <v>2148</v>
      </c>
      <c r="I1802" s="451" t="s">
        <v>2149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4" t="str">
        <f>LEFT(base[[#This Row],[Evento / Mercado]],FIND("/",base[[#This Row],[Evento / Mercado]])-2)</f>
        <v>FC Hertha Wels vs SK Sturm Graz II</v>
      </c>
      <c r="T1802" s="1420">
        <f>base[[#This Row],[Data de liquidação]]</f>
        <v>46150.619421296295</v>
      </c>
    </row>
    <row r="1803" spans="2:20" ht="15" customHeight="1">
      <c r="B1803" s="786" t="s">
        <v>2140</v>
      </c>
      <c r="C1803" s="911" t="s">
        <v>3556</v>
      </c>
      <c r="D1803" s="1349">
        <v>46150.621539351851</v>
      </c>
      <c r="E1803" s="879">
        <v>2.0699999999999998</v>
      </c>
      <c r="F1803" s="408">
        <v>4.4999999999999998E-2</v>
      </c>
      <c r="G1803" s="453">
        <f t="shared" si="29"/>
        <v>2.1675392670157065</v>
      </c>
      <c r="H1803" s="417" t="s">
        <v>1666</v>
      </c>
      <c r="I1803" s="451" t="s">
        <v>1715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4" t="str">
        <f>LEFT(base[[#This Row],[Evento / Mercado]],FIND("/",base[[#This Row],[Evento / Mercado]])-2)</f>
        <v>Vojvodina vs FK Cukaricki</v>
      </c>
      <c r="T1803" s="1420">
        <f>base[[#This Row],[Data de liquidação]]</f>
        <v>46150.621539351851</v>
      </c>
    </row>
    <row r="1804" spans="2:20" ht="15" customHeight="1">
      <c r="B1804" s="786" t="s">
        <v>2139</v>
      </c>
      <c r="C1804" s="911" t="s">
        <v>3556</v>
      </c>
      <c r="D1804" s="1349">
        <v>46150.623564814814</v>
      </c>
      <c r="E1804" s="879">
        <v>12.24</v>
      </c>
      <c r="F1804" s="408">
        <v>4.4999999999999998E-2</v>
      </c>
      <c r="G1804" s="453">
        <f t="shared" si="29"/>
        <v>12.816753926701571</v>
      </c>
      <c r="H1804" s="453" t="s">
        <v>2148</v>
      </c>
      <c r="I1804" s="451" t="s">
        <v>2149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4" t="str">
        <f>LEFT(base[[#This Row],[Evento / Mercado]],FIND("/",base[[#This Row],[Evento / Mercado]])-2)</f>
        <v>Rakow Czestochowa vs Korona Kielce</v>
      </c>
      <c r="T1804" s="1420">
        <f>base[[#This Row],[Data de liquidação]]</f>
        <v>46150.623564814814</v>
      </c>
    </row>
    <row r="1805" spans="2:20" ht="15" customHeight="1">
      <c r="B1805" s="786" t="s">
        <v>2138</v>
      </c>
      <c r="C1805" s="911" t="s">
        <v>3556</v>
      </c>
      <c r="D1805" s="1349">
        <v>46150.628680555557</v>
      </c>
      <c r="E1805" s="879">
        <v>-3.74</v>
      </c>
      <c r="F1805" s="408">
        <v>4.4999999999999998E-2</v>
      </c>
      <c r="G1805" s="453">
        <f t="shared" si="29"/>
        <v>-3.74</v>
      </c>
      <c r="H1805" s="417" t="s">
        <v>1666</v>
      </c>
      <c r="I1805" s="451" t="s">
        <v>1558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4" t="str">
        <f>LEFT(base[[#This Row],[Evento / Mercado]],FIND("/",base[[#This Row],[Evento / Mercado]])-2)</f>
        <v>SC Paderborn 07 vs Karlsruher SC</v>
      </c>
      <c r="T1805" s="1420">
        <f>base[[#This Row],[Data de liquidação]]</f>
        <v>46150.628680555557</v>
      </c>
    </row>
    <row r="1806" spans="2:20" ht="15" customHeight="1">
      <c r="B1806" s="786" t="s">
        <v>2137</v>
      </c>
      <c r="C1806" s="911" t="s">
        <v>3556</v>
      </c>
      <c r="D1806" s="1349">
        <v>46150.647615740738</v>
      </c>
      <c r="E1806" s="879">
        <v>11.65</v>
      </c>
      <c r="F1806" s="408">
        <v>4.4999999999999998E-2</v>
      </c>
      <c r="G1806" s="453">
        <f t="shared" si="29"/>
        <v>12.198952879581153</v>
      </c>
      <c r="H1806" s="453" t="s">
        <v>2148</v>
      </c>
      <c r="I1806" s="451" t="s">
        <v>1795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4" t="str">
        <f>LEFT(base[[#This Row],[Evento / Mercado]],FIND("/",base[[#This Row],[Evento / Mercado]])-2)</f>
        <v>Borussia Dortmund vs Eintracht Frankfurt</v>
      </c>
      <c r="T1806" s="1420">
        <f>base[[#This Row],[Data de liquidação]]</f>
        <v>46150.647615740738</v>
      </c>
    </row>
    <row r="1807" spans="2:20" ht="15" customHeight="1">
      <c r="B1807" s="786" t="s">
        <v>2136</v>
      </c>
      <c r="C1807" s="911" t="s">
        <v>3556</v>
      </c>
      <c r="D1807" s="1349">
        <v>46150.660636574074</v>
      </c>
      <c r="E1807" s="879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4" t="str">
        <f>LEFT(base[[#This Row],[Evento / Mercado]],FIND("/",base[[#This Row],[Evento / Mercado]])-2)</f>
        <v>IF Elfsborg vs IF Brommapojkarna</v>
      </c>
      <c r="T1807" s="1420">
        <f>base[[#This Row],[Data de liquidação]]</f>
        <v>46150.660636574074</v>
      </c>
    </row>
    <row r="1808" spans="2:20" ht="15" customHeight="1">
      <c r="B1808" s="786" t="s">
        <v>2135</v>
      </c>
      <c r="C1808" s="911" t="s">
        <v>3556</v>
      </c>
      <c r="D1808" s="1349">
        <v>46150.662395833337</v>
      </c>
      <c r="E1808" s="879">
        <v>0.95</v>
      </c>
      <c r="F1808" s="408">
        <v>4.4999999999999998E-2</v>
      </c>
      <c r="G1808" s="453">
        <f t="shared" si="29"/>
        <v>0.99476439790575921</v>
      </c>
      <c r="H1808" s="417" t="s">
        <v>1666</v>
      </c>
      <c r="I1808" s="451" t="s">
        <v>1663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4" t="str">
        <f>LEFT(base[[#This Row],[Evento / Mercado]],FIND("/",base[[#This Row],[Evento / Mercado]])-2)</f>
        <v>Viborg FF vs SønderjyskE</v>
      </c>
      <c r="T1808" s="1420">
        <f>base[[#This Row],[Data de liquidação]]</f>
        <v>46150.662395833337</v>
      </c>
    </row>
    <row r="1809" spans="2:20" ht="15" customHeight="1">
      <c r="B1809" s="786" t="s">
        <v>2134</v>
      </c>
      <c r="C1809" s="911" t="s">
        <v>3556</v>
      </c>
      <c r="D1809" s="1349">
        <v>46150.664629629631</v>
      </c>
      <c r="E1809" s="879">
        <v>35.630000000000003</v>
      </c>
      <c r="F1809" s="408">
        <v>4.4999999999999998E-2</v>
      </c>
      <c r="G1809" s="453">
        <f t="shared" si="29"/>
        <v>37.308900523560212</v>
      </c>
      <c r="H1809" s="453" t="s">
        <v>2148</v>
      </c>
      <c r="I1809" s="451" t="s">
        <v>2149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4" t="str">
        <f>LEFT(base[[#This Row],[Evento / Mercado]],FIND("/",base[[#This Row],[Evento / Mercado]])-2)</f>
        <v>Hamarkameratene vs Vålerenga</v>
      </c>
      <c r="T1809" s="1420">
        <f>base[[#This Row],[Data de liquidação]]</f>
        <v>46150.664629629631</v>
      </c>
    </row>
    <row r="1810" spans="2:20" ht="15" customHeight="1">
      <c r="B1810" s="786" t="s">
        <v>2133</v>
      </c>
      <c r="C1810" s="911" t="s">
        <v>3556</v>
      </c>
      <c r="D1810" s="1349">
        <v>46150.664641203701</v>
      </c>
      <c r="E1810" s="879">
        <v>-3.37</v>
      </c>
      <c r="F1810" s="408">
        <v>4.4999999999999998E-2</v>
      </c>
      <c r="G1810" s="453">
        <f t="shared" si="29"/>
        <v>-3.37</v>
      </c>
      <c r="H1810" s="417" t="s">
        <v>1666</v>
      </c>
      <c r="I1810" s="451" t="s">
        <v>1558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4" t="str">
        <f>LEFT(base[[#This Row],[Evento / Mercado]],FIND("/",base[[#This Row],[Evento / Mercado]])-2)</f>
        <v>Hamarkameratene vs Vålerenga</v>
      </c>
      <c r="T1810" s="1420">
        <f>base[[#This Row],[Data de liquidação]]</f>
        <v>46150.664641203701</v>
      </c>
    </row>
    <row r="1811" spans="2:20" ht="15" customHeight="1">
      <c r="B1811" s="786" t="s">
        <v>2132</v>
      </c>
      <c r="C1811" s="911" t="s">
        <v>3556</v>
      </c>
      <c r="D1811" s="1349">
        <v>46150.665509259263</v>
      </c>
      <c r="E1811" s="879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4" t="str">
        <f>LEFT(base[[#This Row],[Evento / Mercado]],FIND("/",base[[#This Row],[Evento / Mercado]])-2)</f>
        <v>FC Erzgebirge Aue vs MSV Duisburg</v>
      </c>
      <c r="T1811" s="1420">
        <f>base[[#This Row],[Data de liquidação]]</f>
        <v>46150.665509259263</v>
      </c>
    </row>
    <row r="1812" spans="2:20" ht="15" customHeight="1">
      <c r="B1812" s="786" t="s">
        <v>2131</v>
      </c>
      <c r="C1812" s="911" t="s">
        <v>3556</v>
      </c>
      <c r="D1812" s="1349">
        <v>46150.672303240739</v>
      </c>
      <c r="E1812" s="879">
        <v>3.82</v>
      </c>
      <c r="F1812" s="408">
        <v>4.4999999999999998E-2</v>
      </c>
      <c r="G1812" s="453">
        <f t="shared" si="29"/>
        <v>4</v>
      </c>
      <c r="H1812" s="417" t="s">
        <v>1666</v>
      </c>
      <c r="I1812" s="451" t="s">
        <v>1558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4" t="str">
        <f>LEFT(base[[#This Row],[Evento / Mercado]],FIND("/",base[[#This Row],[Evento / Mercado]])-2)</f>
        <v>HNK Rijeka vs HNK Vukovar 1991</v>
      </c>
      <c r="T1812" s="1420">
        <f>base[[#This Row],[Data de liquidação]]</f>
        <v>46150.672303240739</v>
      </c>
    </row>
    <row r="1813" spans="2:20" ht="15" customHeight="1">
      <c r="B1813" s="786" t="s">
        <v>2130</v>
      </c>
      <c r="C1813" s="911" t="s">
        <v>3556</v>
      </c>
      <c r="D1813" s="1349">
        <v>46150.675891203704</v>
      </c>
      <c r="E1813" s="879">
        <v>3.82</v>
      </c>
      <c r="F1813" s="408">
        <v>4.4999999999999998E-2</v>
      </c>
      <c r="G1813" s="453">
        <f t="shared" si="29"/>
        <v>4</v>
      </c>
      <c r="H1813" s="417" t="s">
        <v>1666</v>
      </c>
      <c r="I1813" s="451" t="s">
        <v>1558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4" t="str">
        <f>LEFT(base[[#This Row],[Evento / Mercado]],FIND("/",base[[#This Row],[Evento / Mercado]])-2)</f>
        <v>Borussia Dortmund vs Eintracht Frankfurt</v>
      </c>
      <c r="T1813" s="1420">
        <f>base[[#This Row],[Data de liquidação]]</f>
        <v>46150.675891203704</v>
      </c>
    </row>
    <row r="1814" spans="2:20" ht="15" customHeight="1">
      <c r="B1814" s="786" t="s">
        <v>2129</v>
      </c>
      <c r="C1814" s="911" t="s">
        <v>3556</v>
      </c>
      <c r="D1814" s="1349">
        <v>46150.676076388889</v>
      </c>
      <c r="E1814" s="879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4" t="str">
        <f>LEFT(base[[#This Row],[Evento / Mercado]],FIND("/",base[[#This Row],[Evento / Mercado]])-2)</f>
        <v>Catanzaro vs Bari</v>
      </c>
      <c r="T1814" s="1420">
        <f>base[[#This Row],[Data de liquidação]]</f>
        <v>46150.676076388889</v>
      </c>
    </row>
    <row r="1815" spans="2:20" ht="15" customHeight="1">
      <c r="B1815" s="786" t="s">
        <v>2128</v>
      </c>
      <c r="C1815" s="911" t="s">
        <v>3556</v>
      </c>
      <c r="D1815" s="1349">
        <v>46150.68236111111</v>
      </c>
      <c r="E1815" s="879">
        <v>-50</v>
      </c>
      <c r="F1815" s="408">
        <v>4.4999999999999998E-2</v>
      </c>
      <c r="G1815" s="453">
        <f t="shared" si="29"/>
        <v>-50</v>
      </c>
      <c r="H1815" s="453" t="s">
        <v>2148</v>
      </c>
      <c r="I1815" s="451" t="s">
        <v>1795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4" t="str">
        <f>LEFT(base[[#This Row],[Evento / Mercado]],FIND("/",base[[#This Row],[Evento / Mercado]])-2)</f>
        <v>Lech Poznan vs Arka Gdynia</v>
      </c>
      <c r="T1815" s="1420">
        <f>base[[#This Row],[Data de liquidação]]</f>
        <v>46150.68236111111</v>
      </c>
    </row>
    <row r="1816" spans="2:20" ht="15" customHeight="1">
      <c r="B1816" s="786" t="s">
        <v>2127</v>
      </c>
      <c r="C1816" s="911" t="s">
        <v>3556</v>
      </c>
      <c r="D1816" s="1349">
        <v>46150.688437500001</v>
      </c>
      <c r="E1816" s="879">
        <v>-2</v>
      </c>
      <c r="F1816" s="408">
        <v>4.4999999999999998E-2</v>
      </c>
      <c r="G1816" s="453">
        <f t="shared" si="29"/>
        <v>-2</v>
      </c>
      <c r="H1816" s="417" t="s">
        <v>1666</v>
      </c>
      <c r="I1816" s="451" t="s">
        <v>1795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4" t="str">
        <f>LEFT(base[[#This Row],[Evento / Mercado]],FIND("/",base[[#This Row],[Evento / Mercado]])-2)</f>
        <v>RC Lens vs FC Nantes</v>
      </c>
      <c r="T1816" s="1420">
        <f>base[[#This Row],[Data de liquidação]]</f>
        <v>46150.688437500001</v>
      </c>
    </row>
    <row r="1817" spans="2:20" ht="15" customHeight="1">
      <c r="B1817" s="786" t="s">
        <v>2126</v>
      </c>
      <c r="C1817" s="911" t="s">
        <v>3556</v>
      </c>
      <c r="D1817" s="1349">
        <v>46150.704108796293</v>
      </c>
      <c r="E1817" s="879">
        <v>-1.53</v>
      </c>
      <c r="F1817" s="408">
        <v>4.4999999999999998E-2</v>
      </c>
      <c r="G1817" s="453">
        <f t="shared" si="29"/>
        <v>-1.53</v>
      </c>
      <c r="H1817" s="417" t="s">
        <v>1666</v>
      </c>
      <c r="I1817" s="451" t="s">
        <v>1558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4" t="str">
        <f>LEFT(base[[#This Row],[Evento / Mercado]],FIND("/",base[[#This Row],[Evento / Mercado]])-2)</f>
        <v>FC Sudtirol vs Juve Stabia</v>
      </c>
      <c r="T1817" s="1420">
        <f>base[[#This Row],[Data de liquidação]]</f>
        <v>46150.704108796293</v>
      </c>
    </row>
    <row r="1818" spans="2:20" ht="15" customHeight="1">
      <c r="B1818" s="786" t="s">
        <v>2125</v>
      </c>
      <c r="C1818" s="911" t="s">
        <v>3556</v>
      </c>
      <c r="D1818" s="1349">
        <v>46150.722418981481</v>
      </c>
      <c r="E1818" s="879">
        <v>1.91</v>
      </c>
      <c r="F1818" s="408">
        <v>4.4999999999999998E-2</v>
      </c>
      <c r="G1818" s="453">
        <f t="shared" si="29"/>
        <v>2</v>
      </c>
      <c r="H1818" s="417" t="s">
        <v>1666</v>
      </c>
      <c r="I1818" s="451" t="s">
        <v>1760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4" t="str">
        <f>LEFT(base[[#This Row],[Evento / Mercado]],FIND("/",base[[#This Row],[Evento / Mercado]])-2)</f>
        <v>Cádiz vs Deportivo La Coruña</v>
      </c>
      <c r="T1818" s="1420">
        <f>base[[#This Row],[Data de liquidação]]</f>
        <v>46150.722418981481</v>
      </c>
    </row>
    <row r="1819" spans="2:20" ht="15" customHeight="1">
      <c r="B1819" s="786" t="s">
        <v>2124</v>
      </c>
      <c r="C1819" s="911" t="s">
        <v>3556</v>
      </c>
      <c r="D1819" s="1349">
        <v>46150.72488425926</v>
      </c>
      <c r="E1819" s="879">
        <v>4.3499999999999996</v>
      </c>
      <c r="F1819" s="408">
        <v>4.4999999999999998E-2</v>
      </c>
      <c r="G1819" s="453">
        <f t="shared" si="29"/>
        <v>4.5549738219895284</v>
      </c>
      <c r="H1819" s="417" t="s">
        <v>1666</v>
      </c>
      <c r="I1819" s="451" t="s">
        <v>1715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4" t="str">
        <f>LEFT(base[[#This Row],[Evento / Mercado]],FIND("/",base[[#This Row],[Evento / Mercado]])-2)</f>
        <v>Borussia Dortmund vs Eintracht Frankfurt</v>
      </c>
      <c r="T1819" s="1420">
        <f>base[[#This Row],[Data de liquidação]]</f>
        <v>46150.72488425926</v>
      </c>
    </row>
    <row r="1820" spans="2:20" ht="15" customHeight="1">
      <c r="B1820" s="786" t="s">
        <v>1902</v>
      </c>
      <c r="C1820" s="911" t="s">
        <v>3556</v>
      </c>
      <c r="D1820" s="1349">
        <v>46150.728564814817</v>
      </c>
      <c r="E1820" s="879">
        <v>-5</v>
      </c>
      <c r="F1820" s="408">
        <v>4.4999999999999998E-2</v>
      </c>
      <c r="G1820" s="453">
        <f t="shared" si="29"/>
        <v>-5</v>
      </c>
      <c r="H1820" s="417" t="s">
        <v>1666</v>
      </c>
      <c r="I1820" s="451" t="s">
        <v>1716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4" t="str">
        <f>LEFT(base[[#This Row],[Evento / Mercado]],FIND("/",base[[#This Row],[Evento / Mercado]])-2)</f>
        <v>Venezia vs Palermo</v>
      </c>
      <c r="T1820" s="1420">
        <f>base[[#This Row],[Data de liquidação]]</f>
        <v>46150.728564814817</v>
      </c>
    </row>
    <row r="1821" spans="2:20" ht="15" customHeight="1">
      <c r="B1821" s="786" t="s">
        <v>2123</v>
      </c>
      <c r="C1821" s="911" t="s">
        <v>3556</v>
      </c>
      <c r="D1821" s="1349">
        <v>46150.72859953704</v>
      </c>
      <c r="E1821" s="879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4" t="str">
        <f>LEFT(base[[#This Row],[Evento / Mercado]],FIND("/",base[[#This Row],[Evento / Mercado]])-2)</f>
        <v>Venezia vs Palermo</v>
      </c>
      <c r="T1821" s="1420">
        <f>base[[#This Row],[Data de liquidação]]</f>
        <v>46150.72859953704</v>
      </c>
    </row>
    <row r="1822" spans="2:20" ht="15" customHeight="1">
      <c r="B1822" s="786" t="s">
        <v>2122</v>
      </c>
      <c r="C1822" s="911" t="s">
        <v>3556</v>
      </c>
      <c r="D1822" s="1349">
        <v>46150.728831018518</v>
      </c>
      <c r="E1822" s="879">
        <v>2.99</v>
      </c>
      <c r="F1822" s="408">
        <v>4.4999999999999998E-2</v>
      </c>
      <c r="G1822" s="453">
        <f t="shared" si="29"/>
        <v>3.1308900523560212</v>
      </c>
      <c r="H1822" s="417" t="s">
        <v>1666</v>
      </c>
      <c r="I1822" s="451" t="s">
        <v>1715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4" t="str">
        <f>LEFT(base[[#This Row],[Evento / Mercado]],FIND("/",base[[#This Row],[Evento / Mercado]])-2)</f>
        <v>Monza vs Empoli</v>
      </c>
      <c r="T1822" s="1420">
        <f>base[[#This Row],[Data de liquidação]]</f>
        <v>46150.728831018518</v>
      </c>
    </row>
    <row r="1823" spans="2:20" ht="15" customHeight="1">
      <c r="B1823" s="786" t="s">
        <v>2121</v>
      </c>
      <c r="C1823" s="911" t="s">
        <v>3556</v>
      </c>
      <c r="D1823" s="1349">
        <v>46150.729409722226</v>
      </c>
      <c r="E1823" s="879">
        <v>2.63</v>
      </c>
      <c r="F1823" s="408">
        <v>4.4999999999999998E-2</v>
      </c>
      <c r="G1823" s="453">
        <f t="shared" si="29"/>
        <v>2.7539267015706805</v>
      </c>
      <c r="H1823" s="417" t="s">
        <v>1666</v>
      </c>
      <c r="I1823" s="451" t="s">
        <v>1777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4" t="str">
        <f>LEFT(base[[#This Row],[Evento / Mercado]],FIND("/",base[[#This Row],[Evento / Mercado]])-2)</f>
        <v>FC Sudtirol vs Juve Stabia</v>
      </c>
      <c r="T1823" s="1420">
        <f>base[[#This Row],[Data de liquidação]]</f>
        <v>46150.729409722226</v>
      </c>
    </row>
    <row r="1824" spans="2:20" ht="15" customHeight="1">
      <c r="B1824" s="786" t="s">
        <v>2120</v>
      </c>
      <c r="C1824" s="911" t="s">
        <v>3556</v>
      </c>
      <c r="D1824" s="1349">
        <v>46150.729456018518</v>
      </c>
      <c r="E1824" s="879">
        <v>2.5099999999999998</v>
      </c>
      <c r="F1824" s="408">
        <v>4.4999999999999998E-2</v>
      </c>
      <c r="G1824" s="453">
        <f t="shared" si="29"/>
        <v>2.6282722513089003</v>
      </c>
      <c r="H1824" s="417" t="s">
        <v>1666</v>
      </c>
      <c r="I1824" s="451" t="s">
        <v>1715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4" t="str">
        <f>LEFT(base[[#This Row],[Evento / Mercado]],FIND("/",base[[#This Row],[Evento / Mercado]])-2)</f>
        <v>FC Sudtirol vs Juve Stabia</v>
      </c>
      <c r="T1824" s="1420">
        <f>base[[#This Row],[Data de liquidação]]</f>
        <v>46150.729456018518</v>
      </c>
    </row>
    <row r="1825" spans="2:22" ht="15" customHeight="1">
      <c r="B1825" s="786" t="s">
        <v>2119</v>
      </c>
      <c r="C1825" s="911" t="s">
        <v>3556</v>
      </c>
      <c r="D1825" s="1349">
        <v>46150.730497685188</v>
      </c>
      <c r="E1825" s="879">
        <v>2.39</v>
      </c>
      <c r="F1825" s="408">
        <v>4.4999999999999998E-2</v>
      </c>
      <c r="G1825" s="453">
        <f t="shared" si="29"/>
        <v>2.5026178010471205</v>
      </c>
      <c r="H1825" s="417" t="s">
        <v>1666</v>
      </c>
      <c r="I1825" s="451" t="s">
        <v>1759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4" t="str">
        <f>LEFT(base[[#This Row],[Evento / Mercado]],FIND("/",base[[#This Row],[Evento / Mercado]])-2)</f>
        <v>Pescara vs Spezia</v>
      </c>
      <c r="T1825" s="1420">
        <f>base[[#This Row],[Data de liquidação]]</f>
        <v>46150.730497685188</v>
      </c>
    </row>
    <row r="1826" spans="2:22" ht="15" customHeight="1">
      <c r="B1826" s="786" t="s">
        <v>2118</v>
      </c>
      <c r="C1826" s="911" t="s">
        <v>3556</v>
      </c>
      <c r="D1826" s="1349">
        <v>46150.731030092589</v>
      </c>
      <c r="E1826" s="879">
        <v>61.72</v>
      </c>
      <c r="F1826" s="408">
        <v>4.4999999999999998E-2</v>
      </c>
      <c r="G1826" s="453">
        <f t="shared" si="29"/>
        <v>64.6282722513089</v>
      </c>
      <c r="H1826" s="453" t="s">
        <v>179</v>
      </c>
      <c r="I1826" s="451" t="s">
        <v>392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2150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4" t="str">
        <f>LEFT(base[[#This Row],[Evento / Mercado]],FIND("/",base[[#This Row],[Evento / Mercado]])-2)</f>
        <v>Lech Poznan vs Arka Gdynia</v>
      </c>
      <c r="T1826" s="1420">
        <f>base[[#This Row],[Data de liquidação]]</f>
        <v>46150.731030092589</v>
      </c>
    </row>
    <row r="1827" spans="2:22" ht="15" customHeight="1">
      <c r="B1827" s="786" t="s">
        <v>2117</v>
      </c>
      <c r="C1827" s="911" t="s">
        <v>3556</v>
      </c>
      <c r="D1827" s="1349">
        <v>46150.735023148147</v>
      </c>
      <c r="E1827" s="879">
        <v>0.84</v>
      </c>
      <c r="F1827" s="408">
        <v>4.4999999999999998E-2</v>
      </c>
      <c r="G1827" s="453">
        <f t="shared" si="29"/>
        <v>0.87958115183246077</v>
      </c>
      <c r="H1827" s="417" t="s">
        <v>1666</v>
      </c>
      <c r="I1827" s="451" t="s">
        <v>1663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4" t="str">
        <f>LEFT(base[[#This Row],[Evento / Mercado]],FIND("/",base[[#This Row],[Evento / Mercado]])-2)</f>
        <v>RC Lens vs FC Nantes</v>
      </c>
      <c r="T1827" s="1420">
        <f>base[[#This Row],[Data de liquidação]]</f>
        <v>46150.735023148147</v>
      </c>
    </row>
    <row r="1828" spans="2:22" ht="15" customHeight="1">
      <c r="B1828" s="786" t="s">
        <v>1899</v>
      </c>
      <c r="C1828" s="911" t="s">
        <v>3556</v>
      </c>
      <c r="D1828" s="1349">
        <v>46150.735046296293</v>
      </c>
      <c r="E1828" s="879">
        <v>3.9823499999999998</v>
      </c>
      <c r="F1828" s="408">
        <v>4.4999999999999998E-2</v>
      </c>
      <c r="G1828" s="453">
        <f t="shared" si="29"/>
        <v>4.17</v>
      </c>
      <c r="H1828" s="417" t="s">
        <v>1666</v>
      </c>
      <c r="I1828" s="451" t="s">
        <v>1717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4" t="str">
        <f>LEFT(base[[#This Row],[Evento / Mercado]],FIND("/",base[[#This Row],[Evento / Mercado]])-2)</f>
        <v>RC Lens vs FC Nantes</v>
      </c>
      <c r="T1828" s="142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86" t="s">
        <v>1899</v>
      </c>
      <c r="C1829" s="911" t="s">
        <v>3556</v>
      </c>
      <c r="D1829" s="1349">
        <v>46150.735046296293</v>
      </c>
      <c r="E1829" s="879">
        <v>22.919999999999998</v>
      </c>
      <c r="F1829" s="408">
        <v>4.4999999999999998E-2</v>
      </c>
      <c r="G1829" s="453">
        <f t="shared" si="29"/>
        <v>24</v>
      </c>
      <c r="H1829" s="453" t="s">
        <v>2148</v>
      </c>
      <c r="I1829" s="451" t="s">
        <v>2151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4" t="str">
        <f>LEFT(base[[#This Row],[Evento / Mercado]],FIND("/",base[[#This Row],[Evento / Mercado]])-2)</f>
        <v>RC Lens vs FC Nantes</v>
      </c>
      <c r="T1829" s="142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86" t="s">
        <v>1899</v>
      </c>
      <c r="C1830" s="911" t="s">
        <v>3556</v>
      </c>
      <c r="D1830" s="1349">
        <v>46150.735046296293</v>
      </c>
      <c r="E1830" s="879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392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1208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4" t="str">
        <f>LEFT(base[[#This Row],[Evento / Mercado]],FIND("/",base[[#This Row],[Evento / Mercado]])-2)</f>
        <v>RC Lens vs FC Nantes</v>
      </c>
      <c r="T1830" s="142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86" t="s">
        <v>2116</v>
      </c>
      <c r="C1831" s="911" t="s">
        <v>3556</v>
      </c>
      <c r="D1831" s="1349">
        <v>46150.737187500003</v>
      </c>
      <c r="E1831" s="879">
        <v>2.39</v>
      </c>
      <c r="F1831" s="408">
        <v>4.4999999999999998E-2</v>
      </c>
      <c r="G1831" s="453">
        <f t="shared" si="29"/>
        <v>2.5026178010471205</v>
      </c>
      <c r="H1831" s="417" t="s">
        <v>1666</v>
      </c>
      <c r="I1831" s="451" t="s">
        <v>1715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4" t="str">
        <f>LEFT(base[[#This Row],[Evento / Mercado]],FIND("/",base[[#This Row],[Evento / Mercado]])-2)</f>
        <v>Standard de Liège vs Oud-Heverlee Leuven</v>
      </c>
      <c r="T1831" s="1420">
        <f>base[[#This Row],[Data de liquidação]]</f>
        <v>46150.737187500003</v>
      </c>
    </row>
    <row r="1832" spans="2:22" ht="15" customHeight="1">
      <c r="B1832" s="786" t="s">
        <v>2115</v>
      </c>
      <c r="C1832" s="911" t="s">
        <v>3556</v>
      </c>
      <c r="D1832" s="1349">
        <v>46150.745173611111</v>
      </c>
      <c r="E1832" s="879">
        <v>31.55</v>
      </c>
      <c r="F1832" s="408">
        <v>4.4999999999999998E-2</v>
      </c>
      <c r="G1832" s="453">
        <f t="shared" si="29"/>
        <v>33.03664921465969</v>
      </c>
      <c r="H1832" s="453" t="s">
        <v>179</v>
      </c>
      <c r="I1832" s="451" t="s">
        <v>392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2152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4" t="str">
        <f>LEFT(base[[#This Row],[Evento / Mercado]],FIND("/",base[[#This Row],[Evento / Mercado]])-2)</f>
        <v>St. Patrick's Athletic vs Waterford FC</v>
      </c>
      <c r="T1832" s="1420">
        <f>base[[#This Row],[Data de liquidação]]</f>
        <v>46150.745173611111</v>
      </c>
    </row>
    <row r="1833" spans="2:22" ht="15" customHeight="1">
      <c r="B1833" s="786" t="s">
        <v>2227</v>
      </c>
      <c r="C1833" s="911" t="s">
        <v>3556</v>
      </c>
      <c r="D1833" s="1349">
        <v>46151.007662037038</v>
      </c>
      <c r="E1833" s="879">
        <v>9.5500000000000007</v>
      </c>
      <c r="F1833" s="408">
        <v>4.4999999999999998E-2</v>
      </c>
      <c r="G1833" s="453">
        <f t="shared" si="29"/>
        <v>10.000000000000002</v>
      </c>
      <c r="H1833" s="453" t="s">
        <v>2148</v>
      </c>
      <c r="I1833" s="451" t="s">
        <v>2149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4" t="str">
        <f>LEFT(base[[#This Row],[Evento / Mercado]],FIND("/",base[[#This Row],[Evento / Mercado]])-2)</f>
        <v>Colorado Springs Switchbacks FC vs Orange County SC</v>
      </c>
      <c r="T1833" s="1420">
        <f>base[[#This Row],[Data de liquidação]]</f>
        <v>46151.007662037038</v>
      </c>
    </row>
    <row r="1834" spans="2:22" ht="15" customHeight="1">
      <c r="B1834" s="786" t="s">
        <v>2226</v>
      </c>
      <c r="C1834" s="911" t="s">
        <v>3556</v>
      </c>
      <c r="D1834" s="1349">
        <v>46151.367002314815</v>
      </c>
      <c r="E1834" s="879">
        <v>3.82</v>
      </c>
      <c r="F1834" s="408">
        <v>4.4999999999999998E-2</v>
      </c>
      <c r="G1834" s="453">
        <f t="shared" si="29"/>
        <v>4</v>
      </c>
      <c r="H1834" s="417" t="s">
        <v>1666</v>
      </c>
      <c r="I1834" s="451" t="s">
        <v>1558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4" t="str">
        <f>LEFT(base[[#This Row],[Evento / Mercado]],FIND("/",base[[#This Row],[Evento / Mercado]])-2)</f>
        <v>Holstein Kiel vs 1. FC Magdeburg</v>
      </c>
      <c r="T1834" s="1420">
        <f>base[[#This Row],[Data de liquidação]]</f>
        <v>46151.367002314815</v>
      </c>
    </row>
    <row r="1835" spans="2:22" ht="15" customHeight="1">
      <c r="B1835" s="786" t="s">
        <v>2225</v>
      </c>
      <c r="C1835" s="911" t="s">
        <v>3556</v>
      </c>
      <c r="D1835" s="1349">
        <v>46151.36755787037</v>
      </c>
      <c r="E1835" s="879">
        <v>-50</v>
      </c>
      <c r="F1835" s="408">
        <v>4.4999999999999998E-2</v>
      </c>
      <c r="G1835" s="453">
        <f t="shared" si="29"/>
        <v>-50</v>
      </c>
      <c r="H1835" s="453" t="s">
        <v>2148</v>
      </c>
      <c r="I1835" s="451" t="s">
        <v>1795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4" t="str">
        <f>LEFT(base[[#This Row],[Evento / Mercado]],FIND("/",base[[#This Row],[Evento / Mercado]])-2)</f>
        <v>VfL Bochum vs Hannover 96</v>
      </c>
      <c r="T1835" s="1420">
        <f>base[[#This Row],[Data de liquidação]]</f>
        <v>46151.36755787037</v>
      </c>
    </row>
    <row r="1836" spans="2:22" ht="15" customHeight="1">
      <c r="B1836" s="786" t="s">
        <v>2224</v>
      </c>
      <c r="C1836" s="911" t="s">
        <v>3556</v>
      </c>
      <c r="D1836" s="1349">
        <v>46151.367592592593</v>
      </c>
      <c r="E1836" s="879">
        <v>-50</v>
      </c>
      <c r="F1836" s="408">
        <v>4.4999999999999998E-2</v>
      </c>
      <c r="G1836" s="453">
        <f t="shared" si="29"/>
        <v>-50</v>
      </c>
      <c r="H1836" s="453" t="s">
        <v>2148</v>
      </c>
      <c r="I1836" s="451" t="s">
        <v>1795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4" t="str">
        <f>LEFT(base[[#This Row],[Evento / Mercado]],FIND("/",base[[#This Row],[Evento / Mercado]])-2)</f>
        <v>Östersunds FK vs Falkenbergs FF</v>
      </c>
      <c r="T1836" s="1420">
        <f>base[[#This Row],[Data de liquidação]]</f>
        <v>46151.367592592593</v>
      </c>
    </row>
    <row r="1837" spans="2:22" ht="15" customHeight="1">
      <c r="B1837" s="786" t="s">
        <v>2223</v>
      </c>
      <c r="C1837" s="911" t="s">
        <v>3556</v>
      </c>
      <c r="D1837" s="1349">
        <v>46151.382962962962</v>
      </c>
      <c r="E1837" s="879">
        <v>12.89</v>
      </c>
      <c r="F1837" s="408">
        <v>4.4999999999999998E-2</v>
      </c>
      <c r="G1837" s="453">
        <f t="shared" si="29"/>
        <v>13.497382198952881</v>
      </c>
      <c r="H1837" s="453" t="s">
        <v>2148</v>
      </c>
      <c r="I1837" s="451" t="s">
        <v>1795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4" t="str">
        <f>LEFT(base[[#This Row],[Evento / Mercado]],FIND("/",base[[#This Row],[Evento / Mercado]])-2)</f>
        <v>Tallinna FC Levadia vs Harju JK Laagri</v>
      </c>
      <c r="T1837" s="1420">
        <f>base[[#This Row],[Data de liquidação]]</f>
        <v>46151.382962962962</v>
      </c>
    </row>
    <row r="1838" spans="2:22" ht="15" customHeight="1">
      <c r="B1838" s="786" t="s">
        <v>2222</v>
      </c>
      <c r="C1838" s="911" t="s">
        <v>3556</v>
      </c>
      <c r="D1838" s="1349">
        <v>46151.406747685185</v>
      </c>
      <c r="E1838" s="879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4" t="str">
        <f>LEFT(base[[#This Row],[Evento / Mercado]],FIND("/",base[[#This Row],[Evento / Mercado]])-2)</f>
        <v>Energie Cottbus vs SV Wehen Wiesbaden</v>
      </c>
      <c r="T1838" s="1420">
        <f>base[[#This Row],[Data de liquidação]]</f>
        <v>46151.406747685185</v>
      </c>
    </row>
    <row r="1839" spans="2:22" ht="15" customHeight="1">
      <c r="B1839" s="786" t="s">
        <v>2221</v>
      </c>
      <c r="C1839" s="911" t="s">
        <v>3556</v>
      </c>
      <c r="D1839" s="1349">
        <v>46151.431527777779</v>
      </c>
      <c r="E1839" s="879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4" t="str">
        <f>LEFT(base[[#This Row],[Evento / Mercado]],FIND("/",base[[#This Row],[Evento / Mercado]])-2)</f>
        <v>Middlesbrough vs Southampton</v>
      </c>
      <c r="T1839" s="1420">
        <f>base[[#This Row],[Data de liquidação]]</f>
        <v>46151.431527777779</v>
      </c>
    </row>
    <row r="1840" spans="2:22" ht="15" customHeight="1">
      <c r="B1840" s="786" t="s">
        <v>2220</v>
      </c>
      <c r="C1840" s="911" t="s">
        <v>3556</v>
      </c>
      <c r="D1840" s="1349">
        <v>46151.435624999998</v>
      </c>
      <c r="E1840" s="879">
        <v>10.61</v>
      </c>
      <c r="F1840" s="408">
        <v>4.4999999999999998E-2</v>
      </c>
      <c r="G1840" s="453">
        <f t="shared" si="29"/>
        <v>11.109947643979057</v>
      </c>
      <c r="H1840" s="453" t="s">
        <v>2148</v>
      </c>
      <c r="I1840" s="451" t="s">
        <v>1795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4" t="str">
        <f>LEFT(base[[#This Row],[Evento / Mercado]],FIND("/",base[[#This Row],[Evento / Mercado]])-2)</f>
        <v>NK Bravo vs NK Radomlje</v>
      </c>
      <c r="T1840" s="1420">
        <f>base[[#This Row],[Data de liquidação]]</f>
        <v>46151.435624999998</v>
      </c>
    </row>
    <row r="1841" spans="2:20" ht="15" customHeight="1">
      <c r="B1841" s="786" t="s">
        <v>2219</v>
      </c>
      <c r="C1841" s="911" t="s">
        <v>3556</v>
      </c>
      <c r="D1841" s="1349">
        <v>46151.438668981478</v>
      </c>
      <c r="E1841" s="879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4" t="str">
        <f>LEFT(base[[#This Row],[Evento / Mercado]],FIND("/",base[[#This Row],[Evento / Mercado]])-2)</f>
        <v>Elche CF vs Deportivo Alaves</v>
      </c>
      <c r="T1841" s="1420">
        <f>base[[#This Row],[Data de liquidação]]</f>
        <v>46151.438668981478</v>
      </c>
    </row>
    <row r="1842" spans="2:20" ht="15" customHeight="1">
      <c r="B1842" s="786" t="s">
        <v>2218</v>
      </c>
      <c r="C1842" s="911" t="s">
        <v>3556</v>
      </c>
      <c r="D1842" s="1349">
        <v>46151.448379629626</v>
      </c>
      <c r="E1842" s="879">
        <v>-50</v>
      </c>
      <c r="F1842" s="408">
        <v>4.4999999999999998E-2</v>
      </c>
      <c r="G1842" s="453">
        <f t="shared" si="29"/>
        <v>-50</v>
      </c>
      <c r="H1842" s="453" t="s">
        <v>2148</v>
      </c>
      <c r="I1842" s="451" t="s">
        <v>1795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4" t="str">
        <f>LEFT(base[[#This Row],[Evento / Mercado]],FIND("/",base[[#This Row],[Evento / Mercado]])-2)</f>
        <v>Västerås SK FK vs GAIS</v>
      </c>
      <c r="T1842" s="1420">
        <f>base[[#This Row],[Data de liquidação]]</f>
        <v>46151.448379629626</v>
      </c>
    </row>
    <row r="1843" spans="2:20" ht="15" customHeight="1">
      <c r="B1843" s="786" t="s">
        <v>2217</v>
      </c>
      <c r="C1843" s="911" t="s">
        <v>3556</v>
      </c>
      <c r="D1843" s="1349">
        <v>46151.456550925926</v>
      </c>
      <c r="E1843" s="879">
        <v>7.7</v>
      </c>
      <c r="F1843" s="408">
        <v>4.4999999999999998E-2</v>
      </c>
      <c r="G1843" s="453">
        <f t="shared" si="29"/>
        <v>8.0628272251308903</v>
      </c>
      <c r="H1843" s="453" t="s">
        <v>2148</v>
      </c>
      <c r="I1843" s="451" t="s">
        <v>2149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4" t="str">
        <f>LEFT(base[[#This Row],[Evento / Mercado]],FIND("/",base[[#This Row],[Evento / Mercado]])-2)</f>
        <v>Chengdu Rongcheng vs Henan Songshan Longmen</v>
      </c>
      <c r="T1843" s="1420">
        <f>base[[#This Row],[Data de liquidação]]</f>
        <v>46151.456550925926</v>
      </c>
    </row>
    <row r="1844" spans="2:20" ht="15" customHeight="1">
      <c r="B1844" s="786" t="s">
        <v>2216</v>
      </c>
      <c r="C1844" s="911" t="s">
        <v>3556</v>
      </c>
      <c r="D1844" s="1349">
        <v>46151.462418981479</v>
      </c>
      <c r="E1844" s="879">
        <v>0.93</v>
      </c>
      <c r="F1844" s="408">
        <v>4.4999999999999998E-2</v>
      </c>
      <c r="G1844" s="453">
        <f t="shared" si="29"/>
        <v>0.97382198952879595</v>
      </c>
      <c r="H1844" s="417" t="s">
        <v>1666</v>
      </c>
      <c r="I1844" s="451" t="s">
        <v>1663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4" t="str">
        <f>LEFT(base[[#This Row],[Evento / Mercado]],FIND("/",base[[#This Row],[Evento / Mercado]])-2)</f>
        <v>AD Ceuta FC vs CD Castellon</v>
      </c>
      <c r="T1844" s="1420">
        <f>base[[#This Row],[Data de liquidação]]</f>
        <v>46151.462418981479</v>
      </c>
    </row>
    <row r="1845" spans="2:20" ht="15" customHeight="1">
      <c r="B1845" s="786" t="s">
        <v>2215</v>
      </c>
      <c r="C1845" s="911" t="s">
        <v>3556</v>
      </c>
      <c r="D1845" s="1349">
        <v>46151.467418981483</v>
      </c>
      <c r="E1845" s="879">
        <v>3.82</v>
      </c>
      <c r="F1845" s="408">
        <v>4.4999999999999998E-2</v>
      </c>
      <c r="G1845" s="453">
        <f t="shared" si="29"/>
        <v>4</v>
      </c>
      <c r="H1845" s="417" t="s">
        <v>1666</v>
      </c>
      <c r="I1845" s="451" t="s">
        <v>1558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4" t="str">
        <f>LEFT(base[[#This Row],[Evento / Mercado]],FIND("/",base[[#This Row],[Evento / Mercado]])-2)</f>
        <v>FC Augsburg vs Borussia Mönchengladbach</v>
      </c>
      <c r="T1845" s="1420">
        <f>base[[#This Row],[Data de liquidação]]</f>
        <v>46151.467418981483</v>
      </c>
    </row>
    <row r="1846" spans="2:20" ht="15" customHeight="1">
      <c r="B1846" s="786" t="s">
        <v>2214</v>
      </c>
      <c r="C1846" s="911" t="s">
        <v>3556</v>
      </c>
      <c r="D1846" s="1349">
        <v>46151.469872685186</v>
      </c>
      <c r="E1846" s="879">
        <v>1.18</v>
      </c>
      <c r="F1846" s="408">
        <v>4.4999999999999998E-2</v>
      </c>
      <c r="G1846" s="453">
        <f t="shared" si="29"/>
        <v>1.2356020942408377</v>
      </c>
      <c r="H1846" s="417" t="s">
        <v>1666</v>
      </c>
      <c r="I1846" s="451" t="s">
        <v>1795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4" t="str">
        <f>LEFT(base[[#This Row],[Evento / Mercado]],FIND("/",base[[#This Row],[Evento / Mercado]])-2)</f>
        <v>RB Leipzig vs FC St. Pauli</v>
      </c>
      <c r="T1846" s="1420">
        <f>base[[#This Row],[Data de liquidação]]</f>
        <v>46151.469872685186</v>
      </c>
    </row>
    <row r="1847" spans="2:20" ht="15" customHeight="1">
      <c r="B1847" s="786" t="s">
        <v>2213</v>
      </c>
      <c r="C1847" s="911" t="s">
        <v>3556</v>
      </c>
      <c r="D1847" s="1349">
        <v>46151.476400462961</v>
      </c>
      <c r="E1847" s="879">
        <v>14.92</v>
      </c>
      <c r="F1847" s="408">
        <v>4.4999999999999998E-2</v>
      </c>
      <c r="G1847" s="453">
        <f t="shared" si="29"/>
        <v>15.62303664921466</v>
      </c>
      <c r="H1847" s="453" t="s">
        <v>2148</v>
      </c>
      <c r="I1847" s="451" t="s">
        <v>1795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4" t="str">
        <f>LEFT(base[[#This Row],[Evento / Mercado]],FIND("/",base[[#This Row],[Evento / Mercado]])-2)</f>
        <v>Dinamo Zagreb vs Hajduk Split</v>
      </c>
      <c r="T1847" s="1420">
        <f>base[[#This Row],[Data de liquidação]]</f>
        <v>46151.476400462961</v>
      </c>
    </row>
    <row r="1848" spans="2:20" ht="15" customHeight="1">
      <c r="B1848" s="786" t="s">
        <v>2212</v>
      </c>
      <c r="C1848" s="911" t="s">
        <v>3556</v>
      </c>
      <c r="D1848" s="1349">
        <v>46151.511840277781</v>
      </c>
      <c r="E1848" s="879">
        <v>-50</v>
      </c>
      <c r="F1848" s="408">
        <v>4.4999999999999998E-2</v>
      </c>
      <c r="G1848" s="453">
        <f t="shared" si="29"/>
        <v>-50</v>
      </c>
      <c r="H1848" s="453" t="s">
        <v>2148</v>
      </c>
      <c r="I1848" s="451" t="s">
        <v>1795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4" t="str">
        <f>LEFT(base[[#This Row],[Evento / Mercado]],FIND("/",base[[#This Row],[Evento / Mercado]])-2)</f>
        <v>Willem II vs RKC Waalwijk</v>
      </c>
      <c r="T1848" s="1420">
        <f>base[[#This Row],[Data de liquidação]]</f>
        <v>46151.511840277781</v>
      </c>
    </row>
    <row r="1849" spans="2:20" ht="15" customHeight="1">
      <c r="B1849" s="786" t="s">
        <v>2211</v>
      </c>
      <c r="C1849" s="911" t="s">
        <v>3556</v>
      </c>
      <c r="D1849" s="1349">
        <v>46151.515104166669</v>
      </c>
      <c r="E1849" s="879">
        <v>1.05</v>
      </c>
      <c r="F1849" s="408">
        <v>4.4999999999999998E-2</v>
      </c>
      <c r="G1849" s="453">
        <f t="shared" si="29"/>
        <v>1.0994764397905761</v>
      </c>
      <c r="H1849" s="417" t="s">
        <v>1666</v>
      </c>
      <c r="I1849" s="451" t="s">
        <v>1663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4" t="str">
        <f>LEFT(base[[#This Row],[Evento / Mercado]],FIND("/",base[[#This Row],[Evento / Mercado]])-2)</f>
        <v>FC Augsburg vs Borussia Mönchengladbach</v>
      </c>
      <c r="T1849" s="1420">
        <f>base[[#This Row],[Data de liquidação]]</f>
        <v>46151.515104166669</v>
      </c>
    </row>
    <row r="1850" spans="2:20" ht="15" customHeight="1">
      <c r="B1850" s="786" t="s">
        <v>2210</v>
      </c>
      <c r="C1850" s="911" t="s">
        <v>3556</v>
      </c>
      <c r="D1850" s="1349">
        <v>46151.516562500001</v>
      </c>
      <c r="E1850" s="879">
        <v>3.41</v>
      </c>
      <c r="F1850" s="408">
        <v>4.4999999999999998E-2</v>
      </c>
      <c r="G1850" s="453">
        <f t="shared" si="29"/>
        <v>3.5706806282722514</v>
      </c>
      <c r="H1850" s="417" t="s">
        <v>1666</v>
      </c>
      <c r="I1850" s="451" t="s">
        <v>1715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4" t="str">
        <f>LEFT(base[[#This Row],[Evento / Mercado]],FIND("/",base[[#This Row],[Evento / Mercado]])-2)</f>
        <v>FC Augsburg vs Borussia Mönchengladbach</v>
      </c>
      <c r="T1850" s="1420">
        <f>base[[#This Row],[Data de liquidação]]</f>
        <v>46151.516562500001</v>
      </c>
    </row>
    <row r="1851" spans="2:20" ht="15" customHeight="1">
      <c r="B1851" s="786" t="s">
        <v>2209</v>
      </c>
      <c r="C1851" s="911" t="s">
        <v>3556</v>
      </c>
      <c r="D1851" s="1349">
        <v>46151.516701388886</v>
      </c>
      <c r="E1851" s="879">
        <v>17.690000000000001</v>
      </c>
      <c r="F1851" s="408">
        <v>4.4999999999999998E-2</v>
      </c>
      <c r="G1851" s="453">
        <f t="shared" si="29"/>
        <v>18.523560209424087</v>
      </c>
      <c r="H1851" s="453" t="s">
        <v>2148</v>
      </c>
      <c r="I1851" s="451" t="s">
        <v>2149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4" t="str">
        <f>LEFT(base[[#This Row],[Evento / Mercado]],FIND("/",base[[#This Row],[Evento / Mercado]])-2)</f>
        <v>FC Augsburg vs Borussia Mönchengladbach</v>
      </c>
      <c r="T1851" s="1420">
        <f>base[[#This Row],[Data de liquidação]]</f>
        <v>46151.516701388886</v>
      </c>
    </row>
    <row r="1852" spans="2:20" ht="15" customHeight="1">
      <c r="B1852" s="786" t="s">
        <v>2208</v>
      </c>
      <c r="C1852" s="911" t="s">
        <v>3556</v>
      </c>
      <c r="D1852" s="1349">
        <v>46151.518935185188</v>
      </c>
      <c r="E1852" s="879">
        <v>3.72</v>
      </c>
      <c r="F1852" s="408">
        <v>4.4999999999999998E-2</v>
      </c>
      <c r="G1852" s="453">
        <f t="shared" si="29"/>
        <v>3.8952879581151838</v>
      </c>
      <c r="H1852" s="417" t="s">
        <v>1666</v>
      </c>
      <c r="I1852" s="451" t="s">
        <v>1716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4" t="str">
        <f>LEFT(base[[#This Row],[Evento / Mercado]],FIND("/",base[[#This Row],[Evento / Mercado]])-2)</f>
        <v>1899 Hoffenheim vs Werder Bremen</v>
      </c>
      <c r="T1852" s="1420">
        <f>base[[#This Row],[Data de liquidação]]</f>
        <v>46151.518935185188</v>
      </c>
    </row>
    <row r="1853" spans="2:20" ht="15" customHeight="1">
      <c r="B1853" s="786" t="s">
        <v>2207</v>
      </c>
      <c r="C1853" s="911" t="s">
        <v>3556</v>
      </c>
      <c r="D1853" s="1349">
        <v>46151.526238425926</v>
      </c>
      <c r="E1853" s="879">
        <v>25.31</v>
      </c>
      <c r="F1853" s="408">
        <v>4.4999999999999998E-2</v>
      </c>
      <c r="G1853" s="453">
        <f t="shared" si="29"/>
        <v>26.502617801047119</v>
      </c>
      <c r="H1853" s="453" t="s">
        <v>2148</v>
      </c>
      <c r="I1853" s="451" t="s">
        <v>1795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4" t="str">
        <f>LEFT(base[[#This Row],[Evento / Mercado]],FIND("/",base[[#This Row],[Evento / Mercado]])-2)</f>
        <v>Grazer AK vs SCR Altach</v>
      </c>
      <c r="T1853" s="1420">
        <f>base[[#This Row],[Data de liquidação]]</f>
        <v>46151.526238425926</v>
      </c>
    </row>
    <row r="1854" spans="2:20" ht="15" customHeight="1">
      <c r="B1854" s="786" t="s">
        <v>2206</v>
      </c>
      <c r="C1854" s="911" t="s">
        <v>3556</v>
      </c>
      <c r="D1854" s="1349">
        <v>46151.538113425922</v>
      </c>
      <c r="E1854" s="879">
        <v>2.0699999999999998</v>
      </c>
      <c r="F1854" s="408">
        <v>4.4999999999999998E-2</v>
      </c>
      <c r="G1854" s="453">
        <f t="shared" si="29"/>
        <v>2.1675392670157065</v>
      </c>
      <c r="H1854" s="417" t="s">
        <v>1666</v>
      </c>
      <c r="I1854" s="451" t="s">
        <v>1759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4" t="str">
        <f>LEFT(base[[#This Row],[Evento / Mercado]],FIND("/",base[[#This Row],[Evento / Mercado]])-2)</f>
        <v>Aberdeen vs Dundee United</v>
      </c>
      <c r="T1854" s="1420">
        <f>base[[#This Row],[Data de liquidação]]</f>
        <v>46151.538113425922</v>
      </c>
    </row>
    <row r="1855" spans="2:20" ht="15" customHeight="1">
      <c r="B1855" s="786" t="s">
        <v>2205</v>
      </c>
      <c r="C1855" s="911" t="s">
        <v>3556</v>
      </c>
      <c r="D1855" s="1349">
        <v>46151.541597222225</v>
      </c>
      <c r="E1855" s="879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4" t="str">
        <f>LEFT(base[[#This Row],[Evento / Mercado]],FIND("/",base[[#This Row],[Evento / Mercado]])-2)</f>
        <v>Fulham vs AFC Bournemouth</v>
      </c>
      <c r="T1855" s="1420">
        <f>base[[#This Row],[Data de liquidação]]</f>
        <v>46151.541597222225</v>
      </c>
    </row>
    <row r="1856" spans="2:20" ht="15" customHeight="1">
      <c r="B1856" s="786" t="s">
        <v>2205</v>
      </c>
      <c r="C1856" s="911" t="s">
        <v>3556</v>
      </c>
      <c r="D1856" s="1349">
        <v>46151.541597222225</v>
      </c>
      <c r="E1856" s="879">
        <v>6.24</v>
      </c>
      <c r="F1856" s="408">
        <v>0</v>
      </c>
      <c r="G1856" s="453">
        <f t="shared" si="29"/>
        <v>6.24</v>
      </c>
      <c r="H1856" s="417" t="s">
        <v>1666</v>
      </c>
      <c r="I1856" s="451" t="s">
        <v>1665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4" t="str">
        <f>LEFT(base[[#This Row],[Evento / Mercado]],FIND("/",base[[#This Row],[Evento / Mercado]])-2)</f>
        <v>Fulham vs AFC Bournemouth</v>
      </c>
      <c r="T1856" s="1420">
        <f>base[[#This Row],[Data de liquidação]]</f>
        <v>46151.541597222225</v>
      </c>
    </row>
    <row r="1857" spans="2:22" ht="15" customHeight="1">
      <c r="B1857" s="786" t="s">
        <v>2204</v>
      </c>
      <c r="C1857" s="911" t="s">
        <v>3556</v>
      </c>
      <c r="D1857" s="1349">
        <v>46151.541608796295</v>
      </c>
      <c r="E1857" s="879">
        <v>0.79</v>
      </c>
      <c r="F1857" s="408">
        <v>4.4999999999999998E-2</v>
      </c>
      <c r="G1857" s="453">
        <f t="shared" si="29"/>
        <v>0.82722513089005245</v>
      </c>
      <c r="H1857" s="417" t="s">
        <v>1666</v>
      </c>
      <c r="I1857" s="451" t="s">
        <v>1663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4" t="str">
        <f>LEFT(base[[#This Row],[Evento / Mercado]],FIND("/",base[[#This Row],[Evento / Mercado]])-2)</f>
        <v>Fulham vs AFC Bournemouth</v>
      </c>
      <c r="T1857" s="1420">
        <f>base[[#This Row],[Data de liquidação]]</f>
        <v>46151.541608796295</v>
      </c>
    </row>
    <row r="1858" spans="2:22" ht="15" customHeight="1">
      <c r="B1858" s="786" t="s">
        <v>2202</v>
      </c>
      <c r="C1858" s="911" t="s">
        <v>3556</v>
      </c>
      <c r="D1858" s="1349">
        <v>46151.541631944441</v>
      </c>
      <c r="E1858" s="879">
        <v>-0.25</v>
      </c>
      <c r="F1858" s="408">
        <v>4.4999999999999998E-2</v>
      </c>
      <c r="G1858" s="453">
        <f t="shared" si="29"/>
        <v>-0.25</v>
      </c>
      <c r="H1858" s="417" t="s">
        <v>1666</v>
      </c>
      <c r="I1858" s="451" t="s">
        <v>1718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4" t="str">
        <f>LEFT(base[[#This Row],[Evento / Mercado]],FIND("/",base[[#This Row],[Evento / Mercado]])-2)</f>
        <v>Fulham vs AFC Bournemouth</v>
      </c>
      <c r="T1858" s="1420">
        <f>base[[#This Row],[Data de liquidação]]</f>
        <v>46151.541631944441</v>
      </c>
    </row>
    <row r="1859" spans="2:22" ht="15" customHeight="1">
      <c r="B1859" s="786" t="s">
        <v>2203</v>
      </c>
      <c r="C1859" s="911" t="s">
        <v>3556</v>
      </c>
      <c r="D1859" s="1349">
        <v>46151.541631944441</v>
      </c>
      <c r="E1859" s="879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2148</v>
      </c>
      <c r="I1859" s="451" t="s">
        <v>2149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4" t="str">
        <f>LEFT(base[[#This Row],[Evento / Mercado]],FIND("/",base[[#This Row],[Evento / Mercado]])-2)</f>
        <v>Zulte Waregem vs FCV Dender EH</v>
      </c>
      <c r="T1859" s="1420">
        <f>base[[#This Row],[Data de liquidação]]</f>
        <v>46151.541631944441</v>
      </c>
    </row>
    <row r="1860" spans="2:22" ht="15" customHeight="1">
      <c r="B1860" s="786" t="s">
        <v>2201</v>
      </c>
      <c r="C1860" s="911" t="s">
        <v>3556</v>
      </c>
      <c r="D1860" s="1349">
        <v>46151.543124999997</v>
      </c>
      <c r="E1860" s="879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4" t="str">
        <f>LEFT(base[[#This Row],[Evento / Mercado]],FIND("/",base[[#This Row],[Evento / Mercado]])-2)</f>
        <v>Dinamo Zagreb vs Hajduk Split</v>
      </c>
      <c r="T1860" s="1420">
        <f>base[[#This Row],[Data de liquidação]]</f>
        <v>46151.543124999997</v>
      </c>
    </row>
    <row r="1861" spans="2:22" ht="15" customHeight="1">
      <c r="B1861" s="786" t="s">
        <v>2200</v>
      </c>
      <c r="C1861" s="911" t="s">
        <v>3556</v>
      </c>
      <c r="D1861" s="1349">
        <v>46151.55400462963</v>
      </c>
      <c r="E1861" s="879">
        <v>2.58</v>
      </c>
      <c r="F1861" s="408">
        <v>4.4999999999999998E-2</v>
      </c>
      <c r="G1861" s="453">
        <f t="shared" si="30"/>
        <v>2.7015706806282727</v>
      </c>
      <c r="H1861" s="417" t="s">
        <v>1666</v>
      </c>
      <c r="I1861" s="451" t="s">
        <v>1759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4" t="str">
        <f>LEFT(base[[#This Row],[Evento / Mercado]],FIND("/",base[[#This Row],[Evento / Mercado]])-2)</f>
        <v>Albacete Balompié vs Cultural Leonesa</v>
      </c>
      <c r="T1861" s="1420">
        <f>base[[#This Row],[Data de liquidação]]</f>
        <v>46151.55400462963</v>
      </c>
    </row>
    <row r="1862" spans="2:22" ht="15" customHeight="1">
      <c r="B1862" s="786" t="s">
        <v>2199</v>
      </c>
      <c r="C1862" s="911" t="s">
        <v>3556</v>
      </c>
      <c r="D1862" s="1349">
        <v>46151.554837962962</v>
      </c>
      <c r="E1862" s="879">
        <v>-50</v>
      </c>
      <c r="F1862" s="408">
        <v>4.4999999999999998E-2</v>
      </c>
      <c r="G1862" s="453">
        <f t="shared" si="30"/>
        <v>-50</v>
      </c>
      <c r="H1862" s="453" t="s">
        <v>2148</v>
      </c>
      <c r="I1862" s="451" t="s">
        <v>1795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4" t="str">
        <f>LEFT(base[[#This Row],[Evento / Mercado]],FIND("/",base[[#This Row],[Evento / Mercado]])-2)</f>
        <v>FC Koper vs NK Aluminij</v>
      </c>
      <c r="T1862" s="1420">
        <f>base[[#This Row],[Data de liquidação]]</f>
        <v>46151.554837962962</v>
      </c>
    </row>
    <row r="1863" spans="2:22" ht="15" customHeight="1">
      <c r="B1863" s="786" t="s">
        <v>2198</v>
      </c>
      <c r="C1863" s="911" t="s">
        <v>3556</v>
      </c>
      <c r="D1863" s="1349">
        <v>46151.565011574072</v>
      </c>
      <c r="E1863" s="879">
        <v>1.91</v>
      </c>
      <c r="F1863" s="408">
        <v>4.4999999999999998E-2</v>
      </c>
      <c r="G1863" s="453">
        <f t="shared" si="30"/>
        <v>2</v>
      </c>
      <c r="H1863" s="417" t="s">
        <v>1666</v>
      </c>
      <c r="I1863" s="451" t="s">
        <v>1759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4" t="str">
        <f>LEFT(base[[#This Row],[Evento / Mercado]],FIND("/",base[[#This Row],[Evento / Mercado]])-2)</f>
        <v>Feirense vs Oliveirense</v>
      </c>
      <c r="T1863" s="1420">
        <f>base[[#This Row],[Data de liquidação]]</f>
        <v>46151.565011574072</v>
      </c>
    </row>
    <row r="1864" spans="2:22" ht="15" customHeight="1">
      <c r="B1864" s="786" t="s">
        <v>2197</v>
      </c>
      <c r="C1864" s="911" t="s">
        <v>3556</v>
      </c>
      <c r="D1864" s="1349">
        <v>46151.588506944441</v>
      </c>
      <c r="E1864" s="879">
        <v>13.85</v>
      </c>
      <c r="F1864" s="408">
        <v>4.4999999999999998E-2</v>
      </c>
      <c r="G1864" s="453">
        <f t="shared" si="30"/>
        <v>14.502617801047121</v>
      </c>
      <c r="H1864" s="453" t="s">
        <v>2148</v>
      </c>
      <c r="I1864" s="451" t="s">
        <v>1795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4" t="str">
        <f>LEFT(base[[#This Row],[Evento / Mercado]],FIND("/",base[[#This Row],[Evento / Mercado]])-2)</f>
        <v>Istanbul Basaksehir FK vs Samsunspor</v>
      </c>
      <c r="T1864" s="1420">
        <f>base[[#This Row],[Data de liquidação]]</f>
        <v>46151.588506944441</v>
      </c>
    </row>
    <row r="1865" spans="2:22" ht="15" customHeight="1">
      <c r="B1865" s="786" t="s">
        <v>2196</v>
      </c>
      <c r="C1865" s="911" t="s">
        <v>3556</v>
      </c>
      <c r="D1865" s="1349">
        <v>46151.595462962963</v>
      </c>
      <c r="E1865" s="879">
        <v>-2</v>
      </c>
      <c r="F1865" s="408">
        <v>4.4999999999999998E-2</v>
      </c>
      <c r="G1865" s="453">
        <f t="shared" si="30"/>
        <v>-2</v>
      </c>
      <c r="H1865" s="417" t="s">
        <v>1666</v>
      </c>
      <c r="I1865" s="451" t="s">
        <v>1795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4" t="str">
        <f>LEFT(base[[#This Row],[Evento / Mercado]],FIND("/",base[[#This Row],[Evento / Mercado]])-2)</f>
        <v>Manchester City vs Brentford</v>
      </c>
      <c r="T1865" s="1420">
        <f>base[[#This Row],[Data de liquidação]]</f>
        <v>46151.595462962963</v>
      </c>
    </row>
    <row r="1866" spans="2:22" ht="15" customHeight="1">
      <c r="B1866" s="786" t="s">
        <v>2195</v>
      </c>
      <c r="C1866" s="911" t="s">
        <v>3556</v>
      </c>
      <c r="D1866" s="1349">
        <v>46151.596319444441</v>
      </c>
      <c r="E1866" s="879">
        <v>-50</v>
      </c>
      <c r="F1866" s="408">
        <v>4.4999999999999998E-2</v>
      </c>
      <c r="G1866" s="453">
        <f t="shared" si="30"/>
        <v>-50</v>
      </c>
      <c r="H1866" s="453" t="s">
        <v>2148</v>
      </c>
      <c r="I1866" s="451" t="s">
        <v>1795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4" t="str">
        <f>LEFT(base[[#This Row],[Evento / Mercado]],FIND("/",base[[#This Row],[Evento / Mercado]])-2)</f>
        <v>Atlético de Madrid vs Celta de Vigo</v>
      </c>
      <c r="T1866" s="1420">
        <f>base[[#This Row],[Data de liquidação]]</f>
        <v>46151.596319444441</v>
      </c>
    </row>
    <row r="1867" spans="2:22" ht="15" customHeight="1">
      <c r="B1867" s="786" t="s">
        <v>2194</v>
      </c>
      <c r="C1867" s="911" t="s">
        <v>3556</v>
      </c>
      <c r="D1867" s="1349">
        <v>46151.612372685187</v>
      </c>
      <c r="E1867" s="879">
        <v>13.85</v>
      </c>
      <c r="F1867" s="408">
        <v>4.4999999999999998E-2</v>
      </c>
      <c r="G1867" s="453">
        <f t="shared" si="30"/>
        <v>14.502617801047121</v>
      </c>
      <c r="H1867" s="453" t="s">
        <v>2148</v>
      </c>
      <c r="I1867" s="451" t="s">
        <v>1795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4" t="str">
        <f>LEFT(base[[#This Row],[Evento / Mercado]],FIND("/",base[[#This Row],[Evento / Mercado]])-2)</f>
        <v>FK Partizan vs OFK Beograd</v>
      </c>
      <c r="T1867" s="1420">
        <f>base[[#This Row],[Data de liquidação]]</f>
        <v>46151.612372685187</v>
      </c>
    </row>
    <row r="1868" spans="2:22" ht="15" customHeight="1">
      <c r="B1868" s="786" t="s">
        <v>2193</v>
      </c>
      <c r="C1868" s="911" t="s">
        <v>3556</v>
      </c>
      <c r="D1868" s="1349">
        <v>46151.624537037038</v>
      </c>
      <c r="E1868" s="879">
        <v>-100</v>
      </c>
      <c r="F1868" s="408">
        <v>4.4999999999999998E-2</v>
      </c>
      <c r="G1868" s="453">
        <f t="shared" si="30"/>
        <v>-100</v>
      </c>
      <c r="H1868" s="453" t="s">
        <v>1555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4" t="str">
        <f>LEFT(base[[#This Row],[Evento / Mercado]],FIND("/",base[[#This Row],[Evento / Mercado]])-2)</f>
        <v>Bod</v>
      </c>
      <c r="T1868" s="1420">
        <f>base[[#This Row],[Data de liquidação]]</f>
        <v>46151.624537037038</v>
      </c>
    </row>
    <row r="1869" spans="2:22" ht="15" customHeight="1">
      <c r="B1869" s="786" t="s">
        <v>2192</v>
      </c>
      <c r="C1869" s="911" t="s">
        <v>3556</v>
      </c>
      <c r="D1869" s="1349">
        <v>46151.641423611109</v>
      </c>
      <c r="E1869" s="879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628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1201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4" t="str">
        <f>LEFT(base[[#This Row],[Evento / Mercado]],FIND("/",base[[#This Row],[Evento / Mercado]])-2)</f>
        <v>Manchester City vs Brentford</v>
      </c>
      <c r="T1869" s="1420">
        <f>base[[#This Row],[Data de liquidação]]</f>
        <v>46151.641423611109</v>
      </c>
    </row>
    <row r="1870" spans="2:22" ht="15" customHeight="1">
      <c r="B1870" s="786" t="s">
        <v>1895</v>
      </c>
      <c r="C1870" s="911" t="s">
        <v>3556</v>
      </c>
      <c r="D1870" s="1349">
        <v>46151.641793981478</v>
      </c>
      <c r="E1870" s="879">
        <v>19.49155</v>
      </c>
      <c r="F1870" s="408">
        <v>4.4999999999999998E-2</v>
      </c>
      <c r="G1870" s="453">
        <f t="shared" si="30"/>
        <v>20.41</v>
      </c>
      <c r="H1870" s="453" t="s">
        <v>1555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4" t="str">
        <f>LEFT(base[[#This Row],[Evento / Mercado]],FIND("/",base[[#This Row],[Evento / Mercado]])-2)</f>
        <v>Manchester City vs Brentford</v>
      </c>
      <c r="T1870" s="142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86" t="s">
        <v>1895</v>
      </c>
      <c r="C1871" s="911" t="s">
        <v>3556</v>
      </c>
      <c r="D1871" s="1349">
        <v>46151.641793981478</v>
      </c>
      <c r="E1871" s="879">
        <v>53.298549999999999</v>
      </c>
      <c r="F1871" s="408">
        <v>4.4999999999999998E-2</v>
      </c>
      <c r="G1871" s="453">
        <f t="shared" si="30"/>
        <v>55.81</v>
      </c>
      <c r="H1871" s="453" t="s">
        <v>179</v>
      </c>
      <c r="I1871" s="451" t="s">
        <v>392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1201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4" t="str">
        <f>LEFT(base[[#This Row],[Evento / Mercado]],FIND("/",base[[#This Row],[Evento / Mercado]])-2)</f>
        <v>Manchester City vs Brentford</v>
      </c>
      <c r="T1871" s="142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86" t="s">
        <v>2191</v>
      </c>
      <c r="C1872" s="911" t="s">
        <v>3556</v>
      </c>
      <c r="D1872" s="1349">
        <v>46151.642083333332</v>
      </c>
      <c r="E1872" s="879">
        <v>-2</v>
      </c>
      <c r="F1872" s="408">
        <v>4.4999999999999998E-2</v>
      </c>
      <c r="G1872" s="453">
        <f t="shared" si="30"/>
        <v>-2</v>
      </c>
      <c r="H1872" s="453" t="s">
        <v>1666</v>
      </c>
      <c r="I1872" s="451" t="s">
        <v>1758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4" t="str">
        <f>LEFT(base[[#This Row],[Evento / Mercado]],FIND("/",base[[#This Row],[Evento / Mercado]])-2)</f>
        <v>Atlético de Madrid vs Celta de Vigo</v>
      </c>
      <c r="T1872" s="1420">
        <f>base[[#This Row],[Data de liquidação]]</f>
        <v>46151.642083333332</v>
      </c>
    </row>
    <row r="1873" spans="2:20" ht="15" customHeight="1">
      <c r="B1873" s="786" t="s">
        <v>2190</v>
      </c>
      <c r="C1873" s="911" t="s">
        <v>3556</v>
      </c>
      <c r="D1873" s="1349">
        <v>46151.642175925925</v>
      </c>
      <c r="E1873" s="879">
        <v>0.84</v>
      </c>
      <c r="F1873" s="408">
        <v>4.4999999999999998E-2</v>
      </c>
      <c r="G1873" s="453">
        <f t="shared" si="30"/>
        <v>0.87958115183246077</v>
      </c>
      <c r="H1873" s="453" t="s">
        <v>1666</v>
      </c>
      <c r="I1873" s="451" t="s">
        <v>1663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4" t="str">
        <f>LEFT(base[[#This Row],[Evento / Mercado]],FIND("/",base[[#This Row],[Evento / Mercado]])-2)</f>
        <v>Atlético de Madrid vs Celta de Vigo</v>
      </c>
      <c r="T1873" s="1420">
        <f>base[[#This Row],[Data de liquidação]]</f>
        <v>46151.642175925925</v>
      </c>
    </row>
    <row r="1874" spans="2:20" ht="15" customHeight="1">
      <c r="B1874" s="786" t="s">
        <v>2189</v>
      </c>
      <c r="C1874" s="911" t="s">
        <v>3556</v>
      </c>
      <c r="D1874" s="1349">
        <v>46151.642222222225</v>
      </c>
      <c r="E1874" s="879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4" t="str">
        <f>LEFT(base[[#This Row],[Evento / Mercado]],FIND("/",base[[#This Row],[Evento / Mercado]])-2)</f>
        <v>Atlético de Madrid vs Celta de Vigo</v>
      </c>
      <c r="T1874" s="1420">
        <f>base[[#This Row],[Data de liquidação]]</f>
        <v>46151.642222222225</v>
      </c>
    </row>
    <row r="1875" spans="2:20" ht="15" customHeight="1">
      <c r="B1875" s="786" t="s">
        <v>2188</v>
      </c>
      <c r="C1875" s="911" t="s">
        <v>3556</v>
      </c>
      <c r="D1875" s="1349">
        <v>46151.644212962965</v>
      </c>
      <c r="E1875" s="879">
        <v>1.45</v>
      </c>
      <c r="F1875" s="408">
        <v>4.4999999999999998E-2</v>
      </c>
      <c r="G1875" s="453">
        <f t="shared" si="30"/>
        <v>1.5183246073298429</v>
      </c>
      <c r="H1875" s="453" t="s">
        <v>1666</v>
      </c>
      <c r="I1875" s="451" t="s">
        <v>1759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4" t="str">
        <f>LEFT(base[[#This Row],[Evento / Mercado]],FIND("/",base[[#This Row],[Evento / Mercado]])-2)</f>
        <v>Real Valladolid vs Real Zaragoza</v>
      </c>
      <c r="T1875" s="1420">
        <f>base[[#This Row],[Data de liquidação]]</f>
        <v>46151.644212962965</v>
      </c>
    </row>
    <row r="1876" spans="2:20" ht="15" customHeight="1">
      <c r="B1876" s="786" t="s">
        <v>1894</v>
      </c>
      <c r="C1876" s="911" t="s">
        <v>3556</v>
      </c>
      <c r="D1876" s="1349">
        <v>46151.656493055554</v>
      </c>
      <c r="E1876" s="879">
        <v>13.26</v>
      </c>
      <c r="F1876" s="408">
        <v>4.4999999999999998E-2</v>
      </c>
      <c r="G1876" s="453">
        <f t="shared" si="30"/>
        <v>13.884816753926701</v>
      </c>
      <c r="H1876" s="453" t="s">
        <v>2148</v>
      </c>
      <c r="I1876" s="451" t="s">
        <v>1795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4" t="str">
        <f>LEFT(base[[#This Row],[Evento / Mercado]],FIND("/",base[[#This Row],[Evento / Mercado]])-2)</f>
        <v>Al-Fayha FC vs Al-Qadisiyah</v>
      </c>
      <c r="T1876" s="1420">
        <f>base[[#This Row],[Data de liquidação]]</f>
        <v>46151.656493055554</v>
      </c>
    </row>
    <row r="1877" spans="2:20" ht="15" customHeight="1">
      <c r="B1877" s="786" t="s">
        <v>2187</v>
      </c>
      <c r="C1877" s="911" t="s">
        <v>3556</v>
      </c>
      <c r="D1877" s="1349">
        <v>46151.666863425926</v>
      </c>
      <c r="E1877" s="879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628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1204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4" t="str">
        <f>LEFT(base[[#This Row],[Evento / Mercado]],FIND("/",base[[#This Row],[Evento / Mercado]])-2)</f>
        <v>Galatasaray SK vs Antalyaspor</v>
      </c>
      <c r="T1877" s="1420">
        <f>base[[#This Row],[Data de liquidação]]</f>
        <v>46151.666863425926</v>
      </c>
    </row>
    <row r="1878" spans="2:20" ht="15" customHeight="1">
      <c r="B1878" s="786" t="s">
        <v>2186</v>
      </c>
      <c r="C1878" s="911" t="s">
        <v>3556</v>
      </c>
      <c r="D1878" s="1349">
        <v>46151.668240740742</v>
      </c>
      <c r="E1878" s="879">
        <v>19.72</v>
      </c>
      <c r="F1878" s="408">
        <v>4.4999999999999998E-2</v>
      </c>
      <c r="G1878" s="453">
        <f t="shared" si="30"/>
        <v>20.649214659685864</v>
      </c>
      <c r="H1878" s="453" t="s">
        <v>179</v>
      </c>
      <c r="I1878" s="451" t="s">
        <v>392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1204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4" t="str">
        <f>LEFT(base[[#This Row],[Evento / Mercado]],FIND("/",base[[#This Row],[Evento / Mercado]])-2)</f>
        <v>Galatasaray SK vs Antalyaspor</v>
      </c>
      <c r="T1878" s="1420">
        <f>base[[#This Row],[Data de liquidação]]</f>
        <v>46151.668240740742</v>
      </c>
    </row>
    <row r="1879" spans="2:20" ht="15" customHeight="1">
      <c r="B1879" s="786" t="s">
        <v>2185</v>
      </c>
      <c r="C1879" s="911" t="s">
        <v>3556</v>
      </c>
      <c r="D1879" s="1349">
        <v>46151.671875</v>
      </c>
      <c r="E1879" s="879">
        <v>19.579999999999998</v>
      </c>
      <c r="F1879" s="408">
        <v>4.4999999999999998E-2</v>
      </c>
      <c r="G1879" s="453">
        <f t="shared" si="30"/>
        <v>20.502617801047119</v>
      </c>
      <c r="H1879" s="453" t="s">
        <v>2148</v>
      </c>
      <c r="I1879" s="451" t="s">
        <v>1795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4" t="str">
        <f>LEFT(base[[#This Row],[Evento / Mercado]],FIND("/",base[[#This Row],[Evento / Mercado]])-2)</f>
        <v>Stal Mielec vs Puszcza Niepolomice</v>
      </c>
      <c r="T1879" s="1420">
        <f>base[[#This Row],[Data de liquidação]]</f>
        <v>46151.671875</v>
      </c>
    </row>
    <row r="1880" spans="2:20" ht="15" customHeight="1">
      <c r="B1880" s="786" t="s">
        <v>2184</v>
      </c>
      <c r="C1880" s="911" t="s">
        <v>3556</v>
      </c>
      <c r="D1880" s="1349">
        <v>46151.683645833335</v>
      </c>
      <c r="E1880" s="879">
        <v>-4</v>
      </c>
      <c r="F1880" s="408">
        <v>4.4999999999999998E-2</v>
      </c>
      <c r="G1880" s="453">
        <f t="shared" si="30"/>
        <v>-4</v>
      </c>
      <c r="H1880" s="453" t="s">
        <v>1666</v>
      </c>
      <c r="I1880" s="451" t="s">
        <v>1558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4" t="str">
        <f>LEFT(base[[#This Row],[Evento / Mercado]],FIND("/",base[[#This Row],[Evento / Mercado]])-2)</f>
        <v>Hapoel Tel Aviv vs Maccabi Tel Aviv</v>
      </c>
      <c r="T1880" s="1420">
        <f>base[[#This Row],[Data de liquidação]]</f>
        <v>46151.683645833335</v>
      </c>
    </row>
    <row r="1881" spans="2:20" ht="15" customHeight="1">
      <c r="B1881" s="786" t="s">
        <v>2183</v>
      </c>
      <c r="C1881" s="911" t="s">
        <v>3556</v>
      </c>
      <c r="D1881" s="1349">
        <v>46151.695543981485</v>
      </c>
      <c r="E1881" s="879">
        <v>16.47</v>
      </c>
      <c r="F1881" s="408">
        <v>4.4999999999999998E-2</v>
      </c>
      <c r="G1881" s="453">
        <f t="shared" si="30"/>
        <v>17.246073298429319</v>
      </c>
      <c r="H1881" s="453" t="s">
        <v>2148</v>
      </c>
      <c r="I1881" s="451" t="s">
        <v>1795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4" t="str">
        <f>LEFT(base[[#This Row],[Evento / Mercado]],FIND("/",base[[#This Row],[Evento / Mercado]])-2)</f>
        <v>Real Sociedad vs Real Betis</v>
      </c>
      <c r="T1881" s="1420">
        <f>base[[#This Row],[Data de liquidação]]</f>
        <v>46151.695543981485</v>
      </c>
    </row>
    <row r="1882" spans="2:20" ht="15" customHeight="1">
      <c r="B1882" s="786" t="s">
        <v>2182</v>
      </c>
      <c r="C1882" s="911" t="s">
        <v>3556</v>
      </c>
      <c r="D1882" s="1349">
        <v>46151.698888888888</v>
      </c>
      <c r="E1882" s="879">
        <v>-50</v>
      </c>
      <c r="F1882" s="408">
        <v>4.4999999999999998E-2</v>
      </c>
      <c r="G1882" s="453">
        <f t="shared" si="30"/>
        <v>-50</v>
      </c>
      <c r="H1882" s="453" t="s">
        <v>2148</v>
      </c>
      <c r="I1882" s="451" t="s">
        <v>1795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4" t="str">
        <f>LEFT(base[[#This Row],[Evento / Mercado]],FIND("/",base[[#This Row],[Evento / Mercado]])-2)</f>
        <v>Bolton Wanderers vs Bradford City</v>
      </c>
      <c r="T1882" s="1420">
        <f>base[[#This Row],[Data de liquidação]]</f>
        <v>46151.698888888888</v>
      </c>
    </row>
    <row r="1883" spans="2:20" ht="15" customHeight="1">
      <c r="B1883" s="786" t="s">
        <v>2181</v>
      </c>
      <c r="C1883" s="911" t="s">
        <v>3556</v>
      </c>
      <c r="D1883" s="1349">
        <v>46151.703113425923</v>
      </c>
      <c r="E1883" s="879">
        <v>1.64</v>
      </c>
      <c r="F1883" s="408">
        <v>4.4999999999999998E-2</v>
      </c>
      <c r="G1883" s="453">
        <f t="shared" si="30"/>
        <v>1.7172774869109948</v>
      </c>
      <c r="H1883" s="453" t="s">
        <v>1666</v>
      </c>
      <c r="I1883" s="451" t="s">
        <v>1715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4" t="str">
        <f>LEFT(base[[#This Row],[Evento / Mercado]],FIND("/",base[[#This Row],[Evento / Mercado]])-2)</f>
        <v>Annecy FC vs Rodez</v>
      </c>
      <c r="T1883" s="1420">
        <f>base[[#This Row],[Data de liquidação]]</f>
        <v>46151.703113425923</v>
      </c>
    </row>
    <row r="1884" spans="2:20" ht="15" customHeight="1">
      <c r="B1884" s="786" t="s">
        <v>2180</v>
      </c>
      <c r="C1884" s="911" t="s">
        <v>3556</v>
      </c>
      <c r="D1884" s="1349">
        <v>46151.703634259262</v>
      </c>
      <c r="E1884" s="879">
        <v>2.27</v>
      </c>
      <c r="F1884" s="408">
        <v>4.4999999999999998E-2</v>
      </c>
      <c r="G1884" s="453">
        <f t="shared" si="30"/>
        <v>2.3769633507853403</v>
      </c>
      <c r="H1884" s="453" t="s">
        <v>1666</v>
      </c>
      <c r="I1884" s="451" t="s">
        <v>1715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4" t="str">
        <f>LEFT(base[[#This Row],[Evento / Mercado]],FIND("/",base[[#This Row],[Evento / Mercado]])-2)</f>
        <v>Red Star FC 93 vs Montpellier HSC</v>
      </c>
      <c r="T1884" s="1420">
        <f>base[[#This Row],[Data de liquidação]]</f>
        <v>46151.703634259262</v>
      </c>
    </row>
    <row r="1885" spans="2:20" ht="15" customHeight="1">
      <c r="B1885" s="786" t="s">
        <v>2179</v>
      </c>
      <c r="C1885" s="911" t="s">
        <v>3556</v>
      </c>
      <c r="D1885" s="1349">
        <v>46151.704560185186</v>
      </c>
      <c r="E1885" s="879">
        <v>24.12</v>
      </c>
      <c r="F1885" s="408">
        <v>4.4999999999999998E-2</v>
      </c>
      <c r="G1885" s="453">
        <f t="shared" si="30"/>
        <v>25.256544502617803</v>
      </c>
      <c r="H1885" s="453" t="s">
        <v>2148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4" t="str">
        <f>LEFT(base[[#This Row],[Evento / Mercado]],FIND("/",base[[#This Row],[Evento / Mercado]])-2)</f>
        <v>FC Luzern vs Servette FC</v>
      </c>
      <c r="T1885" s="1420">
        <f>base[[#This Row],[Data de liquidação]]</f>
        <v>46151.704560185186</v>
      </c>
    </row>
    <row r="1886" spans="2:20" ht="15" customHeight="1">
      <c r="B1886" s="786" t="s">
        <v>2178</v>
      </c>
      <c r="C1886" s="911" t="s">
        <v>3556</v>
      </c>
      <c r="D1886" s="1349">
        <v>46151.709803240738</v>
      </c>
      <c r="E1886" s="879">
        <v>13.65</v>
      </c>
      <c r="F1886" s="408">
        <v>4.4999999999999998E-2</v>
      </c>
      <c r="G1886" s="453">
        <f t="shared" si="30"/>
        <v>14.293193717277488</v>
      </c>
      <c r="H1886" s="453" t="s">
        <v>2148</v>
      </c>
      <c r="I1886" s="451" t="s">
        <v>2149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4" t="str">
        <f>LEFT(base[[#This Row],[Evento / Mercado]],FIND("/",base[[#This Row],[Evento / Mercado]])-2)</f>
        <v>Universitatea Cluj vs Rapid Bucuresti</v>
      </c>
      <c r="T1886" s="1420">
        <f>base[[#This Row],[Data de liquidação]]</f>
        <v>46151.709803240738</v>
      </c>
    </row>
    <row r="1887" spans="2:20" ht="15" customHeight="1">
      <c r="B1887" s="786" t="s">
        <v>2177</v>
      </c>
      <c r="C1887" s="911" t="s">
        <v>3556</v>
      </c>
      <c r="D1887" s="1349">
        <v>46151.71197916667</v>
      </c>
      <c r="E1887" s="879">
        <v>-5</v>
      </c>
      <c r="F1887" s="408">
        <v>4.4999999999999998E-2</v>
      </c>
      <c r="G1887" s="453">
        <f t="shared" si="30"/>
        <v>-5</v>
      </c>
      <c r="H1887" s="453" t="s">
        <v>1666</v>
      </c>
      <c r="I1887" s="451" t="s">
        <v>1665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4" t="str">
        <f>LEFT(base[[#This Row],[Evento / Mercado]],FIND("/",base[[#This Row],[Evento / Mercado]])-2)</f>
        <v>1. FC Nürnberg vs FC Schalke 04</v>
      </c>
      <c r="T1887" s="1420">
        <f>base[[#This Row],[Data de liquidação]]</f>
        <v>46151.71197916667</v>
      </c>
    </row>
    <row r="1888" spans="2:20" ht="15" customHeight="1">
      <c r="B1888" s="786" t="s">
        <v>2176</v>
      </c>
      <c r="C1888" s="911" t="s">
        <v>3556</v>
      </c>
      <c r="D1888" s="1349">
        <v>46151.712118055555</v>
      </c>
      <c r="E1888" s="879">
        <v>7.96</v>
      </c>
      <c r="F1888" s="408">
        <v>4.4999999999999998E-2</v>
      </c>
      <c r="G1888" s="453">
        <f t="shared" si="30"/>
        <v>8.335078534031414</v>
      </c>
      <c r="H1888" s="453" t="s">
        <v>2148</v>
      </c>
      <c r="I1888" s="451" t="s">
        <v>2149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4" t="str">
        <f>LEFT(base[[#This Row],[Evento / Mercado]],FIND("/",base[[#This Row],[Evento / Mercado]])-2)</f>
        <v>Deportivo Morón vs Los Andes</v>
      </c>
      <c r="T1888" s="1420">
        <f>base[[#This Row],[Data de liquidação]]</f>
        <v>46151.712118055555</v>
      </c>
    </row>
    <row r="1889" spans="2:20" ht="15" customHeight="1">
      <c r="B1889" s="786" t="s">
        <v>2175</v>
      </c>
      <c r="C1889" s="911" t="s">
        <v>3556</v>
      </c>
      <c r="D1889" s="1349">
        <v>46151.717638888891</v>
      </c>
      <c r="E1889" s="879">
        <v>-50.01</v>
      </c>
      <c r="F1889" s="408">
        <v>4.4999999999999998E-2</v>
      </c>
      <c r="G1889" s="453">
        <f t="shared" si="30"/>
        <v>-50.01</v>
      </c>
      <c r="H1889" s="453" t="s">
        <v>2148</v>
      </c>
      <c r="I1889" s="451" t="s">
        <v>2149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4" t="str">
        <f>LEFT(base[[#This Row],[Evento / Mercado]],FIND("/",base[[#This Row],[Evento / Mercado]])-2)</f>
        <v>Górnik Zabrze vs Zaglebie Lubin</v>
      </c>
      <c r="T1889" s="1420">
        <f>base[[#This Row],[Data de liquidação]]</f>
        <v>46151.717638888891</v>
      </c>
    </row>
    <row r="1890" spans="2:20" ht="15" customHeight="1">
      <c r="B1890" s="786" t="s">
        <v>2174</v>
      </c>
      <c r="C1890" s="911" t="s">
        <v>3556</v>
      </c>
      <c r="D1890" s="1349">
        <v>46151.723090277781</v>
      </c>
      <c r="E1890" s="879">
        <v>2.39</v>
      </c>
      <c r="F1890" s="408">
        <v>4.4999999999999998E-2</v>
      </c>
      <c r="G1890" s="453">
        <f t="shared" si="30"/>
        <v>2.5026178010471205</v>
      </c>
      <c r="H1890" s="453" t="s">
        <v>1666</v>
      </c>
      <c r="I1890" s="451" t="s">
        <v>1715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4" t="str">
        <f>LEFT(base[[#This Row],[Evento / Mercado]],FIND("/",base[[#This Row],[Evento / Mercado]])-2)</f>
        <v>FC Luzern vs Servette FC</v>
      </c>
      <c r="T1890" s="1420">
        <f>base[[#This Row],[Data de liquidação]]</f>
        <v>46151.723090277781</v>
      </c>
    </row>
    <row r="1891" spans="2:20" ht="15" customHeight="1">
      <c r="B1891" s="786" t="s">
        <v>2173</v>
      </c>
      <c r="C1891" s="911" t="s">
        <v>3556</v>
      </c>
      <c r="D1891" s="1349">
        <v>46151.725671296299</v>
      </c>
      <c r="E1891" s="879">
        <v>0.64</v>
      </c>
      <c r="F1891" s="408">
        <v>4.4999999999999998E-2</v>
      </c>
      <c r="G1891" s="453">
        <f t="shared" si="30"/>
        <v>0.67015706806282727</v>
      </c>
      <c r="H1891" s="453" t="s">
        <v>1666</v>
      </c>
      <c r="I1891" s="451" t="s">
        <v>1718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4" t="str">
        <f>LEFT(base[[#This Row],[Evento / Mercado]],FIND("/",base[[#This Row],[Evento / Mercado]])-2)</f>
        <v>1. FC Nürnberg vs FC Schalke 04</v>
      </c>
      <c r="T1891" s="1420">
        <f>base[[#This Row],[Data de liquidação]]</f>
        <v>46151.725671296299</v>
      </c>
    </row>
    <row r="1892" spans="2:20" ht="15" customHeight="1">
      <c r="B1892" s="786" t="s">
        <v>2172</v>
      </c>
      <c r="C1892" s="911" t="s">
        <v>3556</v>
      </c>
      <c r="D1892" s="1349">
        <v>46151.735300925924</v>
      </c>
      <c r="E1892" s="879">
        <v>-50.02</v>
      </c>
      <c r="F1892" s="408">
        <v>4.4999999999999998E-2</v>
      </c>
      <c r="G1892" s="453">
        <f t="shared" si="30"/>
        <v>-50.02</v>
      </c>
      <c r="H1892" s="453" t="s">
        <v>2148</v>
      </c>
      <c r="I1892" s="451" t="s">
        <v>2149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4" t="str">
        <f>LEFT(base[[#This Row],[Evento / Mercado]],FIND("/",base[[#This Row],[Evento / Mercado]])-2)</f>
        <v>Chicago Fire vs New York Red Bulls</v>
      </c>
      <c r="T1892" s="1420">
        <f>base[[#This Row],[Data de liquidação]]</f>
        <v>46151.735300925924</v>
      </c>
    </row>
    <row r="1893" spans="2:20" ht="15" customHeight="1">
      <c r="B1893" s="786" t="s">
        <v>2171</v>
      </c>
      <c r="C1893" s="911" t="s">
        <v>3556</v>
      </c>
      <c r="D1893" s="1349">
        <v>46151.74459490741</v>
      </c>
      <c r="E1893" s="879">
        <v>0.93</v>
      </c>
      <c r="F1893" s="408">
        <v>4.4999999999999998E-2</v>
      </c>
      <c r="G1893" s="453">
        <f t="shared" si="30"/>
        <v>0.97382198952879595</v>
      </c>
      <c r="H1893" s="453" t="s">
        <v>1666</v>
      </c>
      <c r="I1893" s="451" t="s">
        <v>1663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4" t="str">
        <f>LEFT(base[[#This Row],[Evento / Mercado]],FIND("/",base[[#This Row],[Evento / Mercado]])-2)</f>
        <v>Real Sociedad vs Real Betis</v>
      </c>
      <c r="T1893" s="1420">
        <f>base[[#This Row],[Data de liquidação]]</f>
        <v>46151.74459490741</v>
      </c>
    </row>
    <row r="1894" spans="2:20" ht="15" customHeight="1">
      <c r="B1894" s="786" t="s">
        <v>2170</v>
      </c>
      <c r="C1894" s="911" t="s">
        <v>3556</v>
      </c>
      <c r="D1894" s="1349">
        <v>46151.745937500003</v>
      </c>
      <c r="E1894" s="879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4" t="str">
        <f>LEFT(base[[#This Row],[Evento / Mercado]],FIND("/",base[[#This Row],[Evento / Mercado]])-2)</f>
        <v>Málaga vs Real Sporting de Gijon</v>
      </c>
      <c r="T1894" s="1420">
        <f>base[[#This Row],[Data de liquidação]]</f>
        <v>46151.745937500003</v>
      </c>
    </row>
    <row r="1895" spans="2:20" ht="15" customHeight="1">
      <c r="B1895" s="786" t="s">
        <v>2169</v>
      </c>
      <c r="C1895" s="911" t="s">
        <v>3556</v>
      </c>
      <c r="D1895" s="1349">
        <v>46151.748437499999</v>
      </c>
      <c r="E1895" s="879">
        <v>27.76</v>
      </c>
      <c r="F1895" s="408">
        <v>4.4999999999999998E-2</v>
      </c>
      <c r="G1895" s="453">
        <f t="shared" si="30"/>
        <v>29.068062827225134</v>
      </c>
      <c r="H1895" s="453" t="s">
        <v>2148</v>
      </c>
      <c r="I1895" s="451" t="s">
        <v>2149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4" t="str">
        <f>LEFT(base[[#This Row],[Evento / Mercado]],FIND("/",base[[#This Row],[Evento / Mercado]])-2)</f>
        <v>Real Sociedad vs Real Betis</v>
      </c>
      <c r="T1895" s="1420">
        <f>base[[#This Row],[Data de liquidação]]</f>
        <v>46151.748437499999</v>
      </c>
    </row>
    <row r="1896" spans="2:20" ht="15" customHeight="1">
      <c r="B1896" s="786" t="s">
        <v>2168</v>
      </c>
      <c r="C1896" s="911" t="s">
        <v>3556</v>
      </c>
      <c r="D1896" s="1349">
        <v>46151.770532407405</v>
      </c>
      <c r="E1896" s="879">
        <v>-42.99</v>
      </c>
      <c r="F1896" s="408">
        <v>4.4999999999999998E-2</v>
      </c>
      <c r="G1896" s="453">
        <f t="shared" si="30"/>
        <v>-42.99</v>
      </c>
      <c r="H1896" s="453" t="s">
        <v>1666</v>
      </c>
      <c r="I1896" s="451" t="s">
        <v>1759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4" t="str">
        <f>LEFT(base[[#This Row],[Evento / Mercado]],FIND("/",base[[#This Row],[Evento / Mercado]])-2)</f>
        <v>Lusitânia de Lourosa vs SC União Torreense</v>
      </c>
      <c r="T1896" s="1420">
        <f>base[[#This Row],[Data de liquidação]]</f>
        <v>46151.770532407405</v>
      </c>
    </row>
    <row r="1897" spans="2:20" ht="15" customHeight="1">
      <c r="B1897" s="786" t="s">
        <v>2167</v>
      </c>
      <c r="C1897" s="911" t="s">
        <v>3556</v>
      </c>
      <c r="D1897" s="1349">
        <v>46151.808263888888</v>
      </c>
      <c r="E1897" s="879">
        <v>-1.85</v>
      </c>
      <c r="F1897" s="408">
        <v>4.4999999999999998E-2</v>
      </c>
      <c r="G1897" s="453">
        <f t="shared" si="30"/>
        <v>-1.85</v>
      </c>
      <c r="H1897" s="453" t="s">
        <v>1666</v>
      </c>
      <c r="I1897" s="451" t="s">
        <v>1558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4" t="str">
        <f>LEFT(base[[#This Row],[Evento / Mercado]],FIND("/",base[[#This Row],[Evento / Mercado]])-2)</f>
        <v>Fluminense FC vs EC Vitória</v>
      </c>
      <c r="T1897" s="1420">
        <f>base[[#This Row],[Data de liquidação]]</f>
        <v>46151.808263888888</v>
      </c>
    </row>
    <row r="1898" spans="2:20" ht="15" customHeight="1">
      <c r="B1898" s="786" t="s">
        <v>2166</v>
      </c>
      <c r="C1898" s="911" t="s">
        <v>3556</v>
      </c>
      <c r="D1898" s="1349">
        <v>46151.816041666665</v>
      </c>
      <c r="E1898" s="879">
        <v>2.58</v>
      </c>
      <c r="F1898" s="408">
        <v>4.4999999999999998E-2</v>
      </c>
      <c r="G1898" s="453">
        <f t="shared" si="30"/>
        <v>2.7015706806282727</v>
      </c>
      <c r="H1898" s="453" t="s">
        <v>1666</v>
      </c>
      <c r="I1898" s="451" t="s">
        <v>1715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4" t="str">
        <f>LEFT(base[[#This Row],[Evento / Mercado]],FIND("/",base[[#This Row],[Evento / Mercado]])-2)</f>
        <v>CF Montreal vs Orlando City</v>
      </c>
      <c r="T1898" s="1420">
        <f>base[[#This Row],[Data de liquidação]]</f>
        <v>46151.816041666665</v>
      </c>
    </row>
    <row r="1899" spans="2:20" ht="15" customHeight="1">
      <c r="B1899" s="786" t="s">
        <v>2165</v>
      </c>
      <c r="C1899" s="911" t="s">
        <v>3556</v>
      </c>
      <c r="D1899" s="1349">
        <v>46151.816412037035</v>
      </c>
      <c r="E1899" s="879">
        <v>1.99</v>
      </c>
      <c r="F1899" s="408">
        <v>4.4999999999999998E-2</v>
      </c>
      <c r="G1899" s="453">
        <f t="shared" si="30"/>
        <v>2.0837696335078535</v>
      </c>
      <c r="H1899" s="453" t="s">
        <v>1666</v>
      </c>
      <c r="I1899" s="451" t="s">
        <v>1758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4" t="str">
        <f>LEFT(base[[#This Row],[Evento / Mercado]],FIND("/",base[[#This Row],[Evento / Mercado]])-2)</f>
        <v>CF Montreal vs Orlando City</v>
      </c>
      <c r="T1899" s="1420">
        <f>base[[#This Row],[Data de liquidação]]</f>
        <v>46151.816412037035</v>
      </c>
    </row>
    <row r="1900" spans="2:20" ht="15" customHeight="1">
      <c r="B1900" s="786" t="s">
        <v>2164</v>
      </c>
      <c r="C1900" s="911" t="s">
        <v>3556</v>
      </c>
      <c r="D1900" s="1349">
        <v>46151.872430555559</v>
      </c>
      <c r="E1900" s="879">
        <v>-50</v>
      </c>
      <c r="F1900" s="408">
        <v>4.4999999999999998E-2</v>
      </c>
      <c r="G1900" s="453">
        <f t="shared" si="30"/>
        <v>-50</v>
      </c>
      <c r="H1900" s="453" t="s">
        <v>2148</v>
      </c>
      <c r="I1900" s="451" t="s">
        <v>2149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4" t="str">
        <f>LEFT(base[[#This Row],[Evento / Mercado]],FIND("/",base[[#This Row],[Evento / Mercado]])-2)</f>
        <v>Ceará SC vs Atlético Goianiense</v>
      </c>
      <c r="T1900" s="1420">
        <f>base[[#This Row],[Data de liquidação]]</f>
        <v>46151.872430555559</v>
      </c>
    </row>
    <row r="1901" spans="2:20" ht="15" customHeight="1">
      <c r="B1901" s="786" t="s">
        <v>2163</v>
      </c>
      <c r="C1901" s="911" t="s">
        <v>3556</v>
      </c>
      <c r="D1901" s="1349">
        <v>46151.89199074074</v>
      </c>
      <c r="E1901" s="879">
        <v>3.82</v>
      </c>
      <c r="F1901" s="408">
        <v>4.4999999999999998E-2</v>
      </c>
      <c r="G1901" s="453">
        <f t="shared" si="30"/>
        <v>4</v>
      </c>
      <c r="H1901" s="453" t="s">
        <v>1666</v>
      </c>
      <c r="I1901" s="451" t="s">
        <v>1558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4" t="str">
        <f>LEFT(base[[#This Row],[Evento / Mercado]],FIND("/",base[[#This Row],[Evento / Mercado]])-2)</f>
        <v>Charlotte FC vs FC Cincinnati</v>
      </c>
      <c r="T1901" s="1420">
        <f>base[[#This Row],[Data de liquidação]]</f>
        <v>46151.89199074074</v>
      </c>
    </row>
    <row r="1902" spans="2:20" ht="15" customHeight="1">
      <c r="B1902" s="786" t="s">
        <v>2162</v>
      </c>
      <c r="C1902" s="911" t="s">
        <v>3556</v>
      </c>
      <c r="D1902" s="1349">
        <v>46151.905486111114</v>
      </c>
      <c r="E1902" s="879">
        <v>3.82</v>
      </c>
      <c r="F1902" s="408">
        <v>4.4999999999999998E-2</v>
      </c>
      <c r="G1902" s="453">
        <f t="shared" si="30"/>
        <v>4</v>
      </c>
      <c r="H1902" s="453" t="s">
        <v>1666</v>
      </c>
      <c r="I1902" s="451" t="s">
        <v>1558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4" t="str">
        <f>LEFT(base[[#This Row],[Evento / Mercado]],FIND("/",base[[#This Row],[Evento / Mercado]])-2)</f>
        <v>Esporte Clube Bahia vs Cruzeiro</v>
      </c>
      <c r="T1902" s="1420">
        <f>base[[#This Row],[Data de liquidação]]</f>
        <v>46151.905486111114</v>
      </c>
    </row>
    <row r="1903" spans="2:20" ht="15" customHeight="1">
      <c r="B1903" s="786" t="s">
        <v>2161</v>
      </c>
      <c r="C1903" s="911" t="s">
        <v>3556</v>
      </c>
      <c r="D1903" s="1349">
        <v>46151.917951388888</v>
      </c>
      <c r="E1903" s="879">
        <v>4.1500000000000004</v>
      </c>
      <c r="F1903" s="408">
        <v>4.4999999999999998E-2</v>
      </c>
      <c r="G1903" s="453">
        <f t="shared" si="30"/>
        <v>4.345549738219896</v>
      </c>
      <c r="H1903" s="453" t="s">
        <v>1666</v>
      </c>
      <c r="I1903" s="451" t="s">
        <v>1715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4" t="str">
        <f>LEFT(base[[#This Row],[Evento / Mercado]],FIND("/",base[[#This Row],[Evento / Mercado]])-2)</f>
        <v>Indy Eleven vs Sporting Club Jacksonville</v>
      </c>
      <c r="T1903" s="1420">
        <f>base[[#This Row],[Data de liquidação]]</f>
        <v>46151.917951388888</v>
      </c>
    </row>
    <row r="1904" spans="2:20" ht="15" customHeight="1">
      <c r="B1904" s="786" t="s">
        <v>2160</v>
      </c>
      <c r="C1904" s="911" t="s">
        <v>3556</v>
      </c>
      <c r="D1904" s="1349">
        <v>46151.920104166667</v>
      </c>
      <c r="E1904" s="879">
        <v>25.4</v>
      </c>
      <c r="F1904" s="408">
        <v>4.4999999999999998E-2</v>
      </c>
      <c r="G1904" s="453">
        <f t="shared" si="30"/>
        <v>26.596858638743456</v>
      </c>
      <c r="H1904" s="453" t="s">
        <v>2148</v>
      </c>
      <c r="I1904" s="451" t="s">
        <v>1795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4" t="str">
        <f>LEFT(base[[#This Row],[Evento / Mercado]],FIND("/",base[[#This Row],[Evento / Mercado]])-2)</f>
        <v>Independiente Rivadavia vs Unión de Santa Fe</v>
      </c>
      <c r="T1904" s="1420">
        <f>base[[#This Row],[Data de liquidação]]</f>
        <v>46151.920104166667</v>
      </c>
    </row>
    <row r="1905" spans="2:22" ht="15" customHeight="1">
      <c r="B1905" s="786" t="s">
        <v>2159</v>
      </c>
      <c r="C1905" s="911" t="s">
        <v>3556</v>
      </c>
      <c r="D1905" s="1349">
        <v>46151.934849537036</v>
      </c>
      <c r="E1905" s="879">
        <v>2.99</v>
      </c>
      <c r="F1905" s="408">
        <v>4.4999999999999998E-2</v>
      </c>
      <c r="G1905" s="453">
        <f t="shared" si="30"/>
        <v>3.1308900523560212</v>
      </c>
      <c r="H1905" s="453" t="s">
        <v>1666</v>
      </c>
      <c r="I1905" s="451" t="s">
        <v>1715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4" t="str">
        <f>LEFT(base[[#This Row],[Evento / Mercado]],FIND("/",base[[#This Row],[Evento / Mercado]])-2)</f>
        <v>Real Tomayapo vs San Antonio</v>
      </c>
      <c r="T1905" s="1420">
        <f>base[[#This Row],[Data de liquidação]]</f>
        <v>46151.934849537036</v>
      </c>
    </row>
    <row r="1906" spans="2:22" ht="15" customHeight="1">
      <c r="B1906" s="786" t="s">
        <v>1892</v>
      </c>
      <c r="C1906" s="911" t="s">
        <v>3556</v>
      </c>
      <c r="D1906" s="1349">
        <v>46151.937488425923</v>
      </c>
      <c r="E1906" s="879">
        <v>0.36</v>
      </c>
      <c r="F1906" s="408">
        <v>4.4999999999999998E-2</v>
      </c>
      <c r="G1906" s="453">
        <f t="shared" si="30"/>
        <v>0.37696335078534032</v>
      </c>
      <c r="H1906" s="453" t="s">
        <v>1666</v>
      </c>
      <c r="I1906" s="451" t="s">
        <v>2228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4" t="str">
        <f>LEFT(base[[#This Row],[Evento / Mercado]],FIND("/",base[[#This Row],[Evento / Mercado]])-2)</f>
        <v>New England Revolution vs Philadelphia Union</v>
      </c>
      <c r="T1906" s="1420">
        <f>base[[#This Row],[Data de liquidação]]</f>
        <v>46151.937488425923</v>
      </c>
    </row>
    <row r="1907" spans="2:22" ht="15" customHeight="1">
      <c r="B1907" s="786" t="s">
        <v>2158</v>
      </c>
      <c r="C1907" s="911" t="s">
        <v>3556</v>
      </c>
      <c r="D1907" s="1349">
        <v>46151.939155092594</v>
      </c>
      <c r="E1907" s="879">
        <v>2.5099999999999998</v>
      </c>
      <c r="F1907" s="408">
        <v>4.4999999999999998E-2</v>
      </c>
      <c r="G1907" s="453">
        <f t="shared" si="30"/>
        <v>2.6282722513089003</v>
      </c>
      <c r="H1907" s="453" t="s">
        <v>1666</v>
      </c>
      <c r="I1907" s="451" t="s">
        <v>1715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4" t="str">
        <f>LEFT(base[[#This Row],[Evento / Mercado]],FIND("/",base[[#This Row],[Evento / Mercado]])-2)</f>
        <v>Charlotte FC vs FC Cincinnati</v>
      </c>
      <c r="T1907" s="1420">
        <f>base[[#This Row],[Data de liquidação]]</f>
        <v>46151.939155092594</v>
      </c>
    </row>
    <row r="1908" spans="2:22" ht="15" customHeight="1">
      <c r="B1908" s="786" t="s">
        <v>2157</v>
      </c>
      <c r="C1908" s="911" t="s">
        <v>3556</v>
      </c>
      <c r="D1908" s="1349">
        <v>46151.941516203704</v>
      </c>
      <c r="E1908" s="879">
        <v>0.55000000000000004</v>
      </c>
      <c r="F1908" s="408">
        <v>4.4999999999999998E-2</v>
      </c>
      <c r="G1908" s="453">
        <f t="shared" si="30"/>
        <v>0.5759162303664922</v>
      </c>
      <c r="H1908" s="453" t="s">
        <v>1666</v>
      </c>
      <c r="I1908" s="451" t="s">
        <v>2228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4" t="str">
        <f>LEFT(base[[#This Row],[Evento / Mercado]],FIND("/",base[[#This Row],[Evento / Mercado]])-2)</f>
        <v>Rhode Island FC vs Tampa Bay Rowdies</v>
      </c>
      <c r="T1908" s="1420">
        <f>base[[#This Row],[Data de liquidação]]</f>
        <v>46151.941516203704</v>
      </c>
    </row>
    <row r="1909" spans="2:22" ht="15" customHeight="1">
      <c r="B1909" s="786" t="s">
        <v>2156</v>
      </c>
      <c r="C1909" s="911" t="s">
        <v>3556</v>
      </c>
      <c r="D1909" s="1349">
        <v>46151.953935185185</v>
      </c>
      <c r="E1909" s="879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4" t="str">
        <f>LEFT(base[[#This Row],[Evento / Mercado]],FIND("/",base[[#This Row],[Evento / Mercado]])-2)</f>
        <v>Esporte Clube Bahia vs Cruzeiro</v>
      </c>
      <c r="T1909" s="142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86" t="s">
        <v>2156</v>
      </c>
      <c r="C1910" s="911" t="s">
        <v>3556</v>
      </c>
      <c r="D1910" s="1349">
        <v>46151.953935185185</v>
      </c>
      <c r="E1910" s="879">
        <v>0.45</v>
      </c>
      <c r="F1910" s="408">
        <v>4.4999999999999998E-2</v>
      </c>
      <c r="G1910" s="453">
        <f t="shared" si="30"/>
        <v>0.47120418848167545</v>
      </c>
      <c r="H1910" s="453" t="s">
        <v>1666</v>
      </c>
      <c r="I1910" s="451" t="s">
        <v>2228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4" t="str">
        <f>LEFT(base[[#This Row],[Evento / Mercado]],FIND("/",base[[#This Row],[Evento / Mercado]])-2)</f>
        <v>Esporte Clube Bahia vs Cruzeiro</v>
      </c>
      <c r="T1910" s="142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86" t="s">
        <v>2155</v>
      </c>
      <c r="C1911" s="911" t="s">
        <v>3556</v>
      </c>
      <c r="D1911" s="1349">
        <v>46151.955057870371</v>
      </c>
      <c r="E1911" s="879">
        <v>-4.8</v>
      </c>
      <c r="F1911" s="408">
        <v>4.4999999999999998E-2</v>
      </c>
      <c r="G1911" s="453">
        <f t="shared" si="30"/>
        <v>-4.8</v>
      </c>
      <c r="H1911" s="453" t="s">
        <v>1666</v>
      </c>
      <c r="I1911" s="451" t="s">
        <v>2228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4" t="str">
        <f>LEFT(base[[#This Row],[Evento / Mercado]],FIND("/",base[[#This Row],[Evento / Mercado]])-2)</f>
        <v>Independiente del Valle vs Barcelona SC</v>
      </c>
      <c r="T1911" s="1420">
        <f>base[[#This Row],[Data de liquidação]]</f>
        <v>46151.955057870371</v>
      </c>
    </row>
    <row r="1912" spans="2:22" ht="15" customHeight="1">
      <c r="B1912" s="786" t="s">
        <v>2154</v>
      </c>
      <c r="C1912" s="911" t="s">
        <v>3556</v>
      </c>
      <c r="D1912" s="1349">
        <v>46151.999351851853</v>
      </c>
      <c r="E1912" s="879">
        <v>-5</v>
      </c>
      <c r="F1912" s="408">
        <v>4.4999999999999998E-2</v>
      </c>
      <c r="G1912" s="453">
        <f t="shared" si="30"/>
        <v>-5</v>
      </c>
      <c r="H1912" s="453" t="s">
        <v>1666</v>
      </c>
      <c r="I1912" s="451" t="s">
        <v>1716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4" t="str">
        <f>LEFT(base[[#This Row],[Evento / Mercado]],FIND("/",base[[#This Row],[Evento / Mercado]])-2)</f>
        <v>Alianza Lima vs Sporting Cristal</v>
      </c>
      <c r="T1912" s="1420">
        <f>base[[#This Row],[Data de liquidação]]</f>
        <v>46151.999351851853</v>
      </c>
    </row>
    <row r="1913" spans="2:22" ht="15" customHeight="1">
      <c r="B1913" s="786" t="s">
        <v>2153</v>
      </c>
      <c r="C1913" s="911" t="s">
        <v>3556</v>
      </c>
      <c r="D1913" s="1349">
        <v>46151.999594907407</v>
      </c>
      <c r="E1913" s="879">
        <v>13.37</v>
      </c>
      <c r="F1913" s="408">
        <v>4.4999999999999998E-2</v>
      </c>
      <c r="G1913" s="453">
        <f t="shared" si="30"/>
        <v>14</v>
      </c>
      <c r="H1913" s="453" t="s">
        <v>2148</v>
      </c>
      <c r="I1913" s="451" t="s">
        <v>1795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4" t="str">
        <f>LEFT(base[[#This Row],[Evento / Mercado]],FIND("/",base[[#This Row],[Evento / Mercado]])-2)</f>
        <v>Seattle Sounders vs San Diego FC</v>
      </c>
      <c r="T1913" s="1420">
        <f>base[[#This Row],[Data de liquidação]]</f>
        <v>46151.999594907407</v>
      </c>
    </row>
    <row r="1914" spans="2:22" ht="15" customHeight="1">
      <c r="B1914" s="786" t="s">
        <v>2300</v>
      </c>
      <c r="C1914" s="911" t="s">
        <v>3556</v>
      </c>
      <c r="D1914" s="1349">
        <v>46152.000879629632</v>
      </c>
      <c r="E1914" s="879">
        <v>15.41</v>
      </c>
      <c r="F1914" s="408">
        <v>4.4999999999999998E-2</v>
      </c>
      <c r="G1914" s="453">
        <f t="shared" si="30"/>
        <v>16.136125654450261</v>
      </c>
      <c r="H1914" s="453" t="s">
        <v>2148</v>
      </c>
      <c r="I1914" s="451" t="s">
        <v>2149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4" t="str">
        <f>LEFT(base[[#This Row],[Evento / Mercado]],FIND("/",base[[#This Row],[Evento / Mercado]])-2)</f>
        <v>Club Jaiba Brava vs CD Tepatitlan de Morelos</v>
      </c>
      <c r="T1914" s="1420">
        <f>base[[#This Row],[Data de liquidação]]</f>
        <v>46152.000879629632</v>
      </c>
    </row>
    <row r="1915" spans="2:22" ht="15" customHeight="1">
      <c r="B1915" s="786" t="s">
        <v>2299</v>
      </c>
      <c r="C1915" s="911" t="s">
        <v>3556</v>
      </c>
      <c r="D1915" s="1349">
        <v>46152.001608796294</v>
      </c>
      <c r="E1915" s="879">
        <v>0.5</v>
      </c>
      <c r="F1915" s="408">
        <v>4.4999999999999998E-2</v>
      </c>
      <c r="G1915" s="453">
        <f t="shared" si="30"/>
        <v>0.52356020942408377</v>
      </c>
      <c r="H1915" s="453" t="s">
        <v>1666</v>
      </c>
      <c r="I1915" s="451" t="s">
        <v>2228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4" t="str">
        <f>LEFT(base[[#This Row],[Evento / Mercado]],FIND("/",base[[#This Row],[Evento / Mercado]])-2)</f>
        <v>Alianza Lima vs Sporting Cristal</v>
      </c>
      <c r="T1915" s="1420">
        <f>base[[#This Row],[Data de liquidação]]</f>
        <v>46152.001608796294</v>
      </c>
    </row>
    <row r="1916" spans="2:22" ht="15" customHeight="1">
      <c r="B1916" s="786" t="s">
        <v>2298</v>
      </c>
      <c r="C1916" s="911" t="s">
        <v>3556</v>
      </c>
      <c r="D1916" s="1349">
        <v>46152.003159722219</v>
      </c>
      <c r="E1916" s="879">
        <v>-6.85</v>
      </c>
      <c r="F1916" s="408">
        <v>4.4999999999999998E-2</v>
      </c>
      <c r="G1916" s="453">
        <f t="shared" si="30"/>
        <v>-6.85</v>
      </c>
      <c r="H1916" s="453" t="s">
        <v>1666</v>
      </c>
      <c r="I1916" s="451" t="s">
        <v>2228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4" t="str">
        <f>LEFT(base[[#This Row],[Evento / Mercado]],FIND("/",base[[#This Row],[Evento / Mercado]])-2)</f>
        <v>Nashville Soccer Club vs DC United</v>
      </c>
      <c r="T1916" s="1420">
        <f>base[[#This Row],[Data de liquidação]]</f>
        <v>46152.003159722219</v>
      </c>
    </row>
    <row r="1917" spans="2:22" ht="15" customHeight="1">
      <c r="B1917" s="786" t="s">
        <v>2297</v>
      </c>
      <c r="C1917" s="911" t="s">
        <v>3556</v>
      </c>
      <c r="D1917" s="1349">
        <v>46152.016932870371</v>
      </c>
      <c r="E1917" s="879">
        <v>-2</v>
      </c>
      <c r="F1917" s="408">
        <v>4.4999999999999998E-2</v>
      </c>
      <c r="G1917" s="453">
        <f t="shared" si="30"/>
        <v>-2</v>
      </c>
      <c r="H1917" s="453" t="s">
        <v>1666</v>
      </c>
      <c r="I1917" s="451" t="s">
        <v>1758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4" t="str">
        <f>LEFT(base[[#This Row],[Evento / Mercado]],FIND("/",base[[#This Row],[Evento / Mercado]])-2)</f>
        <v>Nashville Soccer Club vs DC United</v>
      </c>
      <c r="T1917" s="1420">
        <f>base[[#This Row],[Data de liquidação]]</f>
        <v>46152.016932870371</v>
      </c>
    </row>
    <row r="1918" spans="2:22" ht="15" customHeight="1">
      <c r="B1918" s="786" t="s">
        <v>2296</v>
      </c>
      <c r="C1918" s="911" t="s">
        <v>3556</v>
      </c>
      <c r="D1918" s="1349">
        <v>46152.024780092594</v>
      </c>
      <c r="E1918" s="879">
        <v>2.58</v>
      </c>
      <c r="F1918" s="408">
        <v>4.4999999999999998E-2</v>
      </c>
      <c r="G1918" s="453">
        <f t="shared" si="30"/>
        <v>2.7015706806282727</v>
      </c>
      <c r="H1918" s="453" t="s">
        <v>1666</v>
      </c>
      <c r="I1918" s="451" t="s">
        <v>1715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4" t="str">
        <f>LEFT(base[[#This Row],[Evento / Mercado]],FIND("/",base[[#This Row],[Evento / Mercado]])-2)</f>
        <v>Colorado Rapids vs Saint Louis City SC</v>
      </c>
      <c r="T1918" s="1420">
        <f>base[[#This Row],[Data de liquidação]]</f>
        <v>46152.024780092594</v>
      </c>
    </row>
    <row r="1919" spans="2:22" ht="15" customHeight="1">
      <c r="B1919" s="786" t="s">
        <v>2295</v>
      </c>
      <c r="C1919" s="911" t="s">
        <v>3556</v>
      </c>
      <c r="D1919" s="1349">
        <v>46152.047303240739</v>
      </c>
      <c r="E1919" s="879">
        <v>0.67</v>
      </c>
      <c r="F1919" s="408">
        <v>4.4999999999999998E-2</v>
      </c>
      <c r="G1919" s="453">
        <f t="shared" si="30"/>
        <v>0.70157068062827233</v>
      </c>
      <c r="H1919" s="453" t="s">
        <v>1666</v>
      </c>
      <c r="I1919" s="451" t="s">
        <v>2228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4" t="str">
        <f>LEFT(base[[#This Row],[Evento / Mercado]],FIND("/",base[[#This Row],[Evento / Mercado]])-2)</f>
        <v>Phoenix Rising FC vs San Antonio FC</v>
      </c>
      <c r="T1919" s="1420">
        <f>base[[#This Row],[Data de liquidação]]</f>
        <v>46152.047303240739</v>
      </c>
    </row>
    <row r="1920" spans="2:22" ht="15" customHeight="1">
      <c r="B1920" s="786" t="s">
        <v>2294</v>
      </c>
      <c r="C1920" s="911" t="s">
        <v>3556</v>
      </c>
      <c r="D1920" s="1349">
        <v>46152.052314814813</v>
      </c>
      <c r="E1920" s="879">
        <v>-3.56</v>
      </c>
      <c r="F1920" s="408">
        <v>4.4999999999999998E-2</v>
      </c>
      <c r="G1920" s="453">
        <f t="shared" si="30"/>
        <v>-3.56</v>
      </c>
      <c r="H1920" s="453" t="s">
        <v>1666</v>
      </c>
      <c r="I1920" s="451" t="s">
        <v>1558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4" t="str">
        <f>LEFT(base[[#This Row],[Evento / Mercado]],FIND("/",base[[#This Row],[Evento / Mercado]])-2)</f>
        <v>San Jose Earthquakes vs Vancouver Whitecaps</v>
      </c>
      <c r="T1920" s="1420">
        <f>base[[#This Row],[Data de liquidação]]</f>
        <v>46152.052314814813</v>
      </c>
    </row>
    <row r="1921" spans="2:20" ht="15" customHeight="1">
      <c r="B1921" s="786" t="s">
        <v>2293</v>
      </c>
      <c r="C1921" s="911" t="s">
        <v>3556</v>
      </c>
      <c r="D1921" s="1349">
        <v>46152.056388888886</v>
      </c>
      <c r="E1921" s="879">
        <v>-4.18</v>
      </c>
      <c r="F1921" s="408">
        <v>4.4999999999999998E-2</v>
      </c>
      <c r="G1921" s="453">
        <f t="shared" si="30"/>
        <v>-4.18</v>
      </c>
      <c r="H1921" s="453" t="s">
        <v>1666</v>
      </c>
      <c r="I1921" s="451" t="s">
        <v>1558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4" t="str">
        <f>LEFT(base[[#This Row],[Evento / Mercado]],FIND("/",base[[#This Row],[Evento / Mercado]])-2)</f>
        <v>Seattle Sounders vs San Diego FC</v>
      </c>
      <c r="T1921" s="1420">
        <f>base[[#This Row],[Data de liquidação]]</f>
        <v>46152.056388888886</v>
      </c>
    </row>
    <row r="1922" spans="2:20" ht="15" customHeight="1">
      <c r="B1922" s="786" t="s">
        <v>2292</v>
      </c>
      <c r="C1922" s="911" t="s">
        <v>3556</v>
      </c>
      <c r="D1922" s="1349">
        <v>46152.065289351849</v>
      </c>
      <c r="E1922" s="879">
        <v>27.22</v>
      </c>
      <c r="F1922" s="408">
        <v>4.4999999999999998E-2</v>
      </c>
      <c r="G1922" s="453">
        <f t="shared" si="30"/>
        <v>28.502617801047119</v>
      </c>
      <c r="H1922" s="453" t="s">
        <v>2148</v>
      </c>
      <c r="I1922" s="451" t="s">
        <v>2151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4" t="str">
        <f>LEFT(base[[#This Row],[Evento / Mercado]],FIND("/",base[[#This Row],[Evento / Mercado]])-2)</f>
        <v>Portland Timbers vs Sporting Kansas City</v>
      </c>
      <c r="T1922" s="1420">
        <f>base[[#This Row],[Data de liquidação]]</f>
        <v>46152.065289351849</v>
      </c>
    </row>
    <row r="1923" spans="2:20" ht="15" customHeight="1">
      <c r="B1923" s="786" t="s">
        <v>2291</v>
      </c>
      <c r="C1923" s="911" t="s">
        <v>3556</v>
      </c>
      <c r="D1923" s="1349">
        <v>46152.066284722219</v>
      </c>
      <c r="E1923" s="879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2148</v>
      </c>
      <c r="I1923" s="451" t="s">
        <v>2149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4" t="str">
        <f>LEFT(base[[#This Row],[Evento / Mercado]],FIND("/",base[[#This Row],[Evento / Mercado]])-2)</f>
        <v>Seattle Sounders vs San Diego FC</v>
      </c>
      <c r="T1923" s="1420">
        <f>base[[#This Row],[Data de liquidação]]</f>
        <v>46152.066284722219</v>
      </c>
    </row>
    <row r="1924" spans="2:20" ht="15" customHeight="1">
      <c r="B1924" s="786" t="s">
        <v>2290</v>
      </c>
      <c r="C1924" s="911" t="s">
        <v>3556</v>
      </c>
      <c r="D1924" s="1349">
        <v>46152.066759259258</v>
      </c>
      <c r="E1924" s="879">
        <v>3.94</v>
      </c>
      <c r="F1924" s="408">
        <v>4.4999999999999998E-2</v>
      </c>
      <c r="G1924" s="453">
        <f t="shared" si="31"/>
        <v>4.1256544502617798</v>
      </c>
      <c r="H1924" s="453" t="s">
        <v>1666</v>
      </c>
      <c r="I1924" s="451" t="s">
        <v>1759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4" t="str">
        <f>LEFT(base[[#This Row],[Evento / Mercado]],FIND("/",base[[#This Row],[Evento / Mercado]])-2)</f>
        <v>San Jose Earthquakes vs Vancouver Whitecaps</v>
      </c>
      <c r="T1924" s="1420">
        <f>base[[#This Row],[Data de liquidação]]</f>
        <v>46152.066759259258</v>
      </c>
    </row>
    <row r="1925" spans="2:20" ht="15" customHeight="1">
      <c r="B1925" s="786" t="s">
        <v>2289</v>
      </c>
      <c r="C1925" s="911" t="s">
        <v>3556</v>
      </c>
      <c r="D1925" s="1349">
        <v>46152.0940162037</v>
      </c>
      <c r="E1925" s="879">
        <v>7.96</v>
      </c>
      <c r="F1925" s="408">
        <v>4.4999999999999998E-2</v>
      </c>
      <c r="G1925" s="453">
        <f t="shared" si="31"/>
        <v>8.335078534031414</v>
      </c>
      <c r="H1925" s="453" t="s">
        <v>2148</v>
      </c>
      <c r="I1925" s="451" t="s">
        <v>2149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4" t="str">
        <f>LEFT(base[[#This Row],[Evento / Mercado]],FIND("/",base[[#This Row],[Evento / Mercado]])-2)</f>
        <v>Cruz Azul vs Atlas</v>
      </c>
      <c r="T1925" s="1420">
        <f>base[[#This Row],[Data de liquidação]]</f>
        <v>46152.0940162037</v>
      </c>
    </row>
    <row r="1926" spans="2:20" ht="15" customHeight="1">
      <c r="B1926" s="786" t="s">
        <v>2288</v>
      </c>
      <c r="C1926" s="911" t="s">
        <v>3556</v>
      </c>
      <c r="D1926" s="1349">
        <v>46152.167870370373</v>
      </c>
      <c r="E1926" s="879">
        <v>3.98</v>
      </c>
      <c r="F1926" s="408">
        <v>4.4999999999999998E-2</v>
      </c>
      <c r="G1926" s="453">
        <f t="shared" si="31"/>
        <v>4.167539267015707</v>
      </c>
      <c r="H1926" s="453" t="s">
        <v>1666</v>
      </c>
      <c r="I1926" s="451" t="s">
        <v>1759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4" t="str">
        <f>LEFT(base[[#This Row],[Evento / Mercado]],FIND("/",base[[#This Row],[Evento / Mercado]])-2)</f>
        <v>Yokohama F. Marinos vs Kashima Antlers</v>
      </c>
      <c r="T1926" s="1420">
        <f>base[[#This Row],[Data de liquidação]]</f>
        <v>46152.167870370373</v>
      </c>
    </row>
    <row r="1927" spans="2:20" ht="15" customHeight="1">
      <c r="B1927" s="786" t="s">
        <v>2287</v>
      </c>
      <c r="C1927" s="911" t="s">
        <v>3556</v>
      </c>
      <c r="D1927" s="1349">
        <v>46152.222800925927</v>
      </c>
      <c r="E1927" s="879">
        <v>18.62</v>
      </c>
      <c r="F1927" s="408">
        <v>4.4999999999999998E-2</v>
      </c>
      <c r="G1927" s="453">
        <f t="shared" si="31"/>
        <v>19.497382198952881</v>
      </c>
      <c r="H1927" s="453" t="s">
        <v>2148</v>
      </c>
      <c r="I1927" s="451" t="s">
        <v>1795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4" t="str">
        <f>LEFT(base[[#This Row],[Evento / Mercado]],FIND("/",base[[#This Row],[Evento / Mercado]])-2)</f>
        <v>Busan I'Park vs Cheonan City</v>
      </c>
      <c r="T1927" s="1420">
        <f>base[[#This Row],[Data de liquidação]]</f>
        <v>46152.222800925927</v>
      </c>
    </row>
    <row r="1928" spans="2:20" ht="15" customHeight="1">
      <c r="B1928" s="786" t="s">
        <v>2286</v>
      </c>
      <c r="C1928" s="911" t="s">
        <v>3556</v>
      </c>
      <c r="D1928" s="1349">
        <v>46152.269282407404</v>
      </c>
      <c r="E1928" s="879">
        <v>9.74</v>
      </c>
      <c r="F1928" s="408">
        <v>4.4999999999999998E-2</v>
      </c>
      <c r="G1928" s="453">
        <f t="shared" si="31"/>
        <v>10.198952879581153</v>
      </c>
      <c r="H1928" s="453" t="s">
        <v>2148</v>
      </c>
      <c r="I1928" s="451" t="s">
        <v>2149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4" t="str">
        <f>LEFT(base[[#This Row],[Evento / Mercado]],FIND("/",base[[#This Row],[Evento / Mercado]])-2)</f>
        <v>Busan I'Park vs Cheonan City</v>
      </c>
      <c r="T1928" s="1420">
        <f>base[[#This Row],[Data de liquidação]]</f>
        <v>46152.269282407404</v>
      </c>
    </row>
    <row r="1929" spans="2:20" ht="15" customHeight="1">
      <c r="B1929" s="786" t="s">
        <v>2285</v>
      </c>
      <c r="C1929" s="911" t="s">
        <v>3556</v>
      </c>
      <c r="D1929" s="1349">
        <v>46152.353159722225</v>
      </c>
      <c r="E1929" s="879">
        <v>2.0699999999999998</v>
      </c>
      <c r="F1929" s="408">
        <v>4.4999999999999998E-2</v>
      </c>
      <c r="G1929" s="453">
        <f t="shared" si="31"/>
        <v>2.1675392670157065</v>
      </c>
      <c r="H1929" s="453" t="s">
        <v>1666</v>
      </c>
      <c r="I1929" s="451" t="s">
        <v>1759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4" t="str">
        <f>LEFT(base[[#This Row],[Evento / Mercado]],FIND("/",base[[#This Row],[Evento / Mercado]])-2)</f>
        <v>Qingdao West Coast vs Wuhan Three Towns</v>
      </c>
      <c r="T1929" s="1420">
        <f>base[[#This Row],[Data de liquidação]]</f>
        <v>46152.353159722225</v>
      </c>
    </row>
    <row r="1930" spans="2:20" ht="15" customHeight="1">
      <c r="B1930" s="786" t="s">
        <v>2284</v>
      </c>
      <c r="C1930" s="911" t="s">
        <v>3556</v>
      </c>
      <c r="D1930" s="1349">
        <v>46152.353194444448</v>
      </c>
      <c r="E1930" s="879">
        <v>0.4</v>
      </c>
      <c r="F1930" s="408">
        <v>4.4999999999999998E-2</v>
      </c>
      <c r="G1930" s="453">
        <f t="shared" si="31"/>
        <v>0.41884816753926707</v>
      </c>
      <c r="H1930" s="453" t="s">
        <v>1666</v>
      </c>
      <c r="I1930" s="451" t="s">
        <v>2228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4" t="str">
        <f>LEFT(base[[#This Row],[Evento / Mercado]],FIND("/",base[[#This Row],[Evento / Mercado]])-2)</f>
        <v>Qingdao West Coast vs Wuhan Three Towns</v>
      </c>
      <c r="T1930" s="1420">
        <f>base[[#This Row],[Data de liquidação]]</f>
        <v>46152.353194444448</v>
      </c>
    </row>
    <row r="1931" spans="2:20" ht="15" customHeight="1">
      <c r="B1931" s="786" t="s">
        <v>2283</v>
      </c>
      <c r="C1931" s="911" t="s">
        <v>3556</v>
      </c>
      <c r="D1931" s="1349">
        <v>46152.370115740741</v>
      </c>
      <c r="E1931" s="879">
        <v>3.82</v>
      </c>
      <c r="F1931" s="408">
        <v>4.4999999999999998E-2</v>
      </c>
      <c r="G1931" s="453">
        <f t="shared" si="31"/>
        <v>4</v>
      </c>
      <c r="H1931" s="453" t="s">
        <v>1666</v>
      </c>
      <c r="I1931" s="451" t="s">
        <v>1558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4" t="str">
        <f>LEFT(base[[#This Row],[Evento / Mercado]],FIND("/",base[[#This Row],[Evento / Mercado]])-2)</f>
        <v>BG Pathumthani United vs Prachuap FC</v>
      </c>
      <c r="T1931" s="1420">
        <f>base[[#This Row],[Data de liquidação]]</f>
        <v>46152.370115740741</v>
      </c>
    </row>
    <row r="1932" spans="2:20" ht="15" customHeight="1">
      <c r="B1932" s="786" t="s">
        <v>2282</v>
      </c>
      <c r="C1932" s="911" t="s">
        <v>3556</v>
      </c>
      <c r="D1932" s="1349">
        <v>46152.394074074073</v>
      </c>
      <c r="E1932" s="879">
        <v>0.67</v>
      </c>
      <c r="F1932" s="408">
        <v>4.4999999999999998E-2</v>
      </c>
      <c r="G1932" s="453">
        <f t="shared" si="31"/>
        <v>0.70157068062827233</v>
      </c>
      <c r="H1932" s="453" t="s">
        <v>1666</v>
      </c>
      <c r="I1932" s="451" t="s">
        <v>2228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4" t="str">
        <f>LEFT(base[[#This Row],[Evento / Mercado]],FIND("/",base[[#This Row],[Evento / Mercado]])-2)</f>
        <v>Hellas Verona vs Como</v>
      </c>
      <c r="T1932" s="1420">
        <f>base[[#This Row],[Data de liquidação]]</f>
        <v>46152.394074074073</v>
      </c>
    </row>
    <row r="1933" spans="2:20" ht="15" customHeight="1">
      <c r="B1933" s="786" t="s">
        <v>2281</v>
      </c>
      <c r="C1933" s="911" t="s">
        <v>3556</v>
      </c>
      <c r="D1933" s="1349">
        <v>46152.406886574077</v>
      </c>
      <c r="E1933" s="879">
        <v>1.81</v>
      </c>
      <c r="F1933" s="408">
        <v>4.4999999999999998E-2</v>
      </c>
      <c r="G1933" s="453">
        <f t="shared" si="31"/>
        <v>1.8952879581151834</v>
      </c>
      <c r="H1933" s="453" t="s">
        <v>1666</v>
      </c>
      <c r="I1933" s="451" t="s">
        <v>1760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4" t="str">
        <f>LEFT(base[[#This Row],[Evento / Mercado]],FIND("/",base[[#This Row],[Evento / Mercado]])-2)</f>
        <v>Chonburi vs Nakhon Ratchasima</v>
      </c>
      <c r="T1933" s="1420">
        <f>base[[#This Row],[Data de liquidação]]</f>
        <v>46152.406886574077</v>
      </c>
    </row>
    <row r="1934" spans="2:20" ht="15" customHeight="1">
      <c r="B1934" s="786" t="s">
        <v>2280</v>
      </c>
      <c r="C1934" s="911" t="s">
        <v>3556</v>
      </c>
      <c r="D1934" s="1349">
        <v>46152.407916666663</v>
      </c>
      <c r="E1934" s="879">
        <v>-50</v>
      </c>
      <c r="F1934" s="408">
        <v>4.4999999999999998E-2</v>
      </c>
      <c r="G1934" s="453">
        <f t="shared" si="31"/>
        <v>-50</v>
      </c>
      <c r="H1934" s="453" t="s">
        <v>2148</v>
      </c>
      <c r="I1934" s="451" t="s">
        <v>1795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4" t="str">
        <f>LEFT(base[[#This Row],[Evento / Mercado]],FIND("/",base[[#This Row],[Evento / Mercado]])-2)</f>
        <v>Kalmar FF vs Halmstads BK</v>
      </c>
      <c r="T1934" s="1420">
        <f>base[[#This Row],[Data de liquidação]]</f>
        <v>46152.407916666663</v>
      </c>
    </row>
    <row r="1935" spans="2:20" ht="15" customHeight="1">
      <c r="B1935" s="786" t="s">
        <v>2279</v>
      </c>
      <c r="C1935" s="911" t="s">
        <v>3556</v>
      </c>
      <c r="D1935" s="1349">
        <v>46152.412627314814</v>
      </c>
      <c r="E1935" s="879">
        <v>2.5099999999999998</v>
      </c>
      <c r="F1935" s="408">
        <v>4.4999999999999998E-2</v>
      </c>
      <c r="G1935" s="453">
        <f t="shared" si="31"/>
        <v>2.6282722513089003</v>
      </c>
      <c r="H1935" s="453" t="s">
        <v>1666</v>
      </c>
      <c r="I1935" s="451" t="s">
        <v>1715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4" t="str">
        <f>LEFT(base[[#This Row],[Evento / Mercado]],FIND("/",base[[#This Row],[Evento / Mercado]])-2)</f>
        <v>Liaoning Tieren F.C. vs Yunnan Yukun</v>
      </c>
      <c r="T1935" s="1420">
        <f>base[[#This Row],[Data de liquidação]]</f>
        <v>46152.412627314814</v>
      </c>
    </row>
    <row r="1936" spans="2:20" ht="15" customHeight="1">
      <c r="B1936" s="786" t="s">
        <v>2278</v>
      </c>
      <c r="C1936" s="911" t="s">
        <v>3556</v>
      </c>
      <c r="D1936" s="1349">
        <v>46152.413807870369</v>
      </c>
      <c r="E1936" s="879">
        <v>2.39</v>
      </c>
      <c r="F1936" s="408">
        <v>4.4999999999999998E-2</v>
      </c>
      <c r="G1936" s="453">
        <f t="shared" si="31"/>
        <v>2.5026178010471205</v>
      </c>
      <c r="H1936" s="453" t="s">
        <v>1666</v>
      </c>
      <c r="I1936" s="451" t="s">
        <v>1715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4" t="str">
        <f>LEFT(base[[#This Row],[Evento / Mercado]],FIND("/",base[[#This Row],[Evento / Mercado]])-2)</f>
        <v>Chonburi vs Nakhon Ratchasima</v>
      </c>
      <c r="T1936" s="1420">
        <f>base[[#This Row],[Data de liquidação]]</f>
        <v>46152.413807870369</v>
      </c>
    </row>
    <row r="1937" spans="2:20" ht="15" customHeight="1">
      <c r="B1937" s="786" t="s">
        <v>2277</v>
      </c>
      <c r="C1937" s="911" t="s">
        <v>3556</v>
      </c>
      <c r="D1937" s="1349">
        <v>46152.433530092596</v>
      </c>
      <c r="E1937" s="879">
        <v>0.69</v>
      </c>
      <c r="F1937" s="408">
        <v>4.4999999999999998E-2</v>
      </c>
      <c r="G1937" s="453">
        <f t="shared" si="31"/>
        <v>0.72251308900523559</v>
      </c>
      <c r="H1937" s="453" t="s">
        <v>1666</v>
      </c>
      <c r="I1937" s="451" t="s">
        <v>2228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4" t="str">
        <f>LEFT(base[[#This Row],[Evento / Mercado]],FIND("/",base[[#This Row],[Evento / Mercado]])-2)</f>
        <v>Andorra FC vs UD Las Palmas</v>
      </c>
      <c r="T1937" s="1420">
        <f>base[[#This Row],[Data de liquidação]]</f>
        <v>46152.433530092596</v>
      </c>
    </row>
    <row r="1938" spans="2:20" ht="15" customHeight="1">
      <c r="B1938" s="786" t="s">
        <v>2276</v>
      </c>
      <c r="C1938" s="911" t="s">
        <v>3556</v>
      </c>
      <c r="D1938" s="1349">
        <v>46152.436111111114</v>
      </c>
      <c r="E1938" s="879">
        <v>2.99</v>
      </c>
      <c r="F1938" s="408">
        <v>4.4999999999999998E-2</v>
      </c>
      <c r="G1938" s="453">
        <f t="shared" si="31"/>
        <v>3.1308900523560212</v>
      </c>
      <c r="H1938" s="453" t="s">
        <v>1666</v>
      </c>
      <c r="I1938" s="451" t="s">
        <v>1715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4" t="str">
        <f>LEFT(base[[#This Row],[Evento / Mercado]],FIND("/",base[[#This Row],[Evento / Mercado]])-2)</f>
        <v>Hertha BSC vs SpVgg Greuther Fürth</v>
      </c>
      <c r="T1938" s="1420">
        <f>base[[#This Row],[Data de liquidação]]</f>
        <v>46152.436111111114</v>
      </c>
    </row>
    <row r="1939" spans="2:20" ht="15" customHeight="1">
      <c r="B1939" s="786" t="s">
        <v>2275</v>
      </c>
      <c r="C1939" s="911" t="s">
        <v>3556</v>
      </c>
      <c r="D1939" s="1349">
        <v>46152.446319444447</v>
      </c>
      <c r="E1939" s="879">
        <v>3.02</v>
      </c>
      <c r="F1939" s="408">
        <v>4.4999999999999998E-2</v>
      </c>
      <c r="G1939" s="453">
        <f t="shared" si="31"/>
        <v>3.162303664921466</v>
      </c>
      <c r="H1939" s="453" t="s">
        <v>1666</v>
      </c>
      <c r="I1939" s="451" t="s">
        <v>1777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4" t="str">
        <f>LEFT(base[[#This Row],[Evento / Mercado]],FIND("/",base[[#This Row],[Evento / Mercado]])-2)</f>
        <v>Beijing Guoan vs Shanghai Port</v>
      </c>
      <c r="T1939" s="1420">
        <f>base[[#This Row],[Data de liquidação]]</f>
        <v>46152.446319444447</v>
      </c>
    </row>
    <row r="1940" spans="2:20" ht="15" customHeight="1">
      <c r="B1940" s="786" t="s">
        <v>2274</v>
      </c>
      <c r="C1940" s="911" t="s">
        <v>3556</v>
      </c>
      <c r="D1940" s="1349">
        <v>46152.446736111109</v>
      </c>
      <c r="E1940" s="879">
        <v>3.82</v>
      </c>
      <c r="F1940" s="408">
        <v>4.4999999999999998E-2</v>
      </c>
      <c r="G1940" s="453">
        <f t="shared" si="31"/>
        <v>4</v>
      </c>
      <c r="H1940" s="453" t="s">
        <v>1666</v>
      </c>
      <c r="I1940" s="451" t="s">
        <v>1558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4" t="str">
        <f>LEFT(base[[#This Row],[Evento / Mercado]],FIND("/",base[[#This Row],[Evento / Mercado]])-2)</f>
        <v>Burnley vs Aston Villa</v>
      </c>
      <c r="T1940" s="1420">
        <f>base[[#This Row],[Data de liquidação]]</f>
        <v>46152.446736111109</v>
      </c>
    </row>
    <row r="1941" spans="2:20" ht="15" customHeight="1">
      <c r="B1941" s="786" t="s">
        <v>2273</v>
      </c>
      <c r="C1941" s="911" t="s">
        <v>3556</v>
      </c>
      <c r="D1941" s="1349">
        <v>46152.457442129627</v>
      </c>
      <c r="E1941" s="879">
        <v>6.45</v>
      </c>
      <c r="F1941" s="408">
        <v>4.4999999999999998E-2</v>
      </c>
      <c r="G1941" s="453">
        <f t="shared" si="31"/>
        <v>6.7539267015706814</v>
      </c>
      <c r="H1941" s="453" t="s">
        <v>1666</v>
      </c>
      <c r="I1941" s="451" t="s">
        <v>1665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4" t="str">
        <f>LEFT(base[[#This Row],[Evento / Mercado]],FIND("/",base[[#This Row],[Evento / Mercado]])-2)</f>
        <v>FC Nordsjælland vs FC Midtjylland</v>
      </c>
      <c r="T1941" s="1420">
        <f>base[[#This Row],[Data de liquidação]]</f>
        <v>46152.457442129627</v>
      </c>
    </row>
    <row r="1942" spans="2:20" ht="15" customHeight="1">
      <c r="B1942" s="786" t="s">
        <v>2272</v>
      </c>
      <c r="C1942" s="911" t="s">
        <v>3556</v>
      </c>
      <c r="D1942" s="1349">
        <v>46152.457453703704</v>
      </c>
      <c r="E1942" s="879">
        <v>0.88</v>
      </c>
      <c r="F1942" s="408">
        <v>4.4999999999999998E-2</v>
      </c>
      <c r="G1942" s="453">
        <f t="shared" si="31"/>
        <v>0.92146596858638752</v>
      </c>
      <c r="H1942" s="453" t="s">
        <v>1666</v>
      </c>
      <c r="I1942" s="451" t="s">
        <v>1663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4" t="str">
        <f>LEFT(base[[#This Row],[Evento / Mercado]],FIND("/",base[[#This Row],[Evento / Mercado]])-2)</f>
        <v>FC Nordsjælland vs FC Midtjylland</v>
      </c>
      <c r="T1942" s="1420">
        <f>base[[#This Row],[Data de liquidação]]</f>
        <v>46152.457453703704</v>
      </c>
    </row>
    <row r="1943" spans="2:20" ht="15" customHeight="1">
      <c r="B1943" s="786" t="s">
        <v>2271</v>
      </c>
      <c r="C1943" s="911" t="s">
        <v>3556</v>
      </c>
      <c r="D1943" s="1349">
        <v>46152.458518518521</v>
      </c>
      <c r="E1943" s="879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4" t="str">
        <f>LEFT(base[[#This Row],[Evento / Mercado]],FIND("/",base[[#This Row],[Evento / Mercado]])-2)</f>
        <v>Real Mallorca vs Villarreal</v>
      </c>
      <c r="T1943" s="1420">
        <f>base[[#This Row],[Data de liquidação]]</f>
        <v>46152.458518518521</v>
      </c>
    </row>
    <row r="1944" spans="2:20" ht="15" customHeight="1">
      <c r="B1944" s="786" t="s">
        <v>2270</v>
      </c>
      <c r="C1944" s="911" t="s">
        <v>3556</v>
      </c>
      <c r="D1944" s="1349">
        <v>46152.490972222222</v>
      </c>
      <c r="E1944" s="879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4" t="str">
        <f>LEFT(base[[#This Row],[Evento / Mercado]],FIND("/",base[[#This Row],[Evento / Mercado]])-2)</f>
        <v>Nottingham Forest vs Newcastle United</v>
      </c>
      <c r="T1944" s="1420">
        <f>base[[#This Row],[Data de liquidação]]</f>
        <v>46152.490972222222</v>
      </c>
    </row>
    <row r="1945" spans="2:20" ht="15" customHeight="1">
      <c r="B1945" s="786" t="s">
        <v>2268</v>
      </c>
      <c r="C1945" s="911" t="s">
        <v>3556</v>
      </c>
      <c r="D1945" s="1349">
        <v>46152.499143518522</v>
      </c>
      <c r="E1945" s="879">
        <v>-5</v>
      </c>
      <c r="F1945" s="408">
        <v>4.4999999999999998E-2</v>
      </c>
      <c r="G1945" s="453">
        <f t="shared" si="31"/>
        <v>-5</v>
      </c>
      <c r="H1945" s="453" t="s">
        <v>1666</v>
      </c>
      <c r="I1945" s="451" t="s">
        <v>1665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4" t="str">
        <f>LEFT(base[[#This Row],[Evento / Mercado]],FIND("/",base[[#This Row],[Evento / Mercado]])-2)</f>
        <v>Hamburger SV vs SC Freiburg</v>
      </c>
      <c r="T1945" s="1420">
        <f>base[[#This Row],[Data de liquidação]]</f>
        <v>46152.499143518522</v>
      </c>
    </row>
    <row r="1946" spans="2:20" ht="15" customHeight="1">
      <c r="B1946" s="786" t="s">
        <v>2269</v>
      </c>
      <c r="C1946" s="911" t="s">
        <v>3556</v>
      </c>
      <c r="D1946" s="1349">
        <v>46152.499143518522</v>
      </c>
      <c r="E1946" s="879">
        <v>-5</v>
      </c>
      <c r="F1946" s="408">
        <v>4.4999999999999998E-2</v>
      </c>
      <c r="G1946" s="453">
        <f t="shared" si="31"/>
        <v>-5</v>
      </c>
      <c r="H1946" s="453" t="s">
        <v>1666</v>
      </c>
      <c r="I1946" s="451" t="s">
        <v>1663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4" t="str">
        <f>LEFT(base[[#This Row],[Evento / Mercado]],FIND("/",base[[#This Row],[Evento / Mercado]])-2)</f>
        <v>Hamburger SV vs SC Freiburg</v>
      </c>
      <c r="T1946" s="1420">
        <f>base[[#This Row],[Data de liquidação]]</f>
        <v>46152.499143518522</v>
      </c>
    </row>
    <row r="1947" spans="2:20" ht="15" customHeight="1">
      <c r="B1947" s="786" t="s">
        <v>2267</v>
      </c>
      <c r="C1947" s="911" t="s">
        <v>3556</v>
      </c>
      <c r="D1947" s="1349">
        <v>46152.522187499999</v>
      </c>
      <c r="E1947" s="879">
        <v>-2</v>
      </c>
      <c r="F1947" s="408">
        <v>4.4999999999999998E-2</v>
      </c>
      <c r="G1947" s="453">
        <f t="shared" si="31"/>
        <v>-2</v>
      </c>
      <c r="H1947" s="453" t="s">
        <v>1666</v>
      </c>
      <c r="I1947" s="451" t="s">
        <v>1795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4" t="str">
        <f>LEFT(base[[#This Row],[Evento / Mercado]],FIND("/",base[[#This Row],[Evento / Mercado]])-2)</f>
        <v>FC Twente vs Sparta Rotterdam</v>
      </c>
      <c r="T1947" s="1420">
        <f>base[[#This Row],[Data de liquidação]]</f>
        <v>46152.522187499999</v>
      </c>
    </row>
    <row r="1948" spans="2:20" ht="15" customHeight="1">
      <c r="B1948" s="786" t="s">
        <v>1888</v>
      </c>
      <c r="C1948" s="911" t="s">
        <v>3556</v>
      </c>
      <c r="D1948" s="1349">
        <v>46152.524074074077</v>
      </c>
      <c r="E1948" s="879">
        <v>-50</v>
      </c>
      <c r="F1948" s="408">
        <v>4.4999999999999998E-2</v>
      </c>
      <c r="G1948" s="453">
        <f t="shared" si="31"/>
        <v>-50</v>
      </c>
      <c r="H1948" s="453" t="s">
        <v>2148</v>
      </c>
      <c r="I1948" s="451" t="s">
        <v>1795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4" t="str">
        <f>LEFT(base[[#This Row],[Evento / Mercado]],FIND("/",base[[#This Row],[Evento / Mercado]])-2)</f>
        <v>SC Telstar vs Heracles Almelo</v>
      </c>
      <c r="T1948" s="1420">
        <f>base[[#This Row],[Data de liquidação]]</f>
        <v>46152.524074074077</v>
      </c>
    </row>
    <row r="1949" spans="2:20" ht="15" customHeight="1">
      <c r="B1949" s="786" t="s">
        <v>1888</v>
      </c>
      <c r="C1949" s="911" t="s">
        <v>3556</v>
      </c>
      <c r="D1949" s="1349">
        <v>46152.524074074077</v>
      </c>
      <c r="E1949" s="879">
        <v>-2</v>
      </c>
      <c r="F1949" s="408">
        <v>4.4999999999999998E-2</v>
      </c>
      <c r="G1949" s="453">
        <f t="shared" si="31"/>
        <v>-2</v>
      </c>
      <c r="H1949" s="453" t="s">
        <v>1666</v>
      </c>
      <c r="I1949" s="451" t="s">
        <v>1795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4" t="str">
        <f>LEFT(base[[#This Row],[Evento / Mercado]],FIND("/",base[[#This Row],[Evento / Mercado]])-2)</f>
        <v>SC Telstar vs Heracles Almelo</v>
      </c>
      <c r="T1949" s="1420">
        <f>base[[#This Row],[Data de liquidação]]</f>
        <v>46152.524074074077</v>
      </c>
    </row>
    <row r="1950" spans="2:20" ht="15" customHeight="1">
      <c r="B1950" s="786" t="s">
        <v>2266</v>
      </c>
      <c r="C1950" s="911" t="s">
        <v>3556</v>
      </c>
      <c r="D1950" s="1349">
        <v>46152.544027777774</v>
      </c>
      <c r="E1950" s="879">
        <v>-4.13</v>
      </c>
      <c r="F1950" s="408">
        <v>4.4999999999999998E-2</v>
      </c>
      <c r="G1950" s="453">
        <f t="shared" si="31"/>
        <v>-4.13</v>
      </c>
      <c r="H1950" s="453" t="s">
        <v>1666</v>
      </c>
      <c r="I1950" s="451" t="s">
        <v>1558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4" t="str">
        <f>LEFT(base[[#This Row],[Evento / Mercado]],FIND("/",base[[#This Row],[Evento / Mercado]])-2)</f>
        <v>Feyenoord vs AZ Alkmaar</v>
      </c>
      <c r="T1950" s="1420">
        <f>base[[#This Row],[Data de liquidação]]</f>
        <v>46152.544027777774</v>
      </c>
    </row>
    <row r="1951" spans="2:20" ht="15" customHeight="1">
      <c r="B1951" s="786" t="s">
        <v>2265</v>
      </c>
      <c r="C1951" s="911" t="s">
        <v>3556</v>
      </c>
      <c r="D1951" s="1349">
        <v>46152.545335648145</v>
      </c>
      <c r="E1951" s="879">
        <v>-4.8899999999999997</v>
      </c>
      <c r="F1951" s="408">
        <v>4.4999999999999998E-2</v>
      </c>
      <c r="G1951" s="453">
        <f t="shared" si="31"/>
        <v>-4.8899999999999997</v>
      </c>
      <c r="H1951" s="453" t="s">
        <v>1666</v>
      </c>
      <c r="I1951" s="451" t="s">
        <v>1558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4" t="str">
        <f>LEFT(base[[#This Row],[Evento / Mercado]],FIND("/",base[[#This Row],[Evento / Mercado]])-2)</f>
        <v>Leganés vs Racing Santander</v>
      </c>
      <c r="T1951" s="1420">
        <f>base[[#This Row],[Data de liquidação]]</f>
        <v>46152.545335648145</v>
      </c>
    </row>
    <row r="1952" spans="2:20" ht="15" customHeight="1">
      <c r="B1952" s="786" t="s">
        <v>2264</v>
      </c>
      <c r="C1952" s="911" t="s">
        <v>3556</v>
      </c>
      <c r="D1952" s="1349">
        <v>46152.556747685187</v>
      </c>
      <c r="E1952" s="879">
        <v>4.3499999999999996</v>
      </c>
      <c r="F1952" s="408">
        <v>4.4999999999999998E-2</v>
      </c>
      <c r="G1952" s="453">
        <f t="shared" si="31"/>
        <v>4.5549738219895284</v>
      </c>
      <c r="H1952" s="453" t="s">
        <v>1666</v>
      </c>
      <c r="I1952" s="451" t="s">
        <v>1715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4" t="str">
        <f>LEFT(base[[#This Row],[Evento / Mercado]],FIND("/",base[[#This Row],[Evento / Mercado]])-2)</f>
        <v>BSC Young Boys vs FC Basel</v>
      </c>
      <c r="T1952" s="1420">
        <f>base[[#This Row],[Data de liquidação]]</f>
        <v>46152.556747685187</v>
      </c>
    </row>
    <row r="1953" spans="2:20" ht="15" customHeight="1">
      <c r="B1953" s="786" t="s">
        <v>2263</v>
      </c>
      <c r="C1953" s="911" t="s">
        <v>3556</v>
      </c>
      <c r="D1953" s="1349">
        <v>46152.563576388886</v>
      </c>
      <c r="E1953" s="879">
        <v>-2.67</v>
      </c>
      <c r="F1953" s="408">
        <v>4.4999999999999998E-2</v>
      </c>
      <c r="G1953" s="453">
        <f t="shared" si="31"/>
        <v>-2.67</v>
      </c>
      <c r="H1953" s="453" t="s">
        <v>1666</v>
      </c>
      <c r="I1953" s="451" t="s">
        <v>1558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4" t="str">
        <f>LEFT(base[[#This Row],[Evento / Mercado]],FIND("/",base[[#This Row],[Evento / Mercado]])-2)</f>
        <v>NAC Breda vs Heerenveen</v>
      </c>
      <c r="T1953" s="1420">
        <f>base[[#This Row],[Data de liquidação]]</f>
        <v>46152.563576388886</v>
      </c>
    </row>
    <row r="1954" spans="2:20" ht="15" customHeight="1">
      <c r="B1954" s="786" t="s">
        <v>2262</v>
      </c>
      <c r="C1954" s="911" t="s">
        <v>3556</v>
      </c>
      <c r="D1954" s="1349">
        <v>46152.567453703705</v>
      </c>
      <c r="E1954" s="879">
        <v>5.97</v>
      </c>
      <c r="F1954" s="408">
        <v>4.4999999999999998E-2</v>
      </c>
      <c r="G1954" s="453">
        <f t="shared" si="31"/>
        <v>6.2513089005235605</v>
      </c>
      <c r="H1954" s="453" t="s">
        <v>2148</v>
      </c>
      <c r="I1954" s="451" t="s">
        <v>2149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4" t="str">
        <f>LEFT(base[[#This Row],[Evento / Mercado]],FIND("/",base[[#This Row],[Evento / Mercado]])-2)</f>
        <v>FC Twente vs Sparta Rotterdam</v>
      </c>
      <c r="T1954" s="1420">
        <f>base[[#This Row],[Data de liquidação]]</f>
        <v>46152.567453703705</v>
      </c>
    </row>
    <row r="1955" spans="2:20" ht="15" customHeight="1">
      <c r="B1955" s="786" t="s">
        <v>2261</v>
      </c>
      <c r="C1955" s="911" t="s">
        <v>3556</v>
      </c>
      <c r="D1955" s="1349">
        <v>46152.56927083333</v>
      </c>
      <c r="E1955" s="879">
        <v>2.33</v>
      </c>
      <c r="F1955" s="408">
        <v>4.4999999999999998E-2</v>
      </c>
      <c r="G1955" s="453">
        <f t="shared" si="31"/>
        <v>2.4397905759162306</v>
      </c>
      <c r="H1955" s="453" t="s">
        <v>1666</v>
      </c>
      <c r="I1955" s="451" t="s">
        <v>1758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4" t="str">
        <f>LEFT(base[[#This Row],[Evento / Mercado]],FIND("/",base[[#This Row],[Evento / Mercado]])-2)</f>
        <v>Fortuna Sittard vs PEC Zwolle</v>
      </c>
      <c r="T1955" s="1420">
        <f>base[[#This Row],[Data de liquidação]]</f>
        <v>46152.56927083333</v>
      </c>
    </row>
    <row r="1956" spans="2:20" ht="15" customHeight="1">
      <c r="B1956" s="786" t="s">
        <v>2260</v>
      </c>
      <c r="C1956" s="911" t="s">
        <v>3556</v>
      </c>
      <c r="D1956" s="1349">
        <v>46152.577743055554</v>
      </c>
      <c r="E1956" s="879">
        <v>12.9</v>
      </c>
      <c r="F1956" s="408">
        <v>4.4999999999999998E-2</v>
      </c>
      <c r="G1956" s="453">
        <f t="shared" si="31"/>
        <v>13.507853403141363</v>
      </c>
      <c r="H1956" s="453" t="s">
        <v>2148</v>
      </c>
      <c r="I1956" s="451" t="s">
        <v>2149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4" t="str">
        <f>LEFT(base[[#This Row],[Evento / Mercado]],FIND("/",base[[#This Row],[Evento / Mercado]])-2)</f>
        <v>FK Košice vs KFC Komárno</v>
      </c>
      <c r="T1956" s="1420">
        <f>base[[#This Row],[Data de liquidação]]</f>
        <v>46152.577743055554</v>
      </c>
    </row>
    <row r="1957" spans="2:20" ht="15" customHeight="1">
      <c r="B1957" s="786" t="s">
        <v>2259</v>
      </c>
      <c r="C1957" s="911" t="s">
        <v>3556</v>
      </c>
      <c r="D1957" s="1349">
        <v>46152.57885416667</v>
      </c>
      <c r="E1957" s="879">
        <v>21.01</v>
      </c>
      <c r="F1957" s="408">
        <v>4.4999999999999998E-2</v>
      </c>
      <c r="G1957" s="453">
        <f t="shared" si="31"/>
        <v>22.000000000000004</v>
      </c>
      <c r="H1957" s="453" t="s">
        <v>2148</v>
      </c>
      <c r="I1957" s="451" t="s">
        <v>2151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4" t="str">
        <f>LEFT(base[[#This Row],[Evento / Mercado]],FIND("/",base[[#This Row],[Evento / Mercado]])-2)</f>
        <v>SC Telstar vs Heracles Almelo</v>
      </c>
      <c r="T1957" s="1420">
        <f>base[[#This Row],[Data de liquidação]]</f>
        <v>46152.57885416667</v>
      </c>
    </row>
    <row r="1958" spans="2:20" ht="15" customHeight="1">
      <c r="B1958" s="786" t="s">
        <v>2258</v>
      </c>
      <c r="C1958" s="911" t="s">
        <v>3556</v>
      </c>
      <c r="D1958" s="1349">
        <v>46152.581921296296</v>
      </c>
      <c r="E1958" s="879">
        <v>11.65</v>
      </c>
      <c r="F1958" s="408">
        <v>4.4999999999999998E-2</v>
      </c>
      <c r="G1958" s="453">
        <f t="shared" si="31"/>
        <v>12.198952879581153</v>
      </c>
      <c r="H1958" s="453" t="s">
        <v>2148</v>
      </c>
      <c r="I1958" s="451" t="s">
        <v>2149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4" t="str">
        <f>LEFT(base[[#This Row],[Evento / Mercado]],FIND("/",base[[#This Row],[Evento / Mercado]])-2)</f>
        <v>AC Omonia Nicosia vs AEK Larnaca</v>
      </c>
      <c r="T1958" s="1420">
        <f>base[[#This Row],[Data de liquidação]]</f>
        <v>46152.581921296296</v>
      </c>
    </row>
    <row r="1959" spans="2:20" ht="15" customHeight="1">
      <c r="B1959" s="786" t="s">
        <v>2257</v>
      </c>
      <c r="C1959" s="911" t="s">
        <v>3556</v>
      </c>
      <c r="D1959" s="1349">
        <v>46152.588796296295</v>
      </c>
      <c r="E1959" s="879">
        <v>3.82</v>
      </c>
      <c r="F1959" s="408">
        <v>4.4999999999999998E-2</v>
      </c>
      <c r="G1959" s="453">
        <f t="shared" si="31"/>
        <v>4</v>
      </c>
      <c r="H1959" s="453" t="s">
        <v>1666</v>
      </c>
      <c r="I1959" s="451" t="s">
        <v>1558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4" t="str">
        <f>LEFT(base[[#This Row],[Evento / Mercado]],FIND("/",base[[#This Row],[Evento / Mercado]])-2)</f>
        <v>Parma vs AS Roma</v>
      </c>
      <c r="T1959" s="1420">
        <f>base[[#This Row],[Data de liquidação]]</f>
        <v>46152.588796296295</v>
      </c>
    </row>
    <row r="1960" spans="2:20" ht="15" customHeight="1">
      <c r="B1960" s="786" t="s">
        <v>2256</v>
      </c>
      <c r="C1960" s="911" t="s">
        <v>3556</v>
      </c>
      <c r="D1960" s="1349">
        <v>46152.627418981479</v>
      </c>
      <c r="E1960" s="879">
        <v>2.5099999999999998</v>
      </c>
      <c r="F1960" s="408">
        <v>4.4999999999999998E-2</v>
      </c>
      <c r="G1960" s="453">
        <f t="shared" si="31"/>
        <v>2.6282722513089003</v>
      </c>
      <c r="H1960" s="453" t="s">
        <v>1666</v>
      </c>
      <c r="I1960" s="451" t="s">
        <v>1759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4" t="str">
        <f>LEFT(base[[#This Row],[Evento / Mercado]],FIND("/",base[[#This Row],[Evento / Mercado]])-2)</f>
        <v>Al-Riyadh vs Al-Fateh Al-Hasa</v>
      </c>
      <c r="T1960" s="1420">
        <f>base[[#This Row],[Data de liquidação]]</f>
        <v>46152.627418981479</v>
      </c>
    </row>
    <row r="1961" spans="2:20" ht="15" customHeight="1">
      <c r="B1961" s="786" t="s">
        <v>2255</v>
      </c>
      <c r="C1961" s="911" t="s">
        <v>3556</v>
      </c>
      <c r="D1961" s="1349">
        <v>46152.636319444442</v>
      </c>
      <c r="E1961" s="879">
        <v>1.62</v>
      </c>
      <c r="F1961" s="408">
        <v>4.4999999999999998E-2</v>
      </c>
      <c r="G1961" s="453">
        <f t="shared" si="31"/>
        <v>1.6963350785340316</v>
      </c>
      <c r="H1961" s="453" t="s">
        <v>1666</v>
      </c>
      <c r="I1961" s="451" t="s">
        <v>1760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4" t="str">
        <f>LEFT(base[[#This Row],[Evento / Mercado]],FIND("/",base[[#This Row],[Evento / Mercado]])-2)</f>
        <v>Córdoba CF vs Granada CF</v>
      </c>
      <c r="T1961" s="1420">
        <f>base[[#This Row],[Data de liquidação]]</f>
        <v>46152.636319444442</v>
      </c>
    </row>
    <row r="1962" spans="2:20" ht="15" customHeight="1">
      <c r="B1962" s="786" t="s">
        <v>2254</v>
      </c>
      <c r="C1962" s="911" t="s">
        <v>3556</v>
      </c>
      <c r="D1962" s="1349">
        <v>46152.636770833335</v>
      </c>
      <c r="E1962" s="879">
        <v>-3.34</v>
      </c>
      <c r="F1962" s="408">
        <v>4.4999999999999998E-2</v>
      </c>
      <c r="G1962" s="453">
        <f t="shared" si="31"/>
        <v>-3.34</v>
      </c>
      <c r="H1962" s="453" t="s">
        <v>1666</v>
      </c>
      <c r="I1962" s="451" t="s">
        <v>1558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4" t="str">
        <f>LEFT(base[[#This Row],[Evento / Mercado]],FIND("/",base[[#This Row],[Evento / Mercado]])-2)</f>
        <v>AVS Futebol SAD vs FC Porto</v>
      </c>
      <c r="T1962" s="1420">
        <f>base[[#This Row],[Data de liquidação]]</f>
        <v>46152.636770833335</v>
      </c>
    </row>
    <row r="1963" spans="2:20" ht="15" customHeight="1">
      <c r="B1963" s="786" t="s">
        <v>2253</v>
      </c>
      <c r="C1963" s="911" t="s">
        <v>3556</v>
      </c>
      <c r="D1963" s="1349">
        <v>46152.646041666667</v>
      </c>
      <c r="E1963" s="879">
        <v>-2</v>
      </c>
      <c r="F1963" s="408">
        <v>4.4999999999999998E-2</v>
      </c>
      <c r="G1963" s="453">
        <f t="shared" si="31"/>
        <v>-2</v>
      </c>
      <c r="H1963" s="453" t="s">
        <v>1666</v>
      </c>
      <c r="I1963" s="451" t="s">
        <v>1760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4" t="str">
        <f>LEFT(base[[#This Row],[Evento / Mercado]],FIND("/",base[[#This Row],[Evento / Mercado]])-2)</f>
        <v>Real Oviedo vs Getafe</v>
      </c>
      <c r="T1963" s="1420">
        <f>base[[#This Row],[Data de liquidação]]</f>
        <v>46152.646041666667</v>
      </c>
    </row>
    <row r="1964" spans="2:20" ht="15" customHeight="1">
      <c r="B1964" s="786" t="s">
        <v>2252</v>
      </c>
      <c r="C1964" s="911" t="s">
        <v>3556</v>
      </c>
      <c r="D1964" s="1349">
        <v>46152.646099537036</v>
      </c>
      <c r="E1964" s="879">
        <v>10.85</v>
      </c>
      <c r="F1964" s="408">
        <v>4.4999999999999998E-2</v>
      </c>
      <c r="G1964" s="453">
        <f t="shared" si="31"/>
        <v>11.361256544502618</v>
      </c>
      <c r="H1964" s="453" t="s">
        <v>2148</v>
      </c>
      <c r="I1964" s="451" t="s">
        <v>2149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4" t="str">
        <f>LEFT(base[[#This Row],[Evento / Mercado]],FIND("/",base[[#This Row],[Evento / Mercado]])-2)</f>
        <v>Antofagasta vs Club Deportivo San Luis</v>
      </c>
      <c r="T1964" s="1420">
        <f>base[[#This Row],[Data de liquidação]]</f>
        <v>46152.646099537036</v>
      </c>
    </row>
    <row r="1965" spans="2:20" ht="15" customHeight="1">
      <c r="B1965" s="786" t="s">
        <v>2251</v>
      </c>
      <c r="C1965" s="911" t="s">
        <v>3556</v>
      </c>
      <c r="D1965" s="1349">
        <v>46152.656886574077</v>
      </c>
      <c r="E1965" s="879">
        <v>3.82</v>
      </c>
      <c r="F1965" s="408">
        <v>4.4999999999999998E-2</v>
      </c>
      <c r="G1965" s="453">
        <f t="shared" si="31"/>
        <v>4</v>
      </c>
      <c r="H1965" s="453" t="s">
        <v>1666</v>
      </c>
      <c r="I1965" s="451" t="s">
        <v>1558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4" t="str">
        <f>LEFT(base[[#This Row],[Evento / Mercado]],FIND("/",base[[#This Row],[Evento / Mercado]])-2)</f>
        <v>1. FSV Mainz 05 vs 1. FC Union Berlin</v>
      </c>
      <c r="T1965" s="1420">
        <f>base[[#This Row],[Data de liquidação]]</f>
        <v>46152.656886574077</v>
      </c>
    </row>
    <row r="1966" spans="2:20" ht="15" customHeight="1">
      <c r="B1966" s="786" t="s">
        <v>2250</v>
      </c>
      <c r="C1966" s="911" t="s">
        <v>3556</v>
      </c>
      <c r="D1966" s="1349">
        <v>46152.67392361111</v>
      </c>
      <c r="E1966" s="879">
        <v>4.1500000000000004</v>
      </c>
      <c r="F1966" s="408">
        <v>4.4999999999999998E-2</v>
      </c>
      <c r="G1966" s="453">
        <f t="shared" si="31"/>
        <v>4.345549738219896</v>
      </c>
      <c r="H1966" s="453" t="s">
        <v>1666</v>
      </c>
      <c r="I1966" s="451" t="s">
        <v>1715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4" t="str">
        <f>LEFT(base[[#This Row],[Evento / Mercado]],FIND("/",base[[#This Row],[Evento / Mercado]])-2)</f>
        <v>Racing Genk vs Westerlo</v>
      </c>
      <c r="T1966" s="1420">
        <f>base[[#This Row],[Data de liquidação]]</f>
        <v>46152.67392361111</v>
      </c>
    </row>
    <row r="1967" spans="2:20" ht="15" customHeight="1">
      <c r="B1967" s="786" t="s">
        <v>2249</v>
      </c>
      <c r="C1967" s="911" t="s">
        <v>3556</v>
      </c>
      <c r="D1967" s="1349">
        <v>46152.685543981483</v>
      </c>
      <c r="E1967" s="879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4" t="str">
        <f>LEFT(base[[#This Row],[Evento / Mercado]],FIND("/",base[[#This Row],[Evento / Mercado]])-2)</f>
        <v>AJ Auxerre vs OGC Nice</v>
      </c>
      <c r="T1967" s="1420">
        <f>base[[#This Row],[Data de liquidação]]</f>
        <v>46152.685543981483</v>
      </c>
    </row>
    <row r="1968" spans="2:20" ht="15" customHeight="1">
      <c r="B1968" s="786" t="s">
        <v>2248</v>
      </c>
      <c r="C1968" s="911" t="s">
        <v>3556</v>
      </c>
      <c r="D1968" s="1349">
        <v>46152.689560185187</v>
      </c>
      <c r="E1968" s="879">
        <v>4.1500000000000004</v>
      </c>
      <c r="F1968" s="408">
        <v>4.4999999999999998E-2</v>
      </c>
      <c r="G1968" s="453">
        <f t="shared" si="31"/>
        <v>4.345549738219896</v>
      </c>
      <c r="H1968" s="453" t="s">
        <v>1666</v>
      </c>
      <c r="I1968" s="451" t="s">
        <v>1715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4" t="str">
        <f>LEFT(base[[#This Row],[Evento / Mercado]],FIND("/",base[[#This Row],[Evento / Mercado]])-2)</f>
        <v>1. FSV Mainz 05 vs 1. FC Union Berlin</v>
      </c>
      <c r="T1968" s="1420">
        <f>base[[#This Row],[Data de liquidação]]</f>
        <v>46152.689560185187</v>
      </c>
    </row>
    <row r="1969" spans="2:20" ht="15" customHeight="1">
      <c r="B1969" s="786" t="s">
        <v>2247</v>
      </c>
      <c r="C1969" s="911" t="s">
        <v>3556</v>
      </c>
      <c r="D1969" s="1349">
        <v>46152.690451388888</v>
      </c>
      <c r="E1969" s="879">
        <v>-4.75</v>
      </c>
      <c r="F1969" s="408">
        <v>4.4999999999999998E-2</v>
      </c>
      <c r="G1969" s="453">
        <f t="shared" si="31"/>
        <v>-4.75</v>
      </c>
      <c r="H1969" s="453" t="s">
        <v>1666</v>
      </c>
      <c r="I1969" s="451" t="s">
        <v>1558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4" t="str">
        <f>LEFT(base[[#This Row],[Evento / Mercado]],FIND("/",base[[#This Row],[Evento / Mercado]])-2)</f>
        <v>Al-Ittihad Jeddah vs Dhamk</v>
      </c>
      <c r="T1969" s="1420">
        <f>base[[#This Row],[Data de liquidação]]</f>
        <v>46152.690451388888</v>
      </c>
    </row>
    <row r="1970" spans="2:20" ht="15" customHeight="1">
      <c r="B1970" s="786" t="s">
        <v>1880</v>
      </c>
      <c r="C1970" s="911" t="s">
        <v>3556</v>
      </c>
      <c r="D1970" s="1349">
        <v>46152.702951388892</v>
      </c>
      <c r="E1970" s="879">
        <v>-50</v>
      </c>
      <c r="F1970" s="408">
        <v>4.4999999999999998E-2</v>
      </c>
      <c r="G1970" s="453">
        <f t="shared" si="31"/>
        <v>-50</v>
      </c>
      <c r="H1970" s="453" t="s">
        <v>2148</v>
      </c>
      <c r="I1970" s="451" t="s">
        <v>1795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4" t="str">
        <f>LEFT(base[[#This Row],[Evento / Mercado]],FIND("/",base[[#This Row],[Evento / Mercado]])-2)</f>
        <v>Paris Saint-Germain vs Stade Brestois 29</v>
      </c>
      <c r="T1970" s="1420">
        <f>base[[#This Row],[Data de liquidação]]</f>
        <v>46152.702951388892</v>
      </c>
    </row>
    <row r="1971" spans="2:20" ht="15" customHeight="1">
      <c r="B1971" s="786" t="s">
        <v>1880</v>
      </c>
      <c r="C1971" s="911" t="s">
        <v>3556</v>
      </c>
      <c r="D1971" s="1349">
        <v>46152.702951388892</v>
      </c>
      <c r="E1971" s="879">
        <v>-2</v>
      </c>
      <c r="F1971" s="408">
        <v>4.4999999999999998E-2</v>
      </c>
      <c r="G1971" s="453">
        <f t="shared" si="31"/>
        <v>-2</v>
      </c>
      <c r="H1971" s="453" t="s">
        <v>1666</v>
      </c>
      <c r="I1971" s="451" t="s">
        <v>1795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4" t="str">
        <f>LEFT(base[[#This Row],[Evento / Mercado]],FIND("/",base[[#This Row],[Evento / Mercado]])-2)</f>
        <v>Paris Saint-Germain vs Stade Brestois 29</v>
      </c>
      <c r="T1971" s="1420">
        <f>base[[#This Row],[Data de liquidação]]</f>
        <v>46152.702951388892</v>
      </c>
    </row>
    <row r="1972" spans="2:20" ht="15" customHeight="1">
      <c r="B1972" s="786" t="s">
        <v>2246</v>
      </c>
      <c r="C1972" s="911" t="s">
        <v>3556</v>
      </c>
      <c r="D1972" s="1349">
        <v>46152.735011574077</v>
      </c>
      <c r="E1972" s="879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4" t="str">
        <f>LEFT(base[[#This Row],[Evento / Mercado]],FIND("/",base[[#This Row],[Evento / Mercado]])-2)</f>
        <v>Toulouse FC vs Olympique Lyonnais</v>
      </c>
      <c r="T1972" s="1420">
        <f>base[[#This Row],[Data de liquidação]]</f>
        <v>46152.735011574077</v>
      </c>
    </row>
    <row r="1973" spans="2:20" ht="15" customHeight="1">
      <c r="B1973" s="786" t="s">
        <v>2245</v>
      </c>
      <c r="C1973" s="911" t="s">
        <v>3556</v>
      </c>
      <c r="D1973" s="1349">
        <v>46152.746469907404</v>
      </c>
      <c r="E1973" s="879">
        <v>1.08</v>
      </c>
      <c r="F1973" s="408">
        <v>4.4999999999999998E-2</v>
      </c>
      <c r="G1973" s="453">
        <f t="shared" si="31"/>
        <v>1.130890052356021</v>
      </c>
      <c r="H1973" s="453" t="s">
        <v>1666</v>
      </c>
      <c r="I1973" s="451" t="s">
        <v>1663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4" t="str">
        <f>LEFT(base[[#This Row],[Evento / Mercado]],FIND("/",base[[#This Row],[Evento / Mercado]])-2)</f>
        <v>Stade Rennais vs Paris FC</v>
      </c>
      <c r="T1973" s="1420">
        <f>base[[#This Row],[Data de liquidação]]</f>
        <v>46152.746469907404</v>
      </c>
    </row>
    <row r="1974" spans="2:20" ht="15" customHeight="1">
      <c r="B1974" s="786" t="s">
        <v>2244</v>
      </c>
      <c r="C1974" s="911" t="s">
        <v>3556</v>
      </c>
      <c r="D1974" s="1349">
        <v>46152.748495370368</v>
      </c>
      <c r="E1974" s="879">
        <v>-2</v>
      </c>
      <c r="F1974" s="408">
        <v>4.4999999999999998E-2</v>
      </c>
      <c r="G1974" s="453">
        <f t="shared" si="31"/>
        <v>-2</v>
      </c>
      <c r="H1974" s="453" t="s">
        <v>1666</v>
      </c>
      <c r="I1974" s="451" t="s">
        <v>1758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4" t="str">
        <f>LEFT(base[[#This Row],[Evento / Mercado]],FIND("/",base[[#This Row],[Evento / Mercado]])-2)</f>
        <v>Atlético Mineiro vs Botafogo FR</v>
      </c>
      <c r="T1974" s="1420">
        <f>base[[#This Row],[Data de liquidação]]</f>
        <v>46152.748495370368</v>
      </c>
    </row>
    <row r="1975" spans="2:20" ht="15" customHeight="1">
      <c r="B1975" s="786" t="s">
        <v>2243</v>
      </c>
      <c r="C1975" s="911" t="s">
        <v>3556</v>
      </c>
      <c r="D1975" s="1349">
        <v>46152.751076388886</v>
      </c>
      <c r="E1975" s="879">
        <v>2.04</v>
      </c>
      <c r="F1975" s="408">
        <v>4.4999999999999998E-2</v>
      </c>
      <c r="G1975" s="453">
        <f t="shared" si="31"/>
        <v>2.1361256544502618</v>
      </c>
      <c r="H1975" s="453" t="s">
        <v>1666</v>
      </c>
      <c r="I1975" s="451" t="s">
        <v>1717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4" t="str">
        <f>LEFT(base[[#This Row],[Evento / Mercado]],FIND("/",base[[#This Row],[Evento / Mercado]])-2)</f>
        <v>Paris Saint-Germain vs Stade Brestois 29</v>
      </c>
      <c r="T1975" s="1420">
        <f>base[[#This Row],[Data de liquidação]]</f>
        <v>46152.751076388886</v>
      </c>
    </row>
    <row r="1976" spans="2:20" ht="15" customHeight="1">
      <c r="B1976" s="786" t="s">
        <v>2242</v>
      </c>
      <c r="C1976" s="911" t="s">
        <v>3556</v>
      </c>
      <c r="D1976" s="1349">
        <v>46152.753877314812</v>
      </c>
      <c r="E1976" s="879">
        <v>12.57</v>
      </c>
      <c r="F1976" s="408">
        <v>4.4999999999999998E-2</v>
      </c>
      <c r="G1976" s="453">
        <f t="shared" si="31"/>
        <v>13.162303664921467</v>
      </c>
      <c r="H1976" s="453" t="s">
        <v>2148</v>
      </c>
      <c r="I1976" s="451" t="s">
        <v>2149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4" t="str">
        <f>LEFT(base[[#This Row],[Evento / Mercado]],FIND("/",base[[#This Row],[Evento / Mercado]])-2)</f>
        <v>Vitória FC vs Democrata GV</v>
      </c>
      <c r="T1976" s="1420">
        <f>base[[#This Row],[Data de liquidação]]</f>
        <v>46152.753877314812</v>
      </c>
    </row>
    <row r="1977" spans="2:20" ht="15" customHeight="1">
      <c r="B1977" s="786" t="s">
        <v>2241</v>
      </c>
      <c r="C1977" s="911" t="s">
        <v>3556</v>
      </c>
      <c r="D1977" s="1349">
        <v>46152.758888888886</v>
      </c>
      <c r="E1977" s="879">
        <v>17.190000000000001</v>
      </c>
      <c r="F1977" s="408">
        <v>4.4999999999999998E-2</v>
      </c>
      <c r="G1977" s="453">
        <f t="shared" si="31"/>
        <v>18.000000000000004</v>
      </c>
      <c r="H1977" s="453" t="s">
        <v>2148</v>
      </c>
      <c r="I1977" s="451" t="s">
        <v>1795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4" t="str">
        <f>LEFT(base[[#This Row],[Evento / Mercado]],FIND("/",base[[#This Row],[Evento / Mercado]])-2)</f>
        <v>Imperatriz-MA vs Trem Desportivo</v>
      </c>
      <c r="T1977" s="1420">
        <f>base[[#This Row],[Data de liquidação]]</f>
        <v>46152.758888888886</v>
      </c>
    </row>
    <row r="1978" spans="2:20" ht="15" customHeight="1">
      <c r="B1978" s="786" t="s">
        <v>2240</v>
      </c>
      <c r="C1978" s="911" t="s">
        <v>3556</v>
      </c>
      <c r="D1978" s="1349">
        <v>46152.794803240744</v>
      </c>
      <c r="E1978" s="879">
        <v>-2</v>
      </c>
      <c r="F1978" s="408">
        <v>4.4999999999999998E-2</v>
      </c>
      <c r="G1978" s="453">
        <f t="shared" si="31"/>
        <v>-2</v>
      </c>
      <c r="H1978" s="453" t="s">
        <v>1666</v>
      </c>
      <c r="I1978" s="451" t="s">
        <v>1795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4" t="str">
        <f>LEFT(base[[#This Row],[Evento / Mercado]],FIND("/",base[[#This Row],[Evento / Mercado]])-2)</f>
        <v>The Strongest vs Club Bamin Real Potosí</v>
      </c>
      <c r="T1978" s="1420">
        <f>base[[#This Row],[Data de liquidação]]</f>
        <v>46152.794803240744</v>
      </c>
    </row>
    <row r="1979" spans="2:20" ht="15" customHeight="1">
      <c r="B1979" s="786" t="s">
        <v>2239</v>
      </c>
      <c r="C1979" s="911" t="s">
        <v>3556</v>
      </c>
      <c r="D1979" s="1349">
        <v>46152.853344907409</v>
      </c>
      <c r="E1979" s="879">
        <v>2.38</v>
      </c>
      <c r="F1979" s="408">
        <v>4.4999999999999998E-2</v>
      </c>
      <c r="G1979" s="453">
        <f t="shared" si="31"/>
        <v>2.4921465968586389</v>
      </c>
      <c r="H1979" s="453" t="s">
        <v>1666</v>
      </c>
      <c r="I1979" s="451" t="s">
        <v>1758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4" t="str">
        <f>LEFT(base[[#This Row],[Evento / Mercado]],FIND("/",base[[#This Row],[Evento / Mercado]])-2)</f>
        <v>Santos FC vs Red Bull Bragantino</v>
      </c>
      <c r="T1979" s="1420">
        <f>base[[#This Row],[Data de liquidação]]</f>
        <v>46152.853344907409</v>
      </c>
    </row>
    <row r="1980" spans="2:20" ht="15" customHeight="1">
      <c r="B1980" s="786" t="s">
        <v>2238</v>
      </c>
      <c r="C1980" s="911" t="s">
        <v>3556</v>
      </c>
      <c r="D1980" s="1349">
        <v>46152.855405092596</v>
      </c>
      <c r="E1980" s="879">
        <v>-1.96</v>
      </c>
      <c r="F1980" s="408">
        <v>4.4999999999999998E-2</v>
      </c>
      <c r="G1980" s="453">
        <f t="shared" si="31"/>
        <v>-1.96</v>
      </c>
      <c r="H1980" s="453" t="s">
        <v>1666</v>
      </c>
      <c r="I1980" s="451" t="s">
        <v>2301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4" t="str">
        <f>LEFT(base[[#This Row],[Evento / Mercado]],FIND("/",base[[#This Row],[Evento / Mercado]])-2)</f>
        <v>Avaí FC vs Fortaleza EC</v>
      </c>
      <c r="T1980" s="1420">
        <f>base[[#This Row],[Data de liquidação]]</f>
        <v>46152.855405092596</v>
      </c>
    </row>
    <row r="1981" spans="2:20" ht="15" customHeight="1">
      <c r="B1981" s="786" t="s">
        <v>2237</v>
      </c>
      <c r="C1981" s="911" t="s">
        <v>3556</v>
      </c>
      <c r="D1981" s="1349">
        <v>46152.8746875</v>
      </c>
      <c r="E1981" s="879">
        <v>7.7</v>
      </c>
      <c r="F1981" s="408">
        <v>4.4999999999999998E-2</v>
      </c>
      <c r="G1981" s="453">
        <f t="shared" si="31"/>
        <v>8.0628272251308903</v>
      </c>
      <c r="H1981" s="453" t="s">
        <v>2148</v>
      </c>
      <c r="I1981" s="451" t="s">
        <v>2149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4" t="str">
        <f>LEFT(base[[#This Row],[Evento / Mercado]],FIND("/",base[[#This Row],[Evento / Mercado]])-2)</f>
        <v>River Plate vs San Lorenzo</v>
      </c>
      <c r="T1981" s="1420">
        <f>base[[#This Row],[Data de liquidação]]</f>
        <v>46152.8746875</v>
      </c>
    </row>
    <row r="1982" spans="2:20" ht="15" customHeight="1">
      <c r="B1982" s="786" t="s">
        <v>2236</v>
      </c>
      <c r="C1982" s="911" t="s">
        <v>3556</v>
      </c>
      <c r="D1982" s="1349">
        <v>46152.89334490741</v>
      </c>
      <c r="E1982" s="879">
        <v>1.99</v>
      </c>
      <c r="F1982" s="408">
        <v>4.4999999999999998E-2</v>
      </c>
      <c r="G1982" s="453">
        <f t="shared" si="31"/>
        <v>2.0837696335078535</v>
      </c>
      <c r="H1982" s="453" t="s">
        <v>1666</v>
      </c>
      <c r="I1982" s="451" t="s">
        <v>1715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4" t="str">
        <f>LEFT(base[[#This Row],[Evento / Mercado]],FIND("/",base[[#This Row],[Evento / Mercado]])-2)</f>
        <v>Cusco FC vs CD Los Chankas</v>
      </c>
      <c r="T1982" s="1420">
        <f>base[[#This Row],[Data de liquidação]]</f>
        <v>46152.89334490741</v>
      </c>
    </row>
    <row r="1983" spans="2:20" ht="15" customHeight="1">
      <c r="B1983" s="786" t="s">
        <v>2235</v>
      </c>
      <c r="C1983" s="911" t="s">
        <v>3556</v>
      </c>
      <c r="D1983" s="1349">
        <v>46152.895173611112</v>
      </c>
      <c r="E1983" s="879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4" t="str">
        <f>LEFT(base[[#This Row],[Evento / Mercado]],FIND("/",base[[#This Row],[Evento / Mercado]])-2)</f>
        <v>Grêmio FBPA vs Flamengo</v>
      </c>
      <c r="T1983" s="1420">
        <f>base[[#This Row],[Data de liquidação]]</f>
        <v>46152.895173611112</v>
      </c>
    </row>
    <row r="1984" spans="2:20" ht="15" customHeight="1">
      <c r="B1984" s="786" t="s">
        <v>2234</v>
      </c>
      <c r="C1984" s="911" t="s">
        <v>3556</v>
      </c>
      <c r="D1984" s="1349">
        <v>46152.929780092592</v>
      </c>
      <c r="E1984" s="879">
        <v>3.18</v>
      </c>
      <c r="F1984" s="408">
        <v>4.4999999999999998E-2</v>
      </c>
      <c r="G1984" s="453">
        <f t="shared" si="31"/>
        <v>3.329842931937173</v>
      </c>
      <c r="H1984" s="453" t="s">
        <v>1666</v>
      </c>
      <c r="I1984" s="451" t="s">
        <v>1715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4" t="str">
        <f>LEFT(base[[#This Row],[Evento / Mercado]],FIND("/",base[[#This Row],[Evento / Mercado]])-2)</f>
        <v>Minnesota United vs Austin FC</v>
      </c>
      <c r="T1984" s="1420">
        <f>base[[#This Row],[Data de liquidação]]</f>
        <v>46152.929780092592</v>
      </c>
    </row>
    <row r="1985" spans="2:22" ht="15" customHeight="1">
      <c r="B1985" s="786" t="s">
        <v>2233</v>
      </c>
      <c r="C1985" s="911" t="s">
        <v>3556</v>
      </c>
      <c r="D1985" s="1349">
        <v>46152.945891203701</v>
      </c>
      <c r="E1985" s="879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4" t="str">
        <f>LEFT(base[[#This Row],[Evento / Mercado]],FIND("/",base[[#This Row],[Evento / Mercado]])-2)</f>
        <v>Pumas UNAM vs Club América</v>
      </c>
      <c r="T1985" s="1420">
        <f>base[[#This Row],[Data de liquidação]]</f>
        <v>46152.945891203701</v>
      </c>
    </row>
    <row r="1986" spans="2:22" ht="15" customHeight="1">
      <c r="B1986" s="787" t="s">
        <v>2330</v>
      </c>
      <c r="C1986" s="911" t="s">
        <v>3556</v>
      </c>
      <c r="D1986" s="1350">
        <v>46153.475590277776</v>
      </c>
      <c r="E1986" s="880">
        <v>17.190000000000001</v>
      </c>
      <c r="F1986" s="408">
        <v>4.4999999999999998E-2</v>
      </c>
      <c r="G1986" s="460">
        <f t="shared" si="31"/>
        <v>18.000000000000004</v>
      </c>
      <c r="H1986" s="453" t="s">
        <v>2148</v>
      </c>
      <c r="I1986" s="451" t="s">
        <v>1795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4" t="str">
        <f>LEFT(base[[#This Row],[Evento / Mercado]],FIND("/",base[[#This Row],[Evento / Mercado]])-2)</f>
        <v>Al-Nasr (UAE) vs Al-Ittihad Kalba</v>
      </c>
      <c r="T1986" s="1420">
        <f>base[[#This Row],[Data de liquidação]]</f>
        <v>46153.475590277776</v>
      </c>
    </row>
    <row r="1987" spans="2:22" ht="15" customHeight="1">
      <c r="B1987" s="787" t="s">
        <v>2329</v>
      </c>
      <c r="C1987" s="911" t="s">
        <v>3556</v>
      </c>
      <c r="D1987" s="1350">
        <v>46153.537997685184</v>
      </c>
      <c r="E1987" s="880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1666</v>
      </c>
      <c r="I1987" s="451" t="s">
        <v>1715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4" t="str">
        <f>LEFT(base[[#This Row],[Evento / Mercado]],FIND("/",base[[#This Row],[Evento / Mercado]])-2)</f>
        <v>Emami East Bengal FC vs Roundglass Punjab FC</v>
      </c>
      <c r="T1987" s="1420">
        <f>base[[#This Row],[Data de liquidação]]</f>
        <v>46153.537997685184</v>
      </c>
    </row>
    <row r="1988" spans="2:22" ht="15" customHeight="1">
      <c r="B1988" s="787" t="s">
        <v>2328</v>
      </c>
      <c r="C1988" s="911" t="s">
        <v>3556</v>
      </c>
      <c r="D1988" s="1350">
        <v>46153.551898148151</v>
      </c>
      <c r="E1988" s="880">
        <v>1.39</v>
      </c>
      <c r="F1988" s="408">
        <v>4.4999999999999998E-2</v>
      </c>
      <c r="G1988" s="460">
        <f t="shared" si="32"/>
        <v>1.4554973821989527</v>
      </c>
      <c r="H1988" s="453" t="s">
        <v>1666</v>
      </c>
      <c r="I1988" s="451" t="s">
        <v>1758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4" t="str">
        <f>LEFT(base[[#This Row],[Evento / Mercado]],FIND("/",base[[#This Row],[Evento / Mercado]])-2)</f>
        <v>Al-Nasr (UAE) vs Al-Ittihad Kalba</v>
      </c>
      <c r="T1988" s="1420">
        <f>base[[#This Row],[Data de liquidação]]</f>
        <v>46153.551898148151</v>
      </c>
    </row>
    <row r="1989" spans="2:22" ht="15" customHeight="1">
      <c r="B1989" s="787" t="s">
        <v>2327</v>
      </c>
      <c r="C1989" s="911" t="s">
        <v>3556</v>
      </c>
      <c r="D1989" s="1350">
        <v>46153.59270833333</v>
      </c>
      <c r="E1989" s="880">
        <v>15.76</v>
      </c>
      <c r="F1989" s="408">
        <v>4.4999999999999998E-2</v>
      </c>
      <c r="G1989" s="460">
        <f t="shared" si="32"/>
        <v>16.502617801047119</v>
      </c>
      <c r="H1989" s="453" t="s">
        <v>2148</v>
      </c>
      <c r="I1989" s="451" t="s">
        <v>1795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4" t="str">
        <f>LEFT(base[[#This Row],[Evento / Mercado]],FIND("/",base[[#This Row],[Evento / Mercado]])-2)</f>
        <v>Slask Wroclaw vs LKS Lódz</v>
      </c>
      <c r="T1989" s="1420">
        <f>base[[#This Row],[Data de liquidação]]</f>
        <v>46153.59270833333</v>
      </c>
    </row>
    <row r="1990" spans="2:22" ht="15" customHeight="1">
      <c r="B1990" s="787" t="s">
        <v>2326</v>
      </c>
      <c r="C1990" s="911" t="s">
        <v>3556</v>
      </c>
      <c r="D1990" s="1350">
        <v>46153.597719907404</v>
      </c>
      <c r="E1990" s="880">
        <v>17.690000000000001</v>
      </c>
      <c r="F1990" s="408">
        <v>4.4999999999999998E-2</v>
      </c>
      <c r="G1990" s="460">
        <f t="shared" si="32"/>
        <v>18.523560209424087</v>
      </c>
      <c r="H1990" s="453" t="s">
        <v>2148</v>
      </c>
      <c r="I1990" s="451" t="s">
        <v>1795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4" t="str">
        <f>LEFT(base[[#This Row],[Evento / Mercado]],FIND("/",base[[#This Row],[Evento / Mercado]])-2)</f>
        <v>SK Super Nova vs FK Tukums 2000</v>
      </c>
      <c r="T1990" s="1420">
        <f>base[[#This Row],[Data de liquidação]]</f>
        <v>46153.597719907404</v>
      </c>
    </row>
    <row r="1991" spans="2:22" ht="15" customHeight="1">
      <c r="B1991" s="787" t="s">
        <v>2325</v>
      </c>
      <c r="C1991" s="911" t="s">
        <v>3556</v>
      </c>
      <c r="D1991" s="1350">
        <v>46153.611527777779</v>
      </c>
      <c r="E1991" s="880">
        <v>1.0900000000000001</v>
      </c>
      <c r="F1991" s="408">
        <v>4.4999999999999998E-2</v>
      </c>
      <c r="G1991" s="460">
        <f t="shared" si="32"/>
        <v>1.1413612565445028</v>
      </c>
      <c r="H1991" s="453" t="s">
        <v>1666</v>
      </c>
      <c r="I1991" s="451" t="s">
        <v>1795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4" t="str">
        <f>LEFT(base[[#This Row],[Evento / Mercado]],FIND("/",base[[#This Row],[Evento / Mercado]])-2)</f>
        <v>IK Sirius vs Örgryte IS</v>
      </c>
      <c r="T1991" s="1420">
        <f>base[[#This Row],[Data de liquidação]]</f>
        <v>46153.611527777779</v>
      </c>
    </row>
    <row r="1992" spans="2:22" ht="15" customHeight="1">
      <c r="B1992" s="787" t="s">
        <v>2324</v>
      </c>
      <c r="C1992" s="911" t="s">
        <v>3556</v>
      </c>
      <c r="D1992" s="1350">
        <v>46153.620185185187</v>
      </c>
      <c r="E1992" s="880">
        <v>27.76</v>
      </c>
      <c r="F1992" s="408">
        <v>4.4999999999999998E-2</v>
      </c>
      <c r="G1992" s="460">
        <f t="shared" si="32"/>
        <v>29.068062827225134</v>
      </c>
      <c r="H1992" s="453" t="s">
        <v>2148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4" t="str">
        <f>LEFT(base[[#This Row],[Evento / Mercado]],FIND("/",base[[#This Row],[Evento / Mercado]])-2)</f>
        <v>Slask Wroclaw vs LKS Lódz</v>
      </c>
      <c r="T1992" s="1420">
        <f>base[[#This Row],[Data de liquidação]]</f>
        <v>46153.620185185187</v>
      </c>
    </row>
    <row r="1993" spans="2:22" ht="15" customHeight="1">
      <c r="B1993" s="787" t="s">
        <v>2323</v>
      </c>
      <c r="C1993" s="911" t="s">
        <v>3556</v>
      </c>
      <c r="D1993" s="1350">
        <v>46153.623333333337</v>
      </c>
      <c r="E1993" s="880">
        <v>-50</v>
      </c>
      <c r="F1993" s="408">
        <v>4.4999999999999998E-2</v>
      </c>
      <c r="G1993" s="460">
        <f t="shared" si="32"/>
        <v>-50</v>
      </c>
      <c r="H1993" s="453" t="s">
        <v>2148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4" t="str">
        <f>LEFT(base[[#This Row],[Evento / Mercado]],FIND("/",base[[#This Row],[Evento / Mercado]])-2)</f>
        <v>Al Ahli Club vs Al Hidd</v>
      </c>
      <c r="T1993" s="1420">
        <f>base[[#This Row],[Data de liquidação]]</f>
        <v>46153.623333333337</v>
      </c>
    </row>
    <row r="1994" spans="2:22" ht="15" customHeight="1">
      <c r="B1994" s="787" t="s">
        <v>2322</v>
      </c>
      <c r="C1994" s="911" t="s">
        <v>3556</v>
      </c>
      <c r="D1994" s="1350">
        <v>46153.646770833337</v>
      </c>
      <c r="E1994" s="880">
        <v>-2.11</v>
      </c>
      <c r="F1994" s="408">
        <v>4.4999999999999998E-2</v>
      </c>
      <c r="G1994" s="460">
        <f t="shared" si="32"/>
        <v>-2.11</v>
      </c>
      <c r="H1994" s="453" t="s">
        <v>1666</v>
      </c>
      <c r="I1994" s="458" t="s">
        <v>1558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4" t="str">
        <f>LEFT(base[[#This Row],[Evento / Mercado]],FIND("/",base[[#This Row],[Evento / Mercado]])-2)</f>
        <v>IK Sirius vs Örgryte IS</v>
      </c>
      <c r="T1994" s="1420">
        <f>base[[#This Row],[Data de liquidação]]</f>
        <v>46153.646770833337</v>
      </c>
    </row>
    <row r="1995" spans="2:22" ht="15" customHeight="1">
      <c r="B1995" s="787" t="s">
        <v>2321</v>
      </c>
      <c r="C1995" s="911" t="s">
        <v>3556</v>
      </c>
      <c r="D1995" s="1350">
        <v>46153.655104166668</v>
      </c>
      <c r="E1995" s="880">
        <v>1.64</v>
      </c>
      <c r="F1995" s="408">
        <v>4.4999999999999998E-2</v>
      </c>
      <c r="G1995" s="460">
        <f t="shared" si="32"/>
        <v>1.7172774869109948</v>
      </c>
      <c r="H1995" s="453" t="s">
        <v>1666</v>
      </c>
      <c r="I1995" s="451" t="s">
        <v>1715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4" t="str">
        <f>LEFT(base[[#This Row],[Evento / Mercado]],FIND("/",base[[#This Row],[Evento / Mercado]])-2)</f>
        <v>Al-Jazira Club vs Al-Wasl</v>
      </c>
      <c r="T1995" s="1420">
        <f>base[[#This Row],[Data de liquidação]]</f>
        <v>46153.655104166668</v>
      </c>
    </row>
    <row r="1996" spans="2:22" ht="15" customHeight="1">
      <c r="B1996" s="787" t="s">
        <v>2320</v>
      </c>
      <c r="C1996" s="911" t="s">
        <v>3556</v>
      </c>
      <c r="D1996" s="1350">
        <v>46153.657743055555</v>
      </c>
      <c r="E1996" s="880">
        <v>6.63</v>
      </c>
      <c r="F1996" s="408">
        <v>4.4999999999999998E-2</v>
      </c>
      <c r="G1996" s="460">
        <f t="shared" si="32"/>
        <v>6.9424083769633507</v>
      </c>
      <c r="H1996" s="453" t="s">
        <v>1666</v>
      </c>
      <c r="I1996" s="458" t="s">
        <v>1759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4" t="str">
        <f>LEFT(base[[#This Row],[Evento / Mercado]],FIND("/",base[[#This Row],[Evento / Mercado]])-2)</f>
        <v>Khor Fakkan vs Al-Wahda Abu Dhabi</v>
      </c>
      <c r="T1996" s="1420">
        <f>base[[#This Row],[Data de liquidação]]</f>
        <v>46153.657743055555</v>
      </c>
    </row>
    <row r="1997" spans="2:22" ht="15" customHeight="1">
      <c r="B1997" s="787" t="s">
        <v>2319</v>
      </c>
      <c r="C1997" s="911" t="s">
        <v>3556</v>
      </c>
      <c r="D1997" s="1350">
        <v>46153.66070601852</v>
      </c>
      <c r="E1997" s="880">
        <v>-50</v>
      </c>
      <c r="F1997" s="408">
        <v>4.4999999999999998E-2</v>
      </c>
      <c r="G1997" s="460">
        <f t="shared" si="32"/>
        <v>-50</v>
      </c>
      <c r="H1997" s="453" t="s">
        <v>2148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4" t="str">
        <f>LEFT(base[[#This Row],[Evento / Mercado]],FIND("/",base[[#This Row],[Evento / Mercado]])-2)</f>
        <v>Egersund vs Odds Ballklubb</v>
      </c>
      <c r="T1997" s="1420">
        <f>base[[#This Row],[Data de liquidação]]</f>
        <v>46153.66070601852</v>
      </c>
      <c r="V1997" s="11"/>
    </row>
    <row r="1998" spans="2:22" ht="15" customHeight="1">
      <c r="B1998" s="787" t="s">
        <v>2318</v>
      </c>
      <c r="C1998" s="911" t="s">
        <v>3556</v>
      </c>
      <c r="D1998" s="1350">
        <v>46153.66138888889</v>
      </c>
      <c r="E1998" s="880">
        <v>11.297649999999999</v>
      </c>
      <c r="F1998" s="408">
        <v>4.4999999999999998E-2</v>
      </c>
      <c r="G1998" s="460">
        <f t="shared" si="32"/>
        <v>11.83</v>
      </c>
      <c r="H1998" s="460" t="s">
        <v>179</v>
      </c>
      <c r="I1998" s="458" t="s">
        <v>392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2434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4" t="str">
        <f>LEFT(base[[#This Row],[Evento / Mercado]],FIND("/",base[[#This Row],[Evento / Mercado]])-2)</f>
        <v>IK Sirius vs Örgryte IS</v>
      </c>
      <c r="T1998" s="142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87" t="s">
        <v>2318</v>
      </c>
      <c r="C1999" s="911" t="s">
        <v>3556</v>
      </c>
      <c r="D1999" s="1350">
        <v>46153.66138888889</v>
      </c>
      <c r="E1999" s="880">
        <v>1.6330499999999999</v>
      </c>
      <c r="F1999" s="408">
        <v>4.4999999999999998E-2</v>
      </c>
      <c r="G1999" s="460">
        <f t="shared" si="32"/>
        <v>1.71</v>
      </c>
      <c r="H1999" s="453" t="s">
        <v>1666</v>
      </c>
      <c r="I1999" s="458" t="s">
        <v>1717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4" t="str">
        <f>LEFT(base[[#This Row],[Evento / Mercado]],FIND("/",base[[#This Row],[Evento / Mercado]])-2)</f>
        <v>IK Sirius vs Örgryte IS</v>
      </c>
      <c r="T1999" s="142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87" t="s">
        <v>2317</v>
      </c>
      <c r="C2000" s="911" t="s">
        <v>3556</v>
      </c>
      <c r="D2000" s="1350">
        <v>46153.666747685187</v>
      </c>
      <c r="E2000" s="880">
        <v>23.88</v>
      </c>
      <c r="F2000" s="408">
        <v>4.4999999999999998E-2</v>
      </c>
      <c r="G2000" s="460">
        <f t="shared" si="32"/>
        <v>25.005235602094242</v>
      </c>
      <c r="H2000" s="453" t="s">
        <v>2148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4" t="str">
        <f>LEFT(base[[#This Row],[Evento / Mercado]],FIND("/",base[[#This Row],[Evento / Mercado]])-2)</f>
        <v>FC Vaduz vs FC Aarau</v>
      </c>
      <c r="T2000" s="1420">
        <f>base[[#This Row],[Data de liquidação]]</f>
        <v>46153.666747685187</v>
      </c>
    </row>
    <row r="2001" spans="2:22" ht="15" customHeight="1">
      <c r="B2001" s="787" t="s">
        <v>2316</v>
      </c>
      <c r="C2001" s="911" t="s">
        <v>3556</v>
      </c>
      <c r="D2001" s="1350">
        <v>46153.669120370374</v>
      </c>
      <c r="E2001" s="880">
        <v>2.0699999999999998</v>
      </c>
      <c r="F2001" s="408">
        <v>4.4999999999999998E-2</v>
      </c>
      <c r="G2001" s="460">
        <f t="shared" si="32"/>
        <v>2.1675392670157065</v>
      </c>
      <c r="H2001" s="453" t="s">
        <v>1666</v>
      </c>
      <c r="I2001" s="451" t="s">
        <v>1715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4" t="str">
        <f>LEFT(base[[#This Row],[Evento / Mercado]],FIND("/",base[[#This Row],[Evento / Mercado]])-2)</f>
        <v>Randers FC vs Odense BK</v>
      </c>
      <c r="T2001" s="1420">
        <f>base[[#This Row],[Data de liquidação]]</f>
        <v>46153.669120370374</v>
      </c>
    </row>
    <row r="2002" spans="2:22" ht="15" customHeight="1">
      <c r="B2002" s="787" t="s">
        <v>2315</v>
      </c>
      <c r="C2002" s="911" t="s">
        <v>3556</v>
      </c>
      <c r="D2002" s="1350">
        <v>46153.67701388889</v>
      </c>
      <c r="E2002" s="880">
        <v>-2.17</v>
      </c>
      <c r="F2002" s="408">
        <v>4.4999999999999998E-2</v>
      </c>
      <c r="G2002" s="460">
        <f t="shared" si="32"/>
        <v>-2.17</v>
      </c>
      <c r="H2002" s="453" t="s">
        <v>1666</v>
      </c>
      <c r="I2002" s="458" t="s">
        <v>1558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4" t="str">
        <f>LEFT(base[[#This Row],[Evento / Mercado]],FIND("/",base[[#This Row],[Evento / Mercado]])-2)</f>
        <v>Al-Taawoun Buraidah vs Al Ahli Jeddah</v>
      </c>
      <c r="T2002" s="1420">
        <f>base[[#This Row],[Data de liquidação]]</f>
        <v>46153.67701388889</v>
      </c>
    </row>
    <row r="2003" spans="2:22" ht="15" customHeight="1">
      <c r="B2003" s="787" t="s">
        <v>2314</v>
      </c>
      <c r="C2003" s="911" t="s">
        <v>3556</v>
      </c>
      <c r="D2003" s="1350">
        <v>46153.706400462965</v>
      </c>
      <c r="E2003" s="880">
        <v>28.77</v>
      </c>
      <c r="F2003" s="408">
        <v>4.4999999999999998E-2</v>
      </c>
      <c r="G2003" s="460">
        <f t="shared" si="32"/>
        <v>30.125654450261781</v>
      </c>
      <c r="H2003" s="453" t="s">
        <v>2148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4" t="str">
        <f>LEFT(base[[#This Row],[Evento / Mercado]],FIND("/",base[[#This Row],[Evento / Mercado]])-2)</f>
        <v>FC Yverdon-Sport vs FC Rapperswil Jona</v>
      </c>
      <c r="T2003" s="1420">
        <f>base[[#This Row],[Data de liquidação]]</f>
        <v>46153.706400462965</v>
      </c>
    </row>
    <row r="2004" spans="2:22" ht="15" customHeight="1">
      <c r="B2004" s="787" t="s">
        <v>2313</v>
      </c>
      <c r="C2004" s="911" t="s">
        <v>3556</v>
      </c>
      <c r="D2004" s="1350">
        <v>46153.712407407409</v>
      </c>
      <c r="E2004" s="880">
        <v>-2</v>
      </c>
      <c r="F2004" s="408">
        <v>4.4999999999999998E-2</v>
      </c>
      <c r="G2004" s="460">
        <f t="shared" si="32"/>
        <v>-2</v>
      </c>
      <c r="H2004" s="453" t="s">
        <v>1666</v>
      </c>
      <c r="I2004" s="451" t="s">
        <v>1795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4" t="str">
        <f>LEFT(base[[#This Row],[Evento / Mercado]],FIND("/",base[[#This Row],[Evento / Mercado]])-2)</f>
        <v>Benfica vs Sporting de Braga</v>
      </c>
      <c r="T2004" s="1420">
        <f>base[[#This Row],[Data de liquidação]]</f>
        <v>46153.712407407409</v>
      </c>
    </row>
    <row r="2005" spans="2:22" ht="15" customHeight="1">
      <c r="B2005" s="787" t="s">
        <v>2312</v>
      </c>
      <c r="C2005" s="911" t="s">
        <v>3556</v>
      </c>
      <c r="D2005" s="1350">
        <v>46153.713726851849</v>
      </c>
      <c r="E2005" s="880">
        <v>1.91</v>
      </c>
      <c r="F2005" s="408">
        <v>4.4999999999999998E-2</v>
      </c>
      <c r="G2005" s="460">
        <f t="shared" si="32"/>
        <v>2</v>
      </c>
      <c r="H2005" s="453" t="s">
        <v>1666</v>
      </c>
      <c r="I2005" s="458" t="s">
        <v>2331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4" t="str">
        <f>LEFT(base[[#This Row],[Evento / Mercado]],FIND("/",base[[#This Row],[Evento / Mercado]])-2)</f>
        <v>FC Yverdon-Sport vs FC Rapperswil Jona</v>
      </c>
      <c r="T2005" s="1420">
        <f>base[[#This Row],[Data de liquidação]]</f>
        <v>46153.713726851849</v>
      </c>
    </row>
    <row r="2006" spans="2:22" ht="15" customHeight="1">
      <c r="B2006" s="787" t="s">
        <v>2311</v>
      </c>
      <c r="C2006" s="911" t="s">
        <v>3556</v>
      </c>
      <c r="D2006" s="1350">
        <v>46153.713958333334</v>
      </c>
      <c r="E2006" s="880">
        <v>3.82</v>
      </c>
      <c r="F2006" s="408">
        <v>4.4999999999999998E-2</v>
      </c>
      <c r="G2006" s="460">
        <f t="shared" si="32"/>
        <v>4</v>
      </c>
      <c r="H2006" s="453" t="s">
        <v>1666</v>
      </c>
      <c r="I2006" s="458" t="s">
        <v>2331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4" t="str">
        <f>LEFT(base[[#This Row],[Evento / Mercado]],FIND("/",base[[#This Row],[Evento / Mercado]])-2)</f>
        <v>Neuchâtel Xamax vs Etoile-Carouge FC</v>
      </c>
      <c r="T2006" s="142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87" t="s">
        <v>2311</v>
      </c>
      <c r="C2007" s="911" t="s">
        <v>3556</v>
      </c>
      <c r="D2007" s="1350">
        <v>46153.713958333334</v>
      </c>
      <c r="E2007" s="880">
        <v>19.892649999999996</v>
      </c>
      <c r="F2007" s="408">
        <v>4.4999999999999998E-2</v>
      </c>
      <c r="G2007" s="460">
        <f t="shared" si="32"/>
        <v>20.83</v>
      </c>
      <c r="H2007" s="453" t="s">
        <v>2148</v>
      </c>
      <c r="I2007" s="458" t="s">
        <v>2149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4" t="str">
        <f>LEFT(base[[#This Row],[Evento / Mercado]],FIND("/",base[[#This Row],[Evento / Mercado]])-2)</f>
        <v>Neuchâtel Xamax vs Etoile-Carouge FC</v>
      </c>
      <c r="T2007" s="142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87" t="s">
        <v>2310</v>
      </c>
      <c r="C2008" s="911" t="s">
        <v>3556</v>
      </c>
      <c r="D2008" s="1350">
        <v>46153.716493055559</v>
      </c>
      <c r="E2008" s="880">
        <v>1.77</v>
      </c>
      <c r="F2008" s="408">
        <v>4.4999999999999998E-2</v>
      </c>
      <c r="G2008" s="460">
        <f t="shared" si="32"/>
        <v>1.8534031413612566</v>
      </c>
      <c r="H2008" s="453" t="s">
        <v>1666</v>
      </c>
      <c r="I2008" s="451" t="s">
        <v>1715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4" t="str">
        <f>LEFT(base[[#This Row],[Evento / Mercado]],FIND("/",base[[#This Row],[Evento / Mercado]])-2)</f>
        <v>FC Vaduz vs FC Aarau</v>
      </c>
      <c r="T2008" s="1420">
        <f>base[[#This Row],[Data de liquidação]]</f>
        <v>46153.716493055559</v>
      </c>
    </row>
    <row r="2009" spans="2:22" ht="15" customHeight="1">
      <c r="B2009" s="787" t="s">
        <v>2309</v>
      </c>
      <c r="C2009" s="911" t="s">
        <v>3556</v>
      </c>
      <c r="D2009" s="1350">
        <v>46153.732928240737</v>
      </c>
      <c r="E2009" s="880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4" t="str">
        <f>LEFT(base[[#This Row],[Evento / Mercado]],FIND("/",base[[#This Row],[Evento / Mercado]])-2)</f>
        <v>Tottenham Hotspur vs Leeds United</v>
      </c>
      <c r="T2009" s="1420">
        <f>base[[#This Row],[Data de liquidação]]</f>
        <v>46153.732928240737</v>
      </c>
    </row>
    <row r="2010" spans="2:22" ht="15" customHeight="1">
      <c r="B2010" s="787" t="s">
        <v>2308</v>
      </c>
      <c r="C2010" s="911" t="s">
        <v>3556</v>
      </c>
      <c r="D2010" s="1350">
        <v>46153.740474537037</v>
      </c>
      <c r="E2010" s="880">
        <v>2.56</v>
      </c>
      <c r="F2010" s="408">
        <v>4.4999999999999998E-2</v>
      </c>
      <c r="G2010" s="460">
        <f t="shared" si="32"/>
        <v>2.6806282722513091</v>
      </c>
      <c r="H2010" s="453" t="s">
        <v>1666</v>
      </c>
      <c r="I2010" s="458" t="s">
        <v>1760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4" t="str">
        <f>LEFT(base[[#This Row],[Evento / Mercado]],FIND("/",base[[#This Row],[Evento / Mercado]])-2)</f>
        <v>Rayo Vallecano vs Girona</v>
      </c>
      <c r="T2010" s="1420">
        <f>base[[#This Row],[Data de liquidação]]</f>
        <v>46153.740474537037</v>
      </c>
    </row>
    <row r="2011" spans="2:22" ht="15" customHeight="1">
      <c r="B2011" s="787" t="s">
        <v>2307</v>
      </c>
      <c r="C2011" s="911" t="s">
        <v>3556</v>
      </c>
      <c r="D2011" s="1350">
        <v>46153.756504629629</v>
      </c>
      <c r="E2011" s="880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4" t="str">
        <f>LEFT(base[[#This Row],[Evento / Mercado]],FIND("/",base[[#This Row],[Evento / Mercado]])-2)</f>
        <v>Benfica vs Sporting de Braga</v>
      </c>
      <c r="T2011" s="1420">
        <f>base[[#This Row],[Data de liquidação]]</f>
        <v>46153.756504629629</v>
      </c>
    </row>
    <row r="2012" spans="2:22" ht="15" customHeight="1">
      <c r="B2012" s="787" t="s">
        <v>2306</v>
      </c>
      <c r="C2012" s="911" t="s">
        <v>3556</v>
      </c>
      <c r="D2012" s="1350">
        <v>46153.760127314818</v>
      </c>
      <c r="E2012" s="880">
        <v>1.91</v>
      </c>
      <c r="F2012" s="408">
        <v>4.4999999999999998E-2</v>
      </c>
      <c r="G2012" s="460">
        <f t="shared" si="32"/>
        <v>2</v>
      </c>
      <c r="H2012" s="453" t="s">
        <v>1666</v>
      </c>
      <c r="I2012" s="458" t="s">
        <v>2331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4" t="str">
        <f>LEFT(base[[#This Row],[Evento / Mercado]],FIND("/",base[[#This Row],[Evento / Mercado]])-2)</f>
        <v>Tondela vs Moreirense FC</v>
      </c>
      <c r="T2012" s="1420">
        <f>base[[#This Row],[Data de liquidação]]</f>
        <v>46153.760127314818</v>
      </c>
    </row>
    <row r="2013" spans="2:22" ht="15" customHeight="1">
      <c r="B2013" s="787" t="s">
        <v>2305</v>
      </c>
      <c r="C2013" s="911" t="s">
        <v>3556</v>
      </c>
      <c r="D2013" s="1350">
        <v>46153.760972222219</v>
      </c>
      <c r="E2013" s="880">
        <v>3.08</v>
      </c>
      <c r="F2013" s="408">
        <v>4.4999999999999998E-2</v>
      </c>
      <c r="G2013" s="460">
        <f t="shared" si="32"/>
        <v>3.2251308900523563</v>
      </c>
      <c r="H2013" s="453" t="s">
        <v>1666</v>
      </c>
      <c r="I2013" s="451" t="s">
        <v>1715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4" t="str">
        <f>LEFT(base[[#This Row],[Evento / Mercado]],FIND("/",base[[#This Row],[Evento / Mercado]])-2)</f>
        <v>Gil Vicente vs Futebol Clube de Arouca</v>
      </c>
      <c r="T2013" s="1420">
        <f>base[[#This Row],[Data de liquidação]]</f>
        <v>46153.760972222219</v>
      </c>
    </row>
    <row r="2014" spans="2:22" ht="15" customHeight="1">
      <c r="B2014" s="787" t="s">
        <v>2304</v>
      </c>
      <c r="C2014" s="911" t="s">
        <v>3556</v>
      </c>
      <c r="D2014" s="1350">
        <v>46153.761481481481</v>
      </c>
      <c r="E2014" s="880">
        <v>2.58</v>
      </c>
      <c r="F2014" s="408">
        <v>4.4999999999999998E-2</v>
      </c>
      <c r="G2014" s="460">
        <f t="shared" si="32"/>
        <v>2.7015706806282727</v>
      </c>
      <c r="H2014" s="453" t="s">
        <v>1666</v>
      </c>
      <c r="I2014" s="458" t="s">
        <v>1759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4" t="str">
        <f>LEFT(base[[#This Row],[Evento / Mercado]],FIND("/",base[[#This Row],[Evento / Mercado]])-2)</f>
        <v>Santa Clara vs Nacional da Madeira</v>
      </c>
      <c r="T2014" s="1420">
        <f>base[[#This Row],[Data de liquidação]]</f>
        <v>46153.761481481481</v>
      </c>
    </row>
    <row r="2015" spans="2:22" ht="15" customHeight="1">
      <c r="B2015" s="787" t="s">
        <v>2303</v>
      </c>
      <c r="C2015" s="911" t="s">
        <v>3556</v>
      </c>
      <c r="D2015" s="1350">
        <v>46153.763356481482</v>
      </c>
      <c r="E2015" s="880">
        <v>2.87</v>
      </c>
      <c r="F2015" s="408">
        <v>4.4999999999999998E-2</v>
      </c>
      <c r="G2015" s="460">
        <f t="shared" si="32"/>
        <v>3.005235602094241</v>
      </c>
      <c r="H2015" s="453" t="s">
        <v>1666</v>
      </c>
      <c r="I2015" s="458" t="s">
        <v>1717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4" t="str">
        <f>LEFT(base[[#This Row],[Evento / Mercado]],FIND("/",base[[#This Row],[Evento / Mercado]])-2)</f>
        <v>Benfica vs Sporting de Braga</v>
      </c>
      <c r="T2015" s="1420">
        <f>base[[#This Row],[Data de liquidação]]</f>
        <v>46153.763356481482</v>
      </c>
    </row>
    <row r="2016" spans="2:22" ht="15" customHeight="1">
      <c r="B2016" s="787" t="s">
        <v>2302</v>
      </c>
      <c r="C2016" s="911" t="s">
        <v>3556</v>
      </c>
      <c r="D2016" s="1350">
        <v>46153.93109953704</v>
      </c>
      <c r="E2016" s="880">
        <v>0.99</v>
      </c>
      <c r="F2016" s="408">
        <v>4.4999999999999998E-2</v>
      </c>
      <c r="G2016" s="460">
        <f t="shared" si="32"/>
        <v>1.036649214659686</v>
      </c>
      <c r="H2016" s="453" t="s">
        <v>1666</v>
      </c>
      <c r="I2016" s="458" t="s">
        <v>2301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4" t="str">
        <f>LEFT(base[[#This Row],[Evento / Mercado]],FIND("/",base[[#This Row],[Evento / Mercado]])-2)</f>
        <v>Mushuc Runa vs LDU Quito</v>
      </c>
      <c r="T2016" s="1420">
        <f>base[[#This Row],[Data de liquidação]]</f>
        <v>46153.93109953704</v>
      </c>
    </row>
    <row r="2017" spans="2:22" ht="15" customHeight="1">
      <c r="B2017" s="788" t="s">
        <v>2361</v>
      </c>
      <c r="C2017" s="911" t="s">
        <v>3556</v>
      </c>
      <c r="D2017" s="1351">
        <v>46154.492083333331</v>
      </c>
      <c r="E2017" s="881">
        <v>-2</v>
      </c>
      <c r="F2017" s="408">
        <v>4.4999999999999998E-2</v>
      </c>
      <c r="G2017" s="465">
        <f t="shared" si="32"/>
        <v>-2</v>
      </c>
      <c r="H2017" s="453" t="s">
        <v>1666</v>
      </c>
      <c r="I2017" s="463" t="s">
        <v>1795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4" t="str">
        <f>LEFT(base[[#This Row],[Evento / Mercado]],FIND("/",base[[#This Row],[Evento / Mercado]])-2)</f>
        <v>Mohun Bagan Super Giants vs Inter Kashi</v>
      </c>
      <c r="T2017" s="1420">
        <f>base[[#This Row],[Data de liquidação]]</f>
        <v>46154.492083333331</v>
      </c>
    </row>
    <row r="2018" spans="2:22" ht="15" customHeight="1">
      <c r="B2018" s="788" t="s">
        <v>2360</v>
      </c>
      <c r="C2018" s="911" t="s">
        <v>3556</v>
      </c>
      <c r="D2018" s="1351">
        <v>46154.587268518517</v>
      </c>
      <c r="E2018" s="881">
        <v>18.62</v>
      </c>
      <c r="F2018" s="408">
        <v>4.4999999999999998E-2</v>
      </c>
      <c r="G2018" s="465">
        <f t="shared" si="32"/>
        <v>19.497382198952881</v>
      </c>
      <c r="H2018" s="453" t="s">
        <v>2148</v>
      </c>
      <c r="I2018" s="463" t="s">
        <v>1795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4" t="str">
        <f>LEFT(base[[#This Row],[Evento / Mercado]],FIND("/",base[[#This Row],[Evento / Mercado]])-2)</f>
        <v>Celta de Vigo vs Levante UD</v>
      </c>
      <c r="T2018" s="1420">
        <f>base[[#This Row],[Data de liquidação]]</f>
        <v>46154.587268518517</v>
      </c>
    </row>
    <row r="2019" spans="2:22" ht="15" customHeight="1">
      <c r="B2019" s="788" t="s">
        <v>2359</v>
      </c>
      <c r="C2019" s="911" t="s">
        <v>3556</v>
      </c>
      <c r="D2019" s="1351">
        <v>46154.600775462961</v>
      </c>
      <c r="E2019" s="881">
        <v>1.71</v>
      </c>
      <c r="F2019" s="408">
        <v>4.4999999999999998E-2</v>
      </c>
      <c r="G2019" s="465">
        <f t="shared" si="32"/>
        <v>1.7905759162303665</v>
      </c>
      <c r="H2019" s="453" t="s">
        <v>1666</v>
      </c>
      <c r="I2019" s="451" t="s">
        <v>1715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4" t="str">
        <f>LEFT(base[[#This Row],[Evento / Mercado]],FIND("/",base[[#This Row],[Evento / Mercado]])-2)</f>
        <v>FK Mladá Boleslav vs FK Dukla Praha</v>
      </c>
      <c r="T2019" s="1420">
        <f>base[[#This Row],[Data de liquidação]]</f>
        <v>46154.600775462961</v>
      </c>
    </row>
    <row r="2020" spans="2:22" ht="15" customHeight="1">
      <c r="B2020" s="788" t="s">
        <v>2358</v>
      </c>
      <c r="C2020" s="911" t="s">
        <v>3556</v>
      </c>
      <c r="D2020" s="1351">
        <v>46154.63385416667</v>
      </c>
      <c r="E2020" s="881">
        <v>15.92</v>
      </c>
      <c r="F2020" s="408">
        <v>4.4999999999999998E-2</v>
      </c>
      <c r="G2020" s="465">
        <f t="shared" si="32"/>
        <v>16.670157068062828</v>
      </c>
      <c r="H2020" s="453" t="s">
        <v>2148</v>
      </c>
      <c r="I2020" s="463" t="s">
        <v>1795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4" t="str">
        <f>LEFT(base[[#This Row],[Evento / Mercado]],FIND("/",base[[#This Row],[Evento / Mercado]])-2)</f>
        <v>Real Betis vs Elche CF</v>
      </c>
      <c r="T2020" s="1420">
        <f>base[[#This Row],[Data de liquidação]]</f>
        <v>46154.63385416667</v>
      </c>
    </row>
    <row r="2021" spans="2:22" ht="15" customHeight="1">
      <c r="B2021" s="788" t="s">
        <v>2357</v>
      </c>
      <c r="C2021" s="911" t="s">
        <v>3556</v>
      </c>
      <c r="D2021" s="1351">
        <v>46154.63685185185</v>
      </c>
      <c r="E2021" s="881">
        <v>-2</v>
      </c>
      <c r="F2021" s="408">
        <v>4.4999999999999998E-2</v>
      </c>
      <c r="G2021" s="465">
        <f t="shared" si="32"/>
        <v>-2</v>
      </c>
      <c r="H2021" s="453" t="s">
        <v>1666</v>
      </c>
      <c r="I2021" s="463" t="s">
        <v>2362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4" t="str">
        <f>LEFT(base[[#This Row],[Evento / Mercado]],FIND("/",base[[#This Row],[Evento / Mercado]])-2)</f>
        <v>Al-Kholood Club vs Al-Akhdoud</v>
      </c>
      <c r="T2021" s="1420">
        <f>base[[#This Row],[Data de liquidação]]</f>
        <v>46154.63685185185</v>
      </c>
    </row>
    <row r="2022" spans="2:22" ht="15" customHeight="1">
      <c r="B2022" s="788" t="s">
        <v>2356</v>
      </c>
      <c r="C2022" s="911" t="s">
        <v>3556</v>
      </c>
      <c r="D2022" s="1351">
        <v>46154.656747685185</v>
      </c>
      <c r="E2022" s="881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4" t="str">
        <f>LEFT(base[[#This Row],[Evento / Mercado]],FIND("/",base[[#This Row],[Evento / Mercado]])-2)</f>
        <v>Real Betis vs Elche CF</v>
      </c>
      <c r="T2022" s="1420">
        <f>base[[#This Row],[Data de liquidação]]</f>
        <v>46154.656747685185</v>
      </c>
    </row>
    <row r="2023" spans="2:22" ht="15" customHeight="1">
      <c r="B2023" s="788" t="s">
        <v>2355</v>
      </c>
      <c r="C2023" s="911" t="s">
        <v>3556</v>
      </c>
      <c r="D2023" s="1351">
        <v>46154.661851851852</v>
      </c>
      <c r="E2023" s="881">
        <v>1.85</v>
      </c>
      <c r="F2023" s="408">
        <v>4.4999999999999998E-2</v>
      </c>
      <c r="G2023" s="465">
        <f t="shared" si="32"/>
        <v>1.9371727748691101</v>
      </c>
      <c r="H2023" s="453" t="s">
        <v>1666</v>
      </c>
      <c r="I2023" s="463" t="s">
        <v>1717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4" t="str">
        <f>LEFT(base[[#This Row],[Evento / Mercado]],FIND("/",base[[#This Row],[Evento / Mercado]])-2)</f>
        <v>Hapoel Tel Aviv vs Hapoel Petah Tikva</v>
      </c>
      <c r="T2023" s="1420">
        <f>base[[#This Row],[Data de liquidação]]</f>
        <v>46154.661851851852</v>
      </c>
    </row>
    <row r="2024" spans="2:22" ht="15" customHeight="1">
      <c r="B2024" s="788" t="s">
        <v>2354</v>
      </c>
      <c r="C2024" s="911" t="s">
        <v>3556</v>
      </c>
      <c r="D2024" s="1351">
        <v>46154.670949074076</v>
      </c>
      <c r="E2024" s="881">
        <v>18.149999999999999</v>
      </c>
      <c r="F2024" s="408">
        <v>4.4999999999999998E-2</v>
      </c>
      <c r="G2024" s="465">
        <f t="shared" si="32"/>
        <v>19.005235602094242</v>
      </c>
      <c r="H2024" s="453" t="s">
        <v>2148</v>
      </c>
      <c r="I2024" s="463" t="s">
        <v>1795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4" t="str">
        <f>LEFT(base[[#This Row],[Evento / Mercado]],FIND("/",base[[#This Row],[Evento / Mercado]])-2)</f>
        <v>Southampton vs Middlesbrough</v>
      </c>
      <c r="T2024" s="1420">
        <f>base[[#This Row],[Data de liquidação]]</f>
        <v>46154.670949074076</v>
      </c>
    </row>
    <row r="2025" spans="2:22" ht="15" customHeight="1">
      <c r="B2025" s="788" t="s">
        <v>2353</v>
      </c>
      <c r="C2025" s="911" t="s">
        <v>3556</v>
      </c>
      <c r="D2025" s="1351">
        <v>46154.679120370369</v>
      </c>
      <c r="E2025" s="881">
        <v>-50</v>
      </c>
      <c r="F2025" s="408">
        <v>4.4999999999999998E-2</v>
      </c>
      <c r="G2025" s="465">
        <f t="shared" si="32"/>
        <v>-50</v>
      </c>
      <c r="H2025" s="453" t="s">
        <v>2148</v>
      </c>
      <c r="I2025" s="463" t="s">
        <v>1795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4" t="str">
        <f>LEFT(base[[#This Row],[Evento / Mercado]],FIND("/",base[[#This Row],[Evento / Mercado]])-2)</f>
        <v>Servette FC vs FC Lausanne-Sport</v>
      </c>
      <c r="T2025" s="1420">
        <f>base[[#This Row],[Data de liquidação]]</f>
        <v>46154.679120370369</v>
      </c>
    </row>
    <row r="2026" spans="2:22" ht="15" customHeight="1">
      <c r="B2026" s="788" t="s">
        <v>2352</v>
      </c>
      <c r="C2026" s="911" t="s">
        <v>3556</v>
      </c>
      <c r="D2026" s="1351">
        <v>46154.690081018518</v>
      </c>
      <c r="E2026" s="881">
        <v>-5</v>
      </c>
      <c r="F2026" s="408">
        <v>4.4999999999999998E-2</v>
      </c>
      <c r="G2026" s="465">
        <f t="shared" si="32"/>
        <v>-5</v>
      </c>
      <c r="H2026" s="453" t="s">
        <v>1666</v>
      </c>
      <c r="I2026" s="463" t="s">
        <v>1665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4" t="str">
        <f>LEFT(base[[#This Row],[Evento / Mercado]],FIND("/",base[[#This Row],[Evento / Mercado]])-2)</f>
        <v>Real Betis vs Elche CF</v>
      </c>
      <c r="T2026" s="1420">
        <f>base[[#This Row],[Data de liquidação]]</f>
        <v>46154.690081018518</v>
      </c>
    </row>
    <row r="2027" spans="2:22" ht="15" customHeight="1">
      <c r="B2027" s="788" t="s">
        <v>2351</v>
      </c>
      <c r="C2027" s="911" t="s">
        <v>3556</v>
      </c>
      <c r="D2027" s="1351">
        <v>46154.699479166666</v>
      </c>
      <c r="E2027" s="881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4" t="str">
        <f>LEFT(base[[#This Row],[Evento / Mercado]],FIND("/",base[[#This Row],[Evento / Mercado]])-2)</f>
        <v>Southampton vs Middlesbrough</v>
      </c>
      <c r="T2027" s="1420">
        <f>base[[#This Row],[Data de liquidação]]</f>
        <v>46154.699479166666</v>
      </c>
    </row>
    <row r="2028" spans="2:22" ht="15" customHeight="1">
      <c r="B2028" s="788" t="s">
        <v>2350</v>
      </c>
      <c r="C2028" s="911" t="s">
        <v>3556</v>
      </c>
      <c r="D2028" s="1351">
        <v>46154.710381944446</v>
      </c>
      <c r="E2028" s="881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627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1211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4" t="str">
        <f>LEFT(base[[#This Row],[Evento / Mercado]],FIND("/",base[[#This Row],[Evento / Mercado]])-2)</f>
        <v>Al-Nassr Riyadh vs Al-Hilal Riyadh</v>
      </c>
      <c r="T2028" s="142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88" t="s">
        <v>2350</v>
      </c>
      <c r="C2029" s="911" t="s">
        <v>3556</v>
      </c>
      <c r="D2029" s="1351">
        <v>46154.710381944446</v>
      </c>
      <c r="E2029" s="881">
        <v>1.9863999999999999</v>
      </c>
      <c r="F2029" s="408">
        <v>4.4999999999999998E-2</v>
      </c>
      <c r="G2029" s="465">
        <f t="shared" si="32"/>
        <v>2.08</v>
      </c>
      <c r="H2029" s="453" t="s">
        <v>1666</v>
      </c>
      <c r="I2029" s="451" t="s">
        <v>1715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4" t="str">
        <f>LEFT(base[[#This Row],[Evento / Mercado]],FIND("/",base[[#This Row],[Evento / Mercado]])-2)</f>
        <v>Al-Nassr Riyadh vs Al-Hilal Riyadh</v>
      </c>
      <c r="T2029" s="142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88" t="s">
        <v>2349</v>
      </c>
      <c r="C2030" s="911" t="s">
        <v>3556</v>
      </c>
      <c r="D2030" s="1351">
        <v>46154.710555555554</v>
      </c>
      <c r="E2030" s="881">
        <v>3.18</v>
      </c>
      <c r="F2030" s="408">
        <v>4.4999999999999998E-2</v>
      </c>
      <c r="G2030" s="465">
        <f t="shared" si="32"/>
        <v>3.329842931937173</v>
      </c>
      <c r="H2030" s="453" t="s">
        <v>1666</v>
      </c>
      <c r="I2030" s="463" t="s">
        <v>1759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4" t="str">
        <f>LEFT(base[[#This Row],[Evento / Mercado]],FIND("/",base[[#This Row],[Evento / Mercado]])-2)</f>
        <v>Al-Nassr Riyadh vs Al-Hilal Riyadh</v>
      </c>
      <c r="T2030" s="1420">
        <f>base[[#This Row],[Data de liquidação]]</f>
        <v>46154.710555555554</v>
      </c>
    </row>
    <row r="2031" spans="2:22" ht="15" customHeight="1">
      <c r="B2031" s="788" t="s">
        <v>2348</v>
      </c>
      <c r="C2031" s="911" t="s">
        <v>3556</v>
      </c>
      <c r="D2031" s="1351">
        <v>46154.710648148146</v>
      </c>
      <c r="E2031" s="881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1844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4" t="str">
        <f>LEFT(base[[#This Row],[Evento / Mercado]],FIND("/",base[[#This Row],[Evento / Mercado]])-2)</f>
        <v>Al-Nassr Riyadh vs Al-Hilal Riyadh</v>
      </c>
      <c r="T2031" s="1420">
        <f>base[[#This Row],[Data de liquidação]]</f>
        <v>46154.710648148146</v>
      </c>
    </row>
    <row r="2032" spans="2:22" ht="15" customHeight="1">
      <c r="B2032" s="788" t="s">
        <v>2347</v>
      </c>
      <c r="C2032" s="911" t="s">
        <v>3556</v>
      </c>
      <c r="D2032" s="1351">
        <v>46154.710844907408</v>
      </c>
      <c r="E2032" s="881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392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1202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4" t="str">
        <f>LEFT(base[[#This Row],[Evento / Mercado]],FIND("/",base[[#This Row],[Evento / Mercado]])-2)</f>
        <v>Real Betis vs Elche CF</v>
      </c>
      <c r="T2032" s="1420">
        <f>base[[#This Row],[Data de liquidação]]</f>
        <v>46154.710844907408</v>
      </c>
    </row>
    <row r="2033" spans="2:22" ht="15" customHeight="1">
      <c r="B2033" s="788" t="s">
        <v>2346</v>
      </c>
      <c r="C2033" s="911" t="s">
        <v>3556</v>
      </c>
      <c r="D2033" s="1351">
        <v>46154.723483796297</v>
      </c>
      <c r="E2033" s="881">
        <v>2.8076999999999996</v>
      </c>
      <c r="F2033" s="408">
        <v>4.4999999999999998E-2</v>
      </c>
      <c r="G2033" s="465">
        <f t="shared" si="32"/>
        <v>2.94</v>
      </c>
      <c r="H2033" s="453" t="s">
        <v>1666</v>
      </c>
      <c r="I2033" s="451" t="s">
        <v>1715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4" t="str">
        <f>LEFT(base[[#This Row],[Evento / Mercado]],FIND("/",base[[#This Row],[Evento / Mercado]])-2)</f>
        <v>Servette FC vs FC Lausanne-Sport</v>
      </c>
      <c r="T2033" s="142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88" t="s">
        <v>2346</v>
      </c>
      <c r="C2034" s="911" t="s">
        <v>3556</v>
      </c>
      <c r="D2034" s="1351">
        <v>46154.723483796297</v>
      </c>
      <c r="E2034" s="881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627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2953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4" t="str">
        <f>LEFT(base[[#This Row],[Evento / Mercado]],FIND("/",base[[#This Row],[Evento / Mercado]])-2)</f>
        <v>Servette FC vs FC Lausanne-Sport</v>
      </c>
      <c r="T2034" s="142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88" t="s">
        <v>2345</v>
      </c>
      <c r="C2035" s="911" t="s">
        <v>3556</v>
      </c>
      <c r="D2035" s="1351">
        <v>46154.723738425928</v>
      </c>
      <c r="E2035" s="881">
        <v>14.93</v>
      </c>
      <c r="F2035" s="408">
        <v>4.4999999999999998E-2</v>
      </c>
      <c r="G2035" s="465">
        <f t="shared" si="32"/>
        <v>15.633507853403142</v>
      </c>
      <c r="H2035" s="465" t="s">
        <v>2148</v>
      </c>
      <c r="I2035" s="463" t="s">
        <v>2149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4" t="str">
        <f>LEFT(base[[#This Row],[Evento / Mercado]],FIND("/",base[[#This Row],[Evento / Mercado]])-2)</f>
        <v>Servette FC vs FC Lausanne-Sport</v>
      </c>
      <c r="T2035" s="1420">
        <f>base[[#This Row],[Data de liquidação]]</f>
        <v>46154.723738425928</v>
      </c>
    </row>
    <row r="2036" spans="2:22" ht="15" customHeight="1">
      <c r="B2036" s="788" t="s">
        <v>2344</v>
      </c>
      <c r="C2036" s="911" t="s">
        <v>3556</v>
      </c>
      <c r="D2036" s="1351">
        <v>46154.724062499998</v>
      </c>
      <c r="E2036" s="881">
        <v>8.23</v>
      </c>
      <c r="F2036" s="408">
        <v>4.4999999999999998E-2</v>
      </c>
      <c r="G2036" s="465">
        <f t="shared" si="32"/>
        <v>8.6178010471204196</v>
      </c>
      <c r="H2036" s="465" t="s">
        <v>2148</v>
      </c>
      <c r="I2036" s="463" t="s">
        <v>2149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4" t="str">
        <f>LEFT(base[[#This Row],[Evento / Mercado]],FIND("/",base[[#This Row],[Evento / Mercado]])-2)</f>
        <v>FC Luzern vs FC Zürich</v>
      </c>
      <c r="T2036" s="1420">
        <f>base[[#This Row],[Data de liquidação]]</f>
        <v>46154.724062499998</v>
      </c>
    </row>
    <row r="2037" spans="2:22" ht="15" customHeight="1">
      <c r="B2037" s="788" t="s">
        <v>2343</v>
      </c>
      <c r="C2037" s="911" t="s">
        <v>3556</v>
      </c>
      <c r="D2037" s="1351">
        <v>46154.724259259259</v>
      </c>
      <c r="E2037" s="881">
        <v>2.17</v>
      </c>
      <c r="F2037" s="408">
        <v>4.4999999999999998E-2</v>
      </c>
      <c r="G2037" s="465">
        <f t="shared" si="32"/>
        <v>2.2722513089005236</v>
      </c>
      <c r="H2037" s="453" t="s">
        <v>1666</v>
      </c>
      <c r="I2037" s="451" t="s">
        <v>1715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4" t="str">
        <f>LEFT(base[[#This Row],[Evento / Mercado]],FIND("/",base[[#This Row],[Evento / Mercado]])-2)</f>
        <v>Grasshopper Club Zürich vs FC Winterthur</v>
      </c>
      <c r="T2037" s="1420">
        <f>base[[#This Row],[Data de liquidação]]</f>
        <v>46154.724259259259</v>
      </c>
    </row>
    <row r="2038" spans="2:22" ht="15" customHeight="1">
      <c r="B2038" s="788" t="s">
        <v>2342</v>
      </c>
      <c r="C2038" s="911" t="s">
        <v>3556</v>
      </c>
      <c r="D2038" s="1351">
        <v>46154.747812499998</v>
      </c>
      <c r="E2038" s="881">
        <v>-2</v>
      </c>
      <c r="F2038" s="408">
        <v>4.4999999999999998E-2</v>
      </c>
      <c r="G2038" s="465">
        <f t="shared" si="32"/>
        <v>-2</v>
      </c>
      <c r="H2038" s="453" t="s">
        <v>1666</v>
      </c>
      <c r="I2038" s="458" t="s">
        <v>2301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4" t="str">
        <f>LEFT(base[[#This Row],[Evento / Mercado]],FIND("/",base[[#This Row],[Evento / Mercado]])-2)</f>
        <v>JS Saoura vs CR Belouizdad</v>
      </c>
      <c r="T2038" s="1420">
        <f>base[[#This Row],[Data de liquidação]]</f>
        <v>46154.747812499998</v>
      </c>
    </row>
    <row r="2039" spans="2:22" ht="15" customHeight="1">
      <c r="B2039" s="788" t="s">
        <v>2341</v>
      </c>
      <c r="C2039" s="911" t="s">
        <v>3556</v>
      </c>
      <c r="D2039" s="1351">
        <v>46154.749525462961</v>
      </c>
      <c r="E2039" s="881">
        <v>2.27</v>
      </c>
      <c r="F2039" s="408">
        <v>4.4999999999999998E-2</v>
      </c>
      <c r="G2039" s="465">
        <f t="shared" si="32"/>
        <v>2.3769633507853403</v>
      </c>
      <c r="H2039" s="453" t="s">
        <v>1666</v>
      </c>
      <c r="I2039" s="451" t="s">
        <v>1715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4" t="str">
        <f>LEFT(base[[#This Row],[Evento / Mercado]],FIND("/",base[[#This Row],[Evento / Mercado]])-2)</f>
        <v>San Antonio vs Universitario de Vinto</v>
      </c>
      <c r="T2039" s="1420">
        <f>base[[#This Row],[Data de liquidação]]</f>
        <v>46154.749525462961</v>
      </c>
    </row>
    <row r="2040" spans="2:22" ht="15" customHeight="1">
      <c r="B2040" s="788" t="s">
        <v>2340</v>
      </c>
      <c r="C2040" s="911" t="s">
        <v>3556</v>
      </c>
      <c r="D2040" s="1351">
        <v>46154.755740740744</v>
      </c>
      <c r="E2040" s="881">
        <v>-2</v>
      </c>
      <c r="F2040" s="408">
        <v>4.4999999999999998E-2</v>
      </c>
      <c r="G2040" s="465">
        <f t="shared" si="32"/>
        <v>-2</v>
      </c>
      <c r="H2040" s="453" t="s">
        <v>1666</v>
      </c>
      <c r="I2040" s="463" t="s">
        <v>2363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4" t="str">
        <f>LEFT(base[[#This Row],[Evento / Mercado]],FIND("/",base[[#This Row],[Evento / Mercado]])-2)</f>
        <v>Osasuna vs Atlético de Madrid</v>
      </c>
      <c r="T2040" s="1420">
        <f>base[[#This Row],[Data de liquidação]]</f>
        <v>46154.755740740744</v>
      </c>
    </row>
    <row r="2041" spans="2:22" ht="15" customHeight="1">
      <c r="B2041" s="788" t="s">
        <v>2339</v>
      </c>
      <c r="C2041" s="911" t="s">
        <v>3556</v>
      </c>
      <c r="D2041" s="1351">
        <v>46154.839733796296</v>
      </c>
      <c r="E2041" s="881">
        <v>3.82</v>
      </c>
      <c r="F2041" s="408">
        <v>4.4999999999999998E-2</v>
      </c>
      <c r="G2041" s="465">
        <f t="shared" si="32"/>
        <v>4</v>
      </c>
      <c r="H2041" s="453" t="s">
        <v>1666</v>
      </c>
      <c r="I2041" s="463" t="s">
        <v>1558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4" t="str">
        <f>LEFT(base[[#This Row],[Evento / Mercado]],FIND("/",base[[#This Row],[Evento / Mercado]])-2)</f>
        <v>SC Internacional vs Athletic Club MG</v>
      </c>
      <c r="T2041" s="1420">
        <f>base[[#This Row],[Data de liquidação]]</f>
        <v>46154.839733796296</v>
      </c>
    </row>
    <row r="2042" spans="2:22" ht="15" customHeight="1">
      <c r="B2042" s="788" t="s">
        <v>2338</v>
      </c>
      <c r="C2042" s="911" t="s">
        <v>3556</v>
      </c>
      <c r="D2042" s="1351">
        <v>46154.901967592596</v>
      </c>
      <c r="E2042" s="881">
        <v>3.82</v>
      </c>
      <c r="F2042" s="408">
        <v>4.4999999999999998E-2</v>
      </c>
      <c r="G2042" s="465">
        <f t="shared" si="32"/>
        <v>4</v>
      </c>
      <c r="H2042" s="453" t="s">
        <v>1666</v>
      </c>
      <c r="I2042" s="463" t="s">
        <v>1558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4" t="str">
        <f>LEFT(base[[#This Row],[Evento / Mercado]],FIND("/",base[[#This Row],[Evento / Mercado]])-2)</f>
        <v>Club Aurora vs CDT Real Oruro</v>
      </c>
      <c r="T2042" s="1420">
        <f>base[[#This Row],[Data de liquidação]]</f>
        <v>46154.901967592596</v>
      </c>
    </row>
    <row r="2043" spans="2:22" ht="15" customHeight="1">
      <c r="B2043" s="788" t="s">
        <v>2337</v>
      </c>
      <c r="C2043" s="911" t="s">
        <v>3556</v>
      </c>
      <c r="D2043" s="1351">
        <v>46154.953634259262</v>
      </c>
      <c r="E2043" s="881">
        <v>3.53</v>
      </c>
      <c r="F2043" s="408">
        <v>4.4999999999999998E-2</v>
      </c>
      <c r="G2043" s="465">
        <f t="shared" si="32"/>
        <v>3.6963350785340312</v>
      </c>
      <c r="H2043" s="453" t="s">
        <v>1666</v>
      </c>
      <c r="I2043" s="451" t="s">
        <v>1715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4" t="str">
        <f>LEFT(base[[#This Row],[Evento / Mercado]],FIND("/",base[[#This Row],[Evento / Mercado]])-2)</f>
        <v>Club Aurora vs CDT Real Oruro</v>
      </c>
      <c r="T2043" s="1420">
        <f>base[[#This Row],[Data de liquidação]]</f>
        <v>46154.953634259262</v>
      </c>
    </row>
    <row r="2044" spans="2:22" ht="15" customHeight="1">
      <c r="B2044" s="788" t="s">
        <v>2336</v>
      </c>
      <c r="C2044" s="911" t="s">
        <v>3556</v>
      </c>
      <c r="D2044" s="1351">
        <v>46154.979178240741</v>
      </c>
      <c r="E2044" s="881">
        <v>-2.0499999999999998</v>
      </c>
      <c r="F2044" s="408">
        <v>4.4999999999999998E-2</v>
      </c>
      <c r="G2044" s="465">
        <f t="shared" si="32"/>
        <v>-2.0499999999999998</v>
      </c>
      <c r="H2044" s="453" t="s">
        <v>1666</v>
      </c>
      <c r="I2044" s="463" t="s">
        <v>1558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4" t="str">
        <f>LEFT(base[[#This Row],[Evento / Mercado]],FIND("/",base[[#This Row],[Evento / Mercado]])-2)</f>
        <v>Cruzeiro vs Goiás EC</v>
      </c>
      <c r="T2044" s="1420">
        <f>base[[#This Row],[Data de liquidação]]</f>
        <v>46154.979178240741</v>
      </c>
    </row>
    <row r="2045" spans="2:22" ht="15" customHeight="1">
      <c r="B2045" s="789" t="s">
        <v>2423</v>
      </c>
      <c r="C2045" s="911" t="s">
        <v>3556</v>
      </c>
      <c r="D2045" s="1352">
        <v>46155.374189814815</v>
      </c>
      <c r="E2045" s="882">
        <v>2.39</v>
      </c>
      <c r="F2045" s="408">
        <v>4.4999999999999998E-2</v>
      </c>
      <c r="G2045" s="469">
        <f t="shared" si="32"/>
        <v>2.5026178010471205</v>
      </c>
      <c r="H2045" s="453" t="s">
        <v>1666</v>
      </c>
      <c r="I2045" s="467" t="s">
        <v>1716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4" t="str">
        <f>LEFT(base[[#This Row],[Evento / Mercado]],FIND("/",base[[#This Row],[Evento / Mercado]])-2)</f>
        <v>Vissel Kobe vs Kyoto Sanga</v>
      </c>
      <c r="T2045" s="1420">
        <f>base[[#This Row],[Data de liquidação]]</f>
        <v>46155.374189814815</v>
      </c>
    </row>
    <row r="2046" spans="2:22" ht="15" customHeight="1">
      <c r="B2046" s="789" t="s">
        <v>2422</v>
      </c>
      <c r="C2046" s="911" t="s">
        <v>3556</v>
      </c>
      <c r="D2046" s="1352">
        <v>46155.527037037034</v>
      </c>
      <c r="E2046" s="882">
        <v>14.04</v>
      </c>
      <c r="F2046" s="408">
        <v>4.4999999999999998E-2</v>
      </c>
      <c r="G2046" s="469">
        <f t="shared" si="32"/>
        <v>14.701570680628272</v>
      </c>
      <c r="H2046" s="465" t="s">
        <v>2148</v>
      </c>
      <c r="I2046" s="467" t="s">
        <v>1795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4" t="str">
        <f>LEFT(base[[#This Row],[Evento / Mercado]],FIND("/",base[[#This Row],[Evento / Mercado]])-2)</f>
        <v>Al-Raed Buraidah vs Abha</v>
      </c>
      <c r="T2046" s="1420">
        <f>base[[#This Row],[Data de liquidação]]</f>
        <v>46155.527037037034</v>
      </c>
    </row>
    <row r="2047" spans="2:22" ht="15" customHeight="1">
      <c r="B2047" s="789" t="s">
        <v>2424</v>
      </c>
      <c r="C2047" s="911" t="s">
        <v>3556</v>
      </c>
      <c r="D2047" s="1352">
        <v>46155.54482638889</v>
      </c>
      <c r="E2047" s="882">
        <v>-50</v>
      </c>
      <c r="F2047" s="408">
        <v>4.4999999999999998E-2</v>
      </c>
      <c r="G2047" s="469">
        <f t="shared" si="32"/>
        <v>-50</v>
      </c>
      <c r="H2047" s="469" t="s">
        <v>2148</v>
      </c>
      <c r="I2047" s="463" t="s">
        <v>2149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4" t="e">
        <f>LEFT(base[[#This Row],[Evento / Mercado]],FIND("/",base[[#This Row],[Evento / Mercado]])-2)</f>
        <v>#VALUE!</v>
      </c>
      <c r="T2047" s="1420">
        <f>base[[#This Row],[Data de liquidação]]</f>
        <v>46155.54482638889</v>
      </c>
    </row>
    <row r="2048" spans="2:22" ht="15" customHeight="1">
      <c r="B2048" s="789" t="s">
        <v>2421</v>
      </c>
      <c r="C2048" s="911" t="s">
        <v>3556</v>
      </c>
      <c r="D2048" s="1352">
        <v>46155.575775462959</v>
      </c>
      <c r="E2048" s="882">
        <v>15.4</v>
      </c>
      <c r="F2048" s="408">
        <v>4.4999999999999998E-2</v>
      </c>
      <c r="G2048" s="469">
        <f t="shared" si="32"/>
        <v>16.125654450261781</v>
      </c>
      <c r="H2048" s="465" t="s">
        <v>2148</v>
      </c>
      <c r="I2048" s="467" t="s">
        <v>1795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4" t="str">
        <f>LEFT(base[[#This Row],[Evento / Mercado]],FIND("/",base[[#This Row],[Evento / Mercado]])-2)</f>
        <v>Al-Kuwait vs Svay Rieng F.C.</v>
      </c>
      <c r="T2048" s="1420">
        <f>base[[#This Row],[Data de liquidação]]</f>
        <v>46155.575775462959</v>
      </c>
    </row>
    <row r="2049" spans="2:20" ht="15" customHeight="1">
      <c r="B2049" s="789" t="s">
        <v>2420</v>
      </c>
      <c r="C2049" s="911" t="s">
        <v>3556</v>
      </c>
      <c r="D2049" s="1352">
        <v>46155.589178240742</v>
      </c>
      <c r="E2049" s="882">
        <v>-29.99</v>
      </c>
      <c r="F2049" s="408">
        <v>4.4999999999999998E-2</v>
      </c>
      <c r="G2049" s="469">
        <f t="shared" si="32"/>
        <v>-29.99</v>
      </c>
      <c r="H2049" s="453" t="s">
        <v>1666</v>
      </c>
      <c r="I2049" s="467" t="s">
        <v>1717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4" t="str">
        <f>LEFT(base[[#This Row],[Evento / Mercado]],FIND("/",base[[#This Row],[Evento / Mercado]])-2)</f>
        <v>Al-Tai FC vs Jeddah Club</v>
      </c>
      <c r="T2049" s="1420">
        <f>base[[#This Row],[Data de liquidação]]</f>
        <v>46155.589178240742</v>
      </c>
    </row>
    <row r="2050" spans="2:20" ht="15" customHeight="1">
      <c r="B2050" s="789" t="s">
        <v>2419</v>
      </c>
      <c r="C2050" s="911" t="s">
        <v>3556</v>
      </c>
      <c r="D2050" s="1352">
        <v>46155.594074074077</v>
      </c>
      <c r="E2050" s="882">
        <v>19.100000000000001</v>
      </c>
      <c r="F2050" s="408">
        <v>4.4999999999999998E-2</v>
      </c>
      <c r="G2050" s="469">
        <f t="shared" si="32"/>
        <v>20.000000000000004</v>
      </c>
      <c r="H2050" s="465" t="s">
        <v>2148</v>
      </c>
      <c r="I2050" s="467" t="s">
        <v>1795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4" t="str">
        <f>LEFT(base[[#This Row],[Evento / Mercado]],FIND("/",base[[#This Row],[Evento / Mercado]])-2)</f>
        <v>Villarreal vs Sevilla</v>
      </c>
      <c r="T2050" s="1420">
        <f>base[[#This Row],[Data de liquidação]]</f>
        <v>46155.594074074077</v>
      </c>
    </row>
    <row r="2051" spans="2:20" ht="15" customHeight="1">
      <c r="B2051" s="789" t="s">
        <v>2418</v>
      </c>
      <c r="C2051" s="911" t="s">
        <v>3556</v>
      </c>
      <c r="D2051" s="1352">
        <v>46155.595277777778</v>
      </c>
      <c r="E2051" s="882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2148</v>
      </c>
      <c r="I2051" s="467" t="s">
        <v>1795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4" t="str">
        <f>LEFT(base[[#This Row],[Evento / Mercado]],FIND("/",base[[#This Row],[Evento / Mercado]])-2)</f>
        <v>Helsingborgs IF vs IK Oddevold</v>
      </c>
      <c r="T2051" s="1420">
        <f>base[[#This Row],[Data de liquidação]]</f>
        <v>46155.595277777778</v>
      </c>
    </row>
    <row r="2052" spans="2:20" ht="15" customHeight="1">
      <c r="B2052" s="789" t="s">
        <v>2417</v>
      </c>
      <c r="C2052" s="911" t="s">
        <v>3556</v>
      </c>
      <c r="D2052" s="1352">
        <v>46155.597974537035</v>
      </c>
      <c r="E2052" s="882">
        <v>-5</v>
      </c>
      <c r="F2052" s="408">
        <v>4.4999999999999998E-2</v>
      </c>
      <c r="G2052" s="469">
        <f t="shared" si="33"/>
        <v>-5</v>
      </c>
      <c r="H2052" s="453" t="s">
        <v>1666</v>
      </c>
      <c r="I2052" s="467" t="s">
        <v>1665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4" t="str">
        <f>LEFT(base[[#This Row],[Evento / Mercado]],FIND("/",base[[#This Row],[Evento / Mercado]])-2)</f>
        <v>Stade Brestois 29 vs RC Strasbourg</v>
      </c>
      <c r="T2052" s="1420">
        <f>base[[#This Row],[Data de liquidação]]</f>
        <v>46155.597974537035</v>
      </c>
    </row>
    <row r="2053" spans="2:20" ht="15" customHeight="1">
      <c r="B2053" s="789" t="s">
        <v>2416</v>
      </c>
      <c r="C2053" s="911" t="s">
        <v>3556</v>
      </c>
      <c r="D2053" s="1352">
        <v>46155.609432870369</v>
      </c>
      <c r="E2053" s="882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4" t="str">
        <f>LEFT(base[[#This Row],[Evento / Mercado]],FIND("/",base[[#This Row],[Evento / Mercado]])-2)</f>
        <v>Villarreal vs Sevilla</v>
      </c>
      <c r="T2053" s="1420">
        <f>base[[#This Row],[Data de liquidação]]</f>
        <v>46155.609432870369</v>
      </c>
    </row>
    <row r="2054" spans="2:20" ht="15" customHeight="1">
      <c r="B2054" s="789" t="s">
        <v>2425</v>
      </c>
      <c r="C2054" s="911" t="s">
        <v>3556</v>
      </c>
      <c r="D2054" s="1352">
        <v>46155.610798611109</v>
      </c>
      <c r="E2054" s="882">
        <v>-50</v>
      </c>
      <c r="F2054" s="408">
        <v>4.4999999999999998E-2</v>
      </c>
      <c r="G2054" s="469">
        <f t="shared" si="33"/>
        <v>-50</v>
      </c>
      <c r="H2054" s="465" t="s">
        <v>2148</v>
      </c>
      <c r="I2054" s="467" t="s">
        <v>2151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4" t="e">
        <f>LEFT(base[[#This Row],[Evento / Mercado]],FIND("/",base[[#This Row],[Evento / Mercado]])-2)</f>
        <v>#VALUE!</v>
      </c>
      <c r="T2054" s="1420">
        <f>base[[#This Row],[Data de liquidação]]</f>
        <v>46155.610798611109</v>
      </c>
    </row>
    <row r="2055" spans="2:20" ht="15" customHeight="1">
      <c r="B2055" s="789" t="s">
        <v>2415</v>
      </c>
      <c r="C2055" s="911" t="s">
        <v>3556</v>
      </c>
      <c r="D2055" s="1352">
        <v>46155.622627314813</v>
      </c>
      <c r="E2055" s="882">
        <v>8.5299999999999994</v>
      </c>
      <c r="F2055" s="408">
        <v>4.4999999999999998E-2</v>
      </c>
      <c r="G2055" s="469">
        <f t="shared" si="33"/>
        <v>8.9319371727748695</v>
      </c>
      <c r="H2055" s="465" t="s">
        <v>2148</v>
      </c>
      <c r="I2055" s="467" t="s">
        <v>2149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4" t="str">
        <f>LEFT(base[[#This Row],[Evento / Mercado]],FIND("/",base[[#This Row],[Evento / Mercado]])-2)</f>
        <v>Dinamo Zagreb vs HNK Rijeka</v>
      </c>
      <c r="T2055" s="1420">
        <f>base[[#This Row],[Data de liquidação]]</f>
        <v>46155.622627314813</v>
      </c>
    </row>
    <row r="2056" spans="2:20" ht="15" customHeight="1">
      <c r="B2056" s="789" t="s">
        <v>2414</v>
      </c>
      <c r="C2056" s="911" t="s">
        <v>3556</v>
      </c>
      <c r="D2056" s="1352">
        <v>46155.634027777778</v>
      </c>
      <c r="E2056" s="882">
        <v>-2</v>
      </c>
      <c r="F2056" s="408">
        <v>4.4999999999999998E-2</v>
      </c>
      <c r="G2056" s="469">
        <f t="shared" si="33"/>
        <v>-2</v>
      </c>
      <c r="H2056" s="453" t="s">
        <v>1666</v>
      </c>
      <c r="I2056" s="467" t="s">
        <v>2363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4" t="str">
        <f>LEFT(base[[#This Row],[Evento / Mercado]],FIND("/",base[[#This Row],[Evento / Mercado]])-2)</f>
        <v>Helsingborgs IF vs IK Oddevold</v>
      </c>
      <c r="T2056" s="1420">
        <f>base[[#This Row],[Data de liquidação]]</f>
        <v>46155.634027777778</v>
      </c>
    </row>
    <row r="2057" spans="2:20" ht="15" customHeight="1">
      <c r="B2057" s="789" t="s">
        <v>2413</v>
      </c>
      <c r="C2057" s="911" t="s">
        <v>3556</v>
      </c>
      <c r="D2057" s="1352">
        <v>46155.650509259256</v>
      </c>
      <c r="E2057" s="882">
        <v>16.75</v>
      </c>
      <c r="F2057" s="408">
        <v>4.4999999999999998E-2</v>
      </c>
      <c r="G2057" s="469">
        <f t="shared" si="33"/>
        <v>17.539267015706805</v>
      </c>
      <c r="H2057" s="465" t="s">
        <v>2148</v>
      </c>
      <c r="I2057" s="467" t="s">
        <v>1795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4" t="str">
        <f>LEFT(base[[#This Row],[Evento / Mercado]],FIND("/",base[[#This Row],[Evento / Mercado]])-2)</f>
        <v>Almere City vs Willem II</v>
      </c>
      <c r="T2057" s="1420">
        <f>base[[#This Row],[Data de liquidação]]</f>
        <v>46155.650509259256</v>
      </c>
    </row>
    <row r="2058" spans="2:20" ht="15" customHeight="1">
      <c r="B2058" s="789" t="s">
        <v>2412</v>
      </c>
      <c r="C2058" s="911" t="s">
        <v>3556</v>
      </c>
      <c r="D2058" s="1352">
        <v>46155.663148148145</v>
      </c>
      <c r="E2058" s="882">
        <v>13.26</v>
      </c>
      <c r="F2058" s="408">
        <v>4.4999999999999998E-2</v>
      </c>
      <c r="G2058" s="469">
        <f t="shared" si="33"/>
        <v>13.884816753926701</v>
      </c>
      <c r="H2058" s="465" t="s">
        <v>2148</v>
      </c>
      <c r="I2058" s="467" t="s">
        <v>2149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4" t="str">
        <f>LEFT(base[[#This Row],[Evento / Mercado]],FIND("/",base[[#This Row],[Evento / Mercado]])-2)</f>
        <v>Ironi Tiberias vs Maccabi Bnei Raina</v>
      </c>
      <c r="T2058" s="1420">
        <f>base[[#This Row],[Data de liquidação]]</f>
        <v>46155.663148148145</v>
      </c>
    </row>
    <row r="2059" spans="2:20" ht="15" customHeight="1">
      <c r="B2059" s="789" t="s">
        <v>2411</v>
      </c>
      <c r="C2059" s="911" t="s">
        <v>3556</v>
      </c>
      <c r="D2059" s="1352">
        <v>46155.663310185184</v>
      </c>
      <c r="E2059" s="882">
        <v>20.32</v>
      </c>
      <c r="F2059" s="408">
        <v>4.4999999999999998E-2</v>
      </c>
      <c r="G2059" s="469">
        <f t="shared" si="33"/>
        <v>21.277486910994767</v>
      </c>
      <c r="H2059" s="465" t="s">
        <v>2148</v>
      </c>
      <c r="I2059" s="467" t="s">
        <v>2149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4" t="str">
        <f>LEFT(base[[#This Row],[Evento / Mercado]],FIND("/",base[[#This Row],[Evento / Mercado]])-2)</f>
        <v>Maccabi Netanya vs Hapoel Haifa</v>
      </c>
      <c r="T2059" s="1420">
        <f>base[[#This Row],[Data de liquidação]]</f>
        <v>46155.663310185184</v>
      </c>
    </row>
    <row r="2060" spans="2:20" ht="15" customHeight="1">
      <c r="B2060" s="789" t="s">
        <v>2410</v>
      </c>
      <c r="C2060" s="911" t="s">
        <v>3556</v>
      </c>
      <c r="D2060" s="1352">
        <v>46155.663321759261</v>
      </c>
      <c r="E2060" s="882">
        <v>-50.02</v>
      </c>
      <c r="F2060" s="408">
        <v>4.4999999999999998E-2</v>
      </c>
      <c r="G2060" s="469">
        <f t="shared" si="33"/>
        <v>-50.02</v>
      </c>
      <c r="H2060" s="465" t="s">
        <v>2148</v>
      </c>
      <c r="I2060" s="467" t="s">
        <v>2149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4" t="str">
        <f>LEFT(base[[#This Row],[Evento / Mercado]],FIND("/",base[[#This Row],[Evento / Mercado]])-2)</f>
        <v>Villarreal vs Sevilla</v>
      </c>
      <c r="T2060" s="1420">
        <f>base[[#This Row],[Data de liquidação]]</f>
        <v>46155.663321759261</v>
      </c>
    </row>
    <row r="2061" spans="2:20" ht="15" customHeight="1">
      <c r="B2061" s="789" t="s">
        <v>2409</v>
      </c>
      <c r="C2061" s="911" t="s">
        <v>3556</v>
      </c>
      <c r="D2061" s="1352">
        <v>46155.671319444446</v>
      </c>
      <c r="E2061" s="882">
        <v>55.39</v>
      </c>
      <c r="F2061" s="408">
        <v>4.4999999999999998E-2</v>
      </c>
      <c r="G2061" s="469">
        <f t="shared" si="33"/>
        <v>58</v>
      </c>
      <c r="H2061" s="465" t="s">
        <v>2148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4" t="str">
        <f>LEFT(base[[#This Row],[Evento / Mercado]],FIND("/",base[[#This Row],[Evento / Mercado]])-2)</f>
        <v>Gençlerbirligi SK vs Trabzonspor</v>
      </c>
      <c r="T2061" s="1420">
        <f>base[[#This Row],[Data de liquidação]]</f>
        <v>46155.671319444446</v>
      </c>
    </row>
    <row r="2062" spans="2:20" ht="15" customHeight="1">
      <c r="B2062" s="789" t="s">
        <v>2408</v>
      </c>
      <c r="C2062" s="911" t="s">
        <v>3556</v>
      </c>
      <c r="D2062" s="1352">
        <v>46155.678379629629</v>
      </c>
      <c r="E2062" s="882">
        <v>21.49</v>
      </c>
      <c r="F2062" s="408">
        <v>4.4999999999999998E-2</v>
      </c>
      <c r="G2062" s="469">
        <f t="shared" si="33"/>
        <v>22.502617801047119</v>
      </c>
      <c r="H2062" s="465" t="s">
        <v>2148</v>
      </c>
      <c r="I2062" s="467" t="s">
        <v>1795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4" t="str">
        <f>LEFT(base[[#This Row],[Evento / Mercado]],FIND("/",base[[#This Row],[Evento / Mercado]])-2)</f>
        <v>Lazio vs Internazionale</v>
      </c>
      <c r="T2062" s="1420">
        <f>base[[#This Row],[Data de liquidação]]</f>
        <v>46155.678379629629</v>
      </c>
    </row>
    <row r="2063" spans="2:20" ht="15" customHeight="1">
      <c r="B2063" s="789" t="s">
        <v>2407</v>
      </c>
      <c r="C2063" s="911" t="s">
        <v>3556</v>
      </c>
      <c r="D2063" s="1352">
        <v>46155.679166666669</v>
      </c>
      <c r="E2063" s="882">
        <v>13.84</v>
      </c>
      <c r="F2063" s="408">
        <v>4.4999999999999998E-2</v>
      </c>
      <c r="G2063" s="469">
        <f t="shared" si="33"/>
        <v>14.492146596858639</v>
      </c>
      <c r="H2063" s="465" t="s">
        <v>2148</v>
      </c>
      <c r="I2063" s="467" t="s">
        <v>1795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4" t="str">
        <f>LEFT(base[[#This Row],[Evento / Mercado]],FIND("/",base[[#This Row],[Evento / Mercado]])-2)</f>
        <v>Motherwell vs Celtic</v>
      </c>
      <c r="T2063" s="1420">
        <f>base[[#This Row],[Data de liquidação]]</f>
        <v>46155.679166666669</v>
      </c>
    </row>
    <row r="2064" spans="2:20" ht="15" customHeight="1">
      <c r="B2064" s="789" t="s">
        <v>2406</v>
      </c>
      <c r="C2064" s="911" t="s">
        <v>3556</v>
      </c>
      <c r="D2064" s="1352">
        <v>46155.687314814815</v>
      </c>
      <c r="E2064" s="882">
        <v>12.91</v>
      </c>
      <c r="F2064" s="408">
        <v>4.4999999999999998E-2</v>
      </c>
      <c r="G2064" s="469">
        <f t="shared" si="33"/>
        <v>13.518324607329843</v>
      </c>
      <c r="H2064" s="465" t="s">
        <v>2148</v>
      </c>
      <c r="I2064" s="467" t="s">
        <v>1795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4" t="str">
        <f>LEFT(base[[#This Row],[Evento / Mercado]],FIND("/",base[[#This Row],[Evento / Mercado]])-2)</f>
        <v>RC Lens vs Paris Saint-Germain</v>
      </c>
      <c r="T2064" s="1420">
        <f>base[[#This Row],[Data de liquidação]]</f>
        <v>46155.687314814815</v>
      </c>
    </row>
    <row r="2065" spans="2:20" ht="15" customHeight="1">
      <c r="B2065" s="789" t="s">
        <v>2405</v>
      </c>
      <c r="C2065" s="911" t="s">
        <v>3556</v>
      </c>
      <c r="D2065" s="1352">
        <v>46155.687326388892</v>
      </c>
      <c r="E2065" s="882">
        <v>0.12</v>
      </c>
      <c r="F2065" s="408">
        <v>4.4999999999999998E-2</v>
      </c>
      <c r="G2065" s="469">
        <f t="shared" si="33"/>
        <v>0.1256544502617801</v>
      </c>
      <c r="H2065" s="469" t="s">
        <v>1666</v>
      </c>
      <c r="I2065" s="467" t="s">
        <v>2362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4" t="str">
        <f>LEFT(base[[#This Row],[Evento / Mercado]],FIND("/",base[[#This Row],[Evento / Mercado]])-2)</f>
        <v>RC Lens vs Paris Saint-Germain</v>
      </c>
      <c r="T2065" s="1420">
        <f>base[[#This Row],[Data de liquidação]]</f>
        <v>46155.687326388892</v>
      </c>
    </row>
    <row r="2066" spans="2:20" ht="15" customHeight="1">
      <c r="B2066" s="789" t="s">
        <v>2404</v>
      </c>
      <c r="C2066" s="911" t="s">
        <v>3556</v>
      </c>
      <c r="D2066" s="1352">
        <v>46155.68922453704</v>
      </c>
      <c r="E2066" s="882">
        <v>1.1200000000000001</v>
      </c>
      <c r="F2066" s="408">
        <v>4.4999999999999998E-2</v>
      </c>
      <c r="G2066" s="469">
        <f t="shared" si="33"/>
        <v>1.1727748691099478</v>
      </c>
      <c r="H2066" s="469" t="s">
        <v>1666</v>
      </c>
      <c r="I2066" s="467" t="s">
        <v>1795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4" t="str">
        <f>LEFT(base[[#This Row],[Evento / Mercado]],FIND("/",base[[#This Row],[Evento / Mercado]])-2)</f>
        <v>Manchester City vs Crystal Palace</v>
      </c>
      <c r="T2066" s="1420">
        <f>base[[#This Row],[Data de liquidação]]</f>
        <v>46155.68922453704</v>
      </c>
    </row>
    <row r="2067" spans="2:20" ht="15" customHeight="1">
      <c r="B2067" s="789" t="s">
        <v>2403</v>
      </c>
      <c r="C2067" s="911" t="s">
        <v>3556</v>
      </c>
      <c r="D2067" s="1352">
        <v>46155.694976851853</v>
      </c>
      <c r="E2067" s="882">
        <v>3.82</v>
      </c>
      <c r="F2067" s="408">
        <v>4.4999999999999998E-2</v>
      </c>
      <c r="G2067" s="469">
        <f t="shared" si="33"/>
        <v>4</v>
      </c>
      <c r="H2067" s="469" t="s">
        <v>1666</v>
      </c>
      <c r="I2067" s="467" t="s">
        <v>1558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4" t="str">
        <f>LEFT(base[[#This Row],[Evento / Mercado]],FIND("/",base[[#This Row],[Evento / Mercado]])-2)</f>
        <v>Manchester City vs Crystal Palace</v>
      </c>
      <c r="T2067" s="1420">
        <f>base[[#This Row],[Data de liquidação]]</f>
        <v>46155.694976851853</v>
      </c>
    </row>
    <row r="2068" spans="2:20" ht="15" customHeight="1">
      <c r="B2068" s="789" t="s">
        <v>2402</v>
      </c>
      <c r="C2068" s="911" t="s">
        <v>3556</v>
      </c>
      <c r="D2068" s="1352">
        <v>46155.703842592593</v>
      </c>
      <c r="E2068" s="882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627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1198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4" t="str">
        <f>LEFT(base[[#This Row],[Evento / Mercado]],FIND("/",base[[#This Row],[Evento / Mercado]])-2)</f>
        <v>Almere City vs Willem II</v>
      </c>
      <c r="T2068" s="1420">
        <f>base[[#This Row],[Data de liquidação]]</f>
        <v>46155.703842592593</v>
      </c>
    </row>
    <row r="2069" spans="2:20" ht="15" customHeight="1">
      <c r="B2069" s="789" t="s">
        <v>2401</v>
      </c>
      <c r="C2069" s="911" t="s">
        <v>3556</v>
      </c>
      <c r="D2069" s="1352">
        <v>46155.704918981479</v>
      </c>
      <c r="E2069" s="882">
        <v>7.02</v>
      </c>
      <c r="F2069" s="408">
        <v>4.4999999999999998E-2</v>
      </c>
      <c r="G2069" s="469">
        <f t="shared" si="33"/>
        <v>7.3507853403141361</v>
      </c>
      <c r="H2069" s="465" t="s">
        <v>2148</v>
      </c>
      <c r="I2069" s="467" t="s">
        <v>2149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4" t="str">
        <f>LEFT(base[[#This Row],[Evento / Mercado]],FIND("/",base[[#This Row],[Evento / Mercado]])-2)</f>
        <v>SK Slavia Praha vs FK Jablonec</v>
      </c>
      <c r="T2069" s="1420">
        <f>base[[#This Row],[Data de liquidação]]</f>
        <v>46155.704918981479</v>
      </c>
    </row>
    <row r="2070" spans="2:20" ht="15" customHeight="1">
      <c r="B2070" s="789" t="s">
        <v>2400</v>
      </c>
      <c r="C2070" s="911" t="s">
        <v>3556</v>
      </c>
      <c r="D2070" s="1352">
        <v>46155.718055555553</v>
      </c>
      <c r="E2070" s="882">
        <v>-2</v>
      </c>
      <c r="F2070" s="408">
        <v>4.4999999999999998E-2</v>
      </c>
      <c r="G2070" s="469">
        <f t="shared" si="33"/>
        <v>-2</v>
      </c>
      <c r="H2070" s="453" t="s">
        <v>1666</v>
      </c>
      <c r="I2070" s="467" t="s">
        <v>2363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4" t="str">
        <f>LEFT(base[[#This Row],[Evento / Mercado]],FIND("/",base[[#This Row],[Evento / Mercado]])-2)</f>
        <v>Rakow Czestochowa vs Jagiellonia Bialystok</v>
      </c>
      <c r="T2070" s="1420">
        <f>base[[#This Row],[Data de liquidação]]</f>
        <v>46155.718055555553</v>
      </c>
    </row>
    <row r="2071" spans="2:20" ht="15" customHeight="1">
      <c r="B2071" s="789" t="s">
        <v>2399</v>
      </c>
      <c r="C2071" s="911" t="s">
        <v>3556</v>
      </c>
      <c r="D2071" s="1352">
        <v>46155.740289351852</v>
      </c>
      <c r="E2071" s="882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4" t="str">
        <f>LEFT(base[[#This Row],[Evento / Mercado]],FIND("/",base[[#This Row],[Evento / Mercado]])-2)</f>
        <v>Hearts vs Falkirk</v>
      </c>
      <c r="T2071" s="1420">
        <f>base[[#This Row],[Data de liquidação]]</f>
        <v>46155.740289351852</v>
      </c>
    </row>
    <row r="2072" spans="2:20" ht="15" customHeight="1">
      <c r="B2072" s="789" t="s">
        <v>2398</v>
      </c>
      <c r="C2072" s="911" t="s">
        <v>3556</v>
      </c>
      <c r="D2072" s="1352">
        <v>46155.74527777778</v>
      </c>
      <c r="E2072" s="882">
        <v>-9.9</v>
      </c>
      <c r="F2072" s="408">
        <v>4.4999999999999998E-2</v>
      </c>
      <c r="G2072" s="469">
        <f t="shared" si="33"/>
        <v>-9.9</v>
      </c>
      <c r="H2072" s="453" t="s">
        <v>1666</v>
      </c>
      <c r="I2072" s="467" t="s">
        <v>1777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4" t="str">
        <f>LEFT(base[[#This Row],[Evento / Mercado]],FIND("/",base[[#This Row],[Evento / Mercado]])-2)</f>
        <v>Rangers vs Hibernian</v>
      </c>
      <c r="T2072" s="1420">
        <f>base[[#This Row],[Data de liquidação]]</f>
        <v>46155.74527777778</v>
      </c>
    </row>
    <row r="2073" spans="2:20" ht="15" customHeight="1">
      <c r="B2073" s="789" t="s">
        <v>2397</v>
      </c>
      <c r="C2073" s="911" t="s">
        <v>3556</v>
      </c>
      <c r="D2073" s="1352">
        <v>46155.745636574073</v>
      </c>
      <c r="E2073" s="882">
        <v>25.03</v>
      </c>
      <c r="F2073" s="408">
        <v>4.4999999999999998E-2</v>
      </c>
      <c r="G2073" s="469">
        <f t="shared" si="33"/>
        <v>26.209424083769637</v>
      </c>
      <c r="H2073" s="469" t="s">
        <v>179</v>
      </c>
      <c r="I2073" s="467" t="s">
        <v>392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1201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4" t="str">
        <f>LEFT(base[[#This Row],[Evento / Mercado]],FIND("/",base[[#This Row],[Evento / Mercado]])-2)</f>
        <v>Manchester City vs Crystal Palace</v>
      </c>
      <c r="T2073" s="1420">
        <f>base[[#This Row],[Data de liquidação]]</f>
        <v>46155.745636574073</v>
      </c>
    </row>
    <row r="2074" spans="2:20" ht="15" customHeight="1">
      <c r="B2074" s="789" t="s">
        <v>2396</v>
      </c>
      <c r="C2074" s="911" t="s">
        <v>3556</v>
      </c>
      <c r="D2074" s="1352">
        <v>46155.746655092589</v>
      </c>
      <c r="E2074" s="882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1666</v>
      </c>
      <c r="I2074" s="467" t="s">
        <v>1558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4" t="str">
        <f>LEFT(base[[#This Row],[Evento / Mercado]],FIND("/",base[[#This Row],[Evento / Mercado]])-2)</f>
        <v>RC Lens vs Paris Saint-Germain</v>
      </c>
      <c r="T2074" s="1420">
        <f>base[[#This Row],[Data de liquidação]]</f>
        <v>46155.746655092589</v>
      </c>
    </row>
    <row r="2075" spans="2:20" ht="15" customHeight="1">
      <c r="B2075" s="789" t="s">
        <v>2396</v>
      </c>
      <c r="C2075" s="911" t="s">
        <v>3556</v>
      </c>
      <c r="D2075" s="1352">
        <v>46155.746655092589</v>
      </c>
      <c r="E2075" s="882">
        <v>7.38</v>
      </c>
      <c r="F2075" s="408">
        <v>1.9E-2</v>
      </c>
      <c r="G2075" s="469">
        <f t="shared" si="33"/>
        <v>7.522935779816514</v>
      </c>
      <c r="H2075" s="453" t="s">
        <v>1666</v>
      </c>
      <c r="I2075" s="467" t="s">
        <v>2363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4" t="str">
        <f>LEFT(base[[#This Row],[Evento / Mercado]],FIND("/",base[[#This Row],[Evento / Mercado]])-2)</f>
        <v>RC Lens vs Paris Saint-Germain</v>
      </c>
      <c r="T2075" s="1420">
        <f>base[[#This Row],[Data de liquidação]]</f>
        <v>46155.746655092589</v>
      </c>
    </row>
    <row r="2076" spans="2:20" ht="15" customHeight="1">
      <c r="B2076" s="789" t="s">
        <v>2395</v>
      </c>
      <c r="C2076" s="911" t="s">
        <v>3556</v>
      </c>
      <c r="D2076" s="1352">
        <v>46155.747835648152</v>
      </c>
      <c r="E2076" s="882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1368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1208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4" t="str">
        <f>LEFT(base[[#This Row],[Evento / Mercado]],FIND("/",base[[#This Row],[Evento / Mercado]])-2)</f>
        <v>RC Lens vs Paris Saint-Germain</v>
      </c>
      <c r="T2076" s="1420">
        <f>base[[#This Row],[Data de liquidação]]</f>
        <v>46155.747835648152</v>
      </c>
    </row>
    <row r="2077" spans="2:20" ht="15" customHeight="1">
      <c r="B2077" s="789" t="s">
        <v>2394</v>
      </c>
      <c r="C2077" s="911" t="s">
        <v>3556</v>
      </c>
      <c r="D2077" s="1352">
        <v>46155.764918981484</v>
      </c>
      <c r="E2077" s="882">
        <v>2.72</v>
      </c>
      <c r="F2077" s="408">
        <v>4.4999999999999998E-2</v>
      </c>
      <c r="G2077" s="469">
        <f t="shared" si="33"/>
        <v>2.848167539267016</v>
      </c>
      <c r="H2077" s="453" t="s">
        <v>1666</v>
      </c>
      <c r="I2077" s="467" t="s">
        <v>1663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4" t="str">
        <f>LEFT(base[[#This Row],[Evento / Mercado]],FIND("/",base[[#This Row],[Evento / Mercado]])-2)</f>
        <v>Deportivo Alaves vs FC Barcelona</v>
      </c>
      <c r="T2077" s="1420">
        <f>base[[#This Row],[Data de liquidação]]</f>
        <v>46155.764918981484</v>
      </c>
    </row>
    <row r="2078" spans="2:20" ht="15" customHeight="1">
      <c r="B2078" s="789" t="s">
        <v>2393</v>
      </c>
      <c r="C2078" s="911" t="s">
        <v>3556</v>
      </c>
      <c r="D2078" s="1352">
        <v>46155.764930555553</v>
      </c>
      <c r="E2078" s="882">
        <v>6.34</v>
      </c>
      <c r="F2078" s="408">
        <v>4.4999999999999998E-2</v>
      </c>
      <c r="G2078" s="469">
        <f t="shared" si="33"/>
        <v>6.6387434554973828</v>
      </c>
      <c r="H2078" s="453" t="s">
        <v>1666</v>
      </c>
      <c r="I2078" s="467" t="s">
        <v>1665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4" t="str">
        <f>LEFT(base[[#This Row],[Evento / Mercado]],FIND("/",base[[#This Row],[Evento / Mercado]])-2)</f>
        <v>Deportivo Alaves vs FC Barcelona</v>
      </c>
      <c r="T2078" s="1420">
        <f>base[[#This Row],[Data de liquidação]]</f>
        <v>46155.764930555553</v>
      </c>
    </row>
    <row r="2079" spans="2:20" ht="15" customHeight="1">
      <c r="B2079" s="789" t="s">
        <v>2392</v>
      </c>
      <c r="C2079" s="911" t="s">
        <v>3556</v>
      </c>
      <c r="D2079" s="1352">
        <v>46155.821747685186</v>
      </c>
      <c r="E2079" s="882">
        <v>3.82</v>
      </c>
      <c r="F2079" s="408">
        <v>4.4999999999999998E-2</v>
      </c>
      <c r="G2079" s="469">
        <f t="shared" si="33"/>
        <v>4</v>
      </c>
      <c r="H2079" s="453" t="s">
        <v>1666</v>
      </c>
      <c r="I2079" s="467" t="s">
        <v>1558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4" t="str">
        <f>LEFT(base[[#This Row],[Evento / Mercado]],FIND("/",base[[#This Row],[Evento / Mercado]])-2)</f>
        <v>Vasco da Gama vs Paysandu PA</v>
      </c>
      <c r="T2079" s="1420">
        <f>base[[#This Row],[Data de liquidação]]</f>
        <v>46155.821747685186</v>
      </c>
    </row>
    <row r="2080" spans="2:20" ht="15" customHeight="1">
      <c r="B2080" s="789" t="s">
        <v>2391</v>
      </c>
      <c r="C2080" s="911" t="s">
        <v>3556</v>
      </c>
      <c r="D2080" s="1352">
        <v>46155.83861111111</v>
      </c>
      <c r="E2080" s="882">
        <v>3.82</v>
      </c>
      <c r="F2080" s="408">
        <v>4.4999999999999998E-2</v>
      </c>
      <c r="G2080" s="469">
        <f t="shared" si="33"/>
        <v>4</v>
      </c>
      <c r="H2080" s="453" t="s">
        <v>1666</v>
      </c>
      <c r="I2080" s="467" t="s">
        <v>1558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4" t="str">
        <f>LEFT(base[[#This Row],[Evento / Mercado]],FIND("/",base[[#This Row],[Evento / Mercado]])-2)</f>
        <v>Club Independiente Petrolero vs Blooming Santa Cruz</v>
      </c>
      <c r="T2080" s="1420">
        <f>base[[#This Row],[Data de liquidação]]</f>
        <v>46155.83861111111</v>
      </c>
    </row>
    <row r="2081" spans="2:20" ht="15" customHeight="1">
      <c r="B2081" s="789" t="s">
        <v>2390</v>
      </c>
      <c r="C2081" s="911" t="s">
        <v>3556</v>
      </c>
      <c r="D2081" s="1352">
        <v>46155.868356481478</v>
      </c>
      <c r="E2081" s="882">
        <v>2.81</v>
      </c>
      <c r="F2081" s="408">
        <v>4.4999999999999998E-2</v>
      </c>
      <c r="G2081" s="469">
        <f t="shared" si="33"/>
        <v>2.9424083769633511</v>
      </c>
      <c r="H2081" s="453" t="s">
        <v>1666</v>
      </c>
      <c r="I2081" s="467" t="s">
        <v>1715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4" t="str">
        <f>LEFT(base[[#This Row],[Evento / Mercado]],FIND("/",base[[#This Row],[Evento / Mercado]])-2)</f>
        <v>Club Independiente Petrolero vs Blooming Santa Cruz</v>
      </c>
      <c r="T2081" s="1420">
        <f>base[[#This Row],[Data de liquidação]]</f>
        <v>46155.868356481478</v>
      </c>
    </row>
    <row r="2082" spans="2:20" ht="15" customHeight="1">
      <c r="B2082" s="789" t="s">
        <v>2389</v>
      </c>
      <c r="C2082" s="911" t="s">
        <v>3556</v>
      </c>
      <c r="D2082" s="1352">
        <v>46155.890706018516</v>
      </c>
      <c r="E2082" s="882">
        <v>16.75</v>
      </c>
      <c r="F2082" s="408">
        <v>4.4999999999999998E-2</v>
      </c>
      <c r="G2082" s="469">
        <f t="shared" si="33"/>
        <v>17.539267015706805</v>
      </c>
      <c r="H2082" s="465" t="s">
        <v>2148</v>
      </c>
      <c r="I2082" s="467" t="s">
        <v>1795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4" t="str">
        <f>LEFT(base[[#This Row],[Evento / Mercado]],FIND("/",base[[#This Row],[Evento / Mercado]])-2)</f>
        <v>DC United vs Chicago Fire</v>
      </c>
      <c r="T2082" s="1420">
        <f>base[[#This Row],[Data de liquidação]]</f>
        <v>46155.890706018516</v>
      </c>
    </row>
    <row r="2083" spans="2:20" ht="15" customHeight="1">
      <c r="B2083" s="789" t="s">
        <v>2388</v>
      </c>
      <c r="C2083" s="911" t="s">
        <v>3556</v>
      </c>
      <c r="D2083" s="1352">
        <v>46155.910543981481</v>
      </c>
      <c r="E2083" s="882">
        <v>15.4</v>
      </c>
      <c r="F2083" s="408">
        <v>4.4999999999999998E-2</v>
      </c>
      <c r="G2083" s="469">
        <f t="shared" si="33"/>
        <v>16.125654450261781</v>
      </c>
      <c r="H2083" s="465" t="s">
        <v>2148</v>
      </c>
      <c r="I2083" s="467" t="s">
        <v>1795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4" t="str">
        <f>LEFT(base[[#This Row],[Evento / Mercado]],FIND("/",base[[#This Row],[Evento / Mercado]])-2)</f>
        <v>FC Dallas vs Vancouver Whitecaps</v>
      </c>
      <c r="T2083" s="1420">
        <f>base[[#This Row],[Data de liquidação]]</f>
        <v>46155.910543981481</v>
      </c>
    </row>
    <row r="2084" spans="2:20" ht="15" customHeight="1">
      <c r="B2084" s="789" t="s">
        <v>2387</v>
      </c>
      <c r="C2084" s="911" t="s">
        <v>3556</v>
      </c>
      <c r="D2084" s="1352">
        <v>46155.912951388891</v>
      </c>
      <c r="E2084" s="882">
        <v>20.53</v>
      </c>
      <c r="F2084" s="408">
        <v>4.4999999999999998E-2</v>
      </c>
      <c r="G2084" s="469">
        <f t="shared" si="33"/>
        <v>21.497382198952881</v>
      </c>
      <c r="H2084" s="465" t="s">
        <v>2148</v>
      </c>
      <c r="I2084" s="467" t="s">
        <v>1795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4" t="str">
        <f>LEFT(base[[#This Row],[Evento / Mercado]],FIND("/",base[[#This Row],[Evento / Mercado]])-2)</f>
        <v>Clube do Remo vs Esporte Clube Bahia</v>
      </c>
      <c r="T2084" s="1420">
        <f>base[[#This Row],[Data de liquidação]]</f>
        <v>46155.912951388891</v>
      </c>
    </row>
    <row r="2085" spans="2:20" ht="15" customHeight="1">
      <c r="B2085" s="789" t="s">
        <v>2386</v>
      </c>
      <c r="C2085" s="911" t="s">
        <v>3556</v>
      </c>
      <c r="D2085" s="1352">
        <v>46155.930474537039</v>
      </c>
      <c r="E2085" s="882">
        <v>1.64</v>
      </c>
      <c r="F2085" s="408">
        <v>4.4999999999999998E-2</v>
      </c>
      <c r="G2085" s="469">
        <f t="shared" si="33"/>
        <v>1.7172774869109948</v>
      </c>
      <c r="H2085" s="453" t="s">
        <v>1666</v>
      </c>
      <c r="I2085" s="467" t="s">
        <v>1715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4" t="str">
        <f>LEFT(base[[#This Row],[Evento / Mercado]],FIND("/",base[[#This Row],[Evento / Mercado]])-2)</f>
        <v>Charlotte FC vs New York City FC</v>
      </c>
      <c r="T2085" s="1420">
        <f>base[[#This Row],[Data de liquidação]]</f>
        <v>46155.930474537039</v>
      </c>
    </row>
    <row r="2086" spans="2:20" ht="15" customHeight="1">
      <c r="B2086" s="789" t="s">
        <v>2385</v>
      </c>
      <c r="C2086" s="911" t="s">
        <v>3556</v>
      </c>
      <c r="D2086" s="1352">
        <v>46155.940844907411</v>
      </c>
      <c r="E2086" s="882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4" t="str">
        <f>LEFT(base[[#This Row],[Evento / Mercado]],FIND("/",base[[#This Row],[Evento / Mercado]])-2)</f>
        <v>New England Revolution vs Nashville Soccer Club</v>
      </c>
      <c r="T2086" s="1420">
        <f>base[[#This Row],[Data de liquidação]]</f>
        <v>46155.940844907411</v>
      </c>
    </row>
    <row r="2087" spans="2:20" ht="15" customHeight="1">
      <c r="B2087" s="789" t="s">
        <v>2384</v>
      </c>
      <c r="C2087" s="911" t="s">
        <v>3556</v>
      </c>
      <c r="D2087" s="1352">
        <v>46155.942071759258</v>
      </c>
      <c r="E2087" s="882">
        <v>-1.57</v>
      </c>
      <c r="F2087" s="408">
        <v>4.4999999999999998E-2</v>
      </c>
      <c r="G2087" s="469">
        <f t="shared" si="33"/>
        <v>-1.57</v>
      </c>
      <c r="H2087" s="453" t="s">
        <v>1666</v>
      </c>
      <c r="I2087" s="467" t="s">
        <v>1558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4" t="str">
        <f>LEFT(base[[#This Row],[Evento / Mercado]],FIND("/",base[[#This Row],[Evento / Mercado]])-2)</f>
        <v>DC United vs Chicago Fire</v>
      </c>
      <c r="T2087" s="1420">
        <f>base[[#This Row],[Data de liquidação]]</f>
        <v>46155.942071759258</v>
      </c>
    </row>
    <row r="2088" spans="2:20" ht="15" customHeight="1">
      <c r="B2088" s="789" t="s">
        <v>2383</v>
      </c>
      <c r="C2088" s="911" t="s">
        <v>3556</v>
      </c>
      <c r="D2088" s="1352">
        <v>46155.947847222225</v>
      </c>
      <c r="E2088" s="882">
        <v>1.64</v>
      </c>
      <c r="F2088" s="408">
        <v>4.4999999999999998E-2</v>
      </c>
      <c r="G2088" s="469">
        <f t="shared" si="33"/>
        <v>1.7172774869109948</v>
      </c>
      <c r="H2088" s="453" t="s">
        <v>1666</v>
      </c>
      <c r="I2088" s="467" t="s">
        <v>1715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4" t="str">
        <f>LEFT(base[[#This Row],[Evento / Mercado]],FIND("/",base[[#This Row],[Evento / Mercado]])-2)</f>
        <v>FC Cincinnati vs Inter Miami CF</v>
      </c>
      <c r="T2088" s="1420">
        <f>base[[#This Row],[Data de liquidação]]</f>
        <v>46155.947847222225</v>
      </c>
    </row>
    <row r="2089" spans="2:20" ht="15" customHeight="1">
      <c r="B2089" s="789" t="s">
        <v>2382</v>
      </c>
      <c r="C2089" s="911" t="s">
        <v>3556</v>
      </c>
      <c r="D2089" s="1352">
        <v>46155.950497685182</v>
      </c>
      <c r="E2089" s="882">
        <v>12.91</v>
      </c>
      <c r="F2089" s="408">
        <v>4.4999999999999998E-2</v>
      </c>
      <c r="G2089" s="469">
        <f t="shared" si="33"/>
        <v>13.518324607329843</v>
      </c>
      <c r="H2089" s="465" t="s">
        <v>2148</v>
      </c>
      <c r="I2089" s="467" t="s">
        <v>1795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4" t="str">
        <f>LEFT(base[[#This Row],[Evento / Mercado]],FIND("/",base[[#This Row],[Evento / Mercado]])-2)</f>
        <v>San Diego FC vs Austin FC</v>
      </c>
      <c r="T2089" s="1420">
        <f>base[[#This Row],[Data de liquidação]]</f>
        <v>46155.950497685182</v>
      </c>
    </row>
    <row r="2090" spans="2:20" ht="15" customHeight="1">
      <c r="B2090" s="789" t="s">
        <v>2381</v>
      </c>
      <c r="C2090" s="911" t="s">
        <v>3556</v>
      </c>
      <c r="D2090" s="1352">
        <v>46155.956724537034</v>
      </c>
      <c r="E2090" s="882">
        <v>2.73</v>
      </c>
      <c r="F2090" s="408">
        <v>4.4999999999999998E-2</v>
      </c>
      <c r="G2090" s="469">
        <f t="shared" si="33"/>
        <v>2.8586387434554976</v>
      </c>
      <c r="H2090" s="453" t="s">
        <v>1666</v>
      </c>
      <c r="I2090" s="467" t="s">
        <v>1717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4" t="str">
        <f>LEFT(base[[#This Row],[Evento / Mercado]],FIND("/",base[[#This Row],[Evento / Mercado]])-2)</f>
        <v>Club Bolívar vs Nacional Potosi</v>
      </c>
      <c r="T2090" s="1420">
        <f>base[[#This Row],[Data de liquidação]]</f>
        <v>46155.956724537034</v>
      </c>
    </row>
    <row r="2091" spans="2:20" ht="15" customHeight="1">
      <c r="B2091" s="789" t="s">
        <v>2380</v>
      </c>
      <c r="C2091" s="911" t="s">
        <v>3556</v>
      </c>
      <c r="D2091" s="1352">
        <v>46155.97451388889</v>
      </c>
      <c r="E2091" s="882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4" t="str">
        <f>LEFT(base[[#This Row],[Evento / Mercado]],FIND("/",base[[#This Row],[Evento / Mercado]])-2)</f>
        <v>Seattle Sounders vs San Jose Earthquakes</v>
      </c>
      <c r="T2091" s="1420">
        <f>base[[#This Row],[Data de liquidação]]</f>
        <v>46155.97451388889</v>
      </c>
    </row>
    <row r="2092" spans="2:20" ht="15" customHeight="1">
      <c r="B2092" s="789" t="s">
        <v>2379</v>
      </c>
      <c r="C2092" s="911" t="s">
        <v>3556</v>
      </c>
      <c r="D2092" s="1352">
        <v>46155.97452546296</v>
      </c>
      <c r="E2092" s="882">
        <v>3.82</v>
      </c>
      <c r="F2092" s="408">
        <v>4.4999999999999998E-2</v>
      </c>
      <c r="G2092" s="469">
        <f t="shared" si="33"/>
        <v>4</v>
      </c>
      <c r="H2092" s="453" t="s">
        <v>1666</v>
      </c>
      <c r="I2092" s="467" t="s">
        <v>1558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4" t="str">
        <f>LEFT(base[[#This Row],[Evento / Mercado]],FIND("/",base[[#This Row],[Evento / Mercado]])-2)</f>
        <v>Seattle Sounders vs San Jose Earthquakes</v>
      </c>
      <c r="T2092" s="1420">
        <f>base[[#This Row],[Data de liquidação]]</f>
        <v>46155.97452546296</v>
      </c>
    </row>
    <row r="2093" spans="2:20" ht="15" customHeight="1">
      <c r="B2093" s="789" t="s">
        <v>2378</v>
      </c>
      <c r="C2093" s="911" t="s">
        <v>3556</v>
      </c>
      <c r="D2093" s="1352">
        <v>46155.979664351849</v>
      </c>
      <c r="E2093" s="882">
        <v>-50</v>
      </c>
      <c r="F2093" s="408">
        <v>4.4999999999999998E-2</v>
      </c>
      <c r="G2093" s="469">
        <f t="shared" si="33"/>
        <v>-50</v>
      </c>
      <c r="H2093" s="465" t="s">
        <v>2148</v>
      </c>
      <c r="I2093" s="467" t="s">
        <v>1795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4" t="str">
        <f>LEFT(base[[#This Row],[Evento / Mercado]],FIND("/",base[[#This Row],[Evento / Mercado]])-2)</f>
        <v>Real Salt Lake vs Houston Dynamo</v>
      </c>
      <c r="T2093" s="1420">
        <f>base[[#This Row],[Data de liquidação]]</f>
        <v>46155.979664351849</v>
      </c>
    </row>
    <row r="2094" spans="2:20" ht="15" customHeight="1">
      <c r="B2094" s="789" t="s">
        <v>2377</v>
      </c>
      <c r="C2094" s="911" t="s">
        <v>3556</v>
      </c>
      <c r="D2094" s="1352">
        <v>46155.982152777775</v>
      </c>
      <c r="E2094" s="882">
        <v>3.53</v>
      </c>
      <c r="F2094" s="408">
        <v>4.4999999999999998E-2</v>
      </c>
      <c r="G2094" s="469">
        <f t="shared" si="33"/>
        <v>3.6963350785340312</v>
      </c>
      <c r="H2094" s="453" t="s">
        <v>1666</v>
      </c>
      <c r="I2094" s="467" t="s">
        <v>1715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4" t="str">
        <f>LEFT(base[[#This Row],[Evento / Mercado]],FIND("/",base[[#This Row],[Evento / Mercado]])-2)</f>
        <v>Minnesota United vs Colorado Rapids</v>
      </c>
      <c r="T2094" s="1420">
        <f>base[[#This Row],[Data de liquidação]]</f>
        <v>46155.982152777775</v>
      </c>
    </row>
    <row r="2095" spans="2:20" ht="15" customHeight="1">
      <c r="B2095" s="789" t="s">
        <v>2376</v>
      </c>
      <c r="C2095" s="911" t="s">
        <v>3556</v>
      </c>
      <c r="D2095" s="1352">
        <v>46155.982349537036</v>
      </c>
      <c r="E2095" s="882">
        <v>-2.72</v>
      </c>
      <c r="F2095" s="408">
        <v>4.4999999999999998E-2</v>
      </c>
      <c r="G2095" s="469">
        <f t="shared" si="33"/>
        <v>-2.72</v>
      </c>
      <c r="H2095" s="453" t="s">
        <v>1666</v>
      </c>
      <c r="I2095" s="467" t="s">
        <v>1558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4" t="str">
        <f>LEFT(base[[#This Row],[Evento / Mercado]],FIND("/",base[[#This Row],[Evento / Mercado]])-2)</f>
        <v>Minnesota United vs Colorado Rapids</v>
      </c>
      <c r="T2095" s="1420">
        <f>base[[#This Row],[Data de liquidação]]</f>
        <v>46155.982349537036</v>
      </c>
    </row>
    <row r="2096" spans="2:20" ht="15" customHeight="1">
      <c r="B2096" s="789" t="s">
        <v>2375</v>
      </c>
      <c r="C2096" s="911" t="s">
        <v>3556</v>
      </c>
      <c r="D2096" s="1352">
        <v>46155.982557870368</v>
      </c>
      <c r="E2096" s="882">
        <v>4.3</v>
      </c>
      <c r="F2096" s="408">
        <v>4.4999999999999998E-2</v>
      </c>
      <c r="G2096" s="469">
        <f t="shared" si="33"/>
        <v>4.5026178010471201</v>
      </c>
      <c r="H2096" s="453" t="s">
        <v>1666</v>
      </c>
      <c r="I2096" s="467" t="s">
        <v>2331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4" t="str">
        <f>LEFT(base[[#This Row],[Evento / Mercado]],FIND("/",base[[#This Row],[Evento / Mercado]])-2)</f>
        <v>Saint Louis City SC vs Los Angeles FC</v>
      </c>
      <c r="T2096" s="1420">
        <f>base[[#This Row],[Data de liquidação]]</f>
        <v>46155.982557870368</v>
      </c>
    </row>
    <row r="2097" spans="2:20" ht="15" customHeight="1">
      <c r="B2097" s="789" t="s">
        <v>2374</v>
      </c>
      <c r="C2097" s="911" t="s">
        <v>3556</v>
      </c>
      <c r="D2097" s="1352">
        <v>46156.023888888885</v>
      </c>
      <c r="E2097" s="882">
        <v>2.65</v>
      </c>
      <c r="F2097" s="408">
        <v>4.4999999999999998E-2</v>
      </c>
      <c r="G2097" s="469">
        <f t="shared" si="33"/>
        <v>2.7748691099476441</v>
      </c>
      <c r="H2097" s="453" t="s">
        <v>1666</v>
      </c>
      <c r="I2097" s="467" t="s">
        <v>1715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4" t="str">
        <f>LEFT(base[[#This Row],[Evento / Mercado]],FIND("/",base[[#This Row],[Evento / Mercado]])-2)</f>
        <v>Real Salt Lake vs Houston Dynamo</v>
      </c>
      <c r="T2097" s="1420">
        <f>base[[#This Row],[Data de liquidação]]</f>
        <v>46156.023888888885</v>
      </c>
    </row>
    <row r="2098" spans="2:20" ht="15" customHeight="1">
      <c r="B2098" s="789" t="s">
        <v>2373</v>
      </c>
      <c r="C2098" s="911" t="s">
        <v>3556</v>
      </c>
      <c r="D2098" s="1352">
        <v>46156.024548611109</v>
      </c>
      <c r="E2098" s="882">
        <v>1.65</v>
      </c>
      <c r="F2098" s="408">
        <v>4.4999999999999998E-2</v>
      </c>
      <c r="G2098" s="469">
        <f t="shared" si="33"/>
        <v>1.7277486910994764</v>
      </c>
      <c r="H2098" s="453" t="s">
        <v>1666</v>
      </c>
      <c r="I2098" s="467" t="s">
        <v>1663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4" t="str">
        <f>LEFT(base[[#This Row],[Evento / Mercado]],FIND("/",base[[#This Row],[Evento / Mercado]])-2)</f>
        <v>Real Salt Lake vs Houston Dynamo</v>
      </c>
      <c r="T2098" s="1420">
        <f>base[[#This Row],[Data de liquidação]]</f>
        <v>46156.024548611109</v>
      </c>
    </row>
    <row r="2099" spans="2:20" ht="15" customHeight="1">
      <c r="B2099" s="789" t="s">
        <v>2372</v>
      </c>
      <c r="C2099" s="911" t="s">
        <v>3556</v>
      </c>
      <c r="D2099" s="1352">
        <v>46156.024571759262</v>
      </c>
      <c r="E2099" s="882">
        <v>-50</v>
      </c>
      <c r="F2099" s="408">
        <v>4.4999999999999998E-2</v>
      </c>
      <c r="G2099" s="469">
        <f t="shared" si="33"/>
        <v>-50</v>
      </c>
      <c r="H2099" s="465" t="s">
        <v>2148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4" t="str">
        <f>LEFT(base[[#This Row],[Evento / Mercado]],FIND("/",base[[#This Row],[Evento / Mercado]])-2)</f>
        <v>Real Salt Lake vs Houston Dynamo</v>
      </c>
      <c r="T2099" s="1420">
        <f>base[[#This Row],[Data de liquidação]]</f>
        <v>46156.024571759262</v>
      </c>
    </row>
    <row r="2100" spans="2:20" ht="15" customHeight="1">
      <c r="B2100" s="789" t="s">
        <v>2371</v>
      </c>
      <c r="C2100" s="911" t="s">
        <v>3556</v>
      </c>
      <c r="D2100" s="1352">
        <v>46156.024687500001</v>
      </c>
      <c r="E2100" s="882">
        <v>-50</v>
      </c>
      <c r="F2100" s="408">
        <v>4.4999999999999998E-2</v>
      </c>
      <c r="G2100" s="469">
        <f t="shared" si="33"/>
        <v>-50</v>
      </c>
      <c r="H2100" s="465" t="s">
        <v>2148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4" t="str">
        <f>LEFT(base[[#This Row],[Evento / Mercado]],FIND("/",base[[#This Row],[Evento / Mercado]])-2)</f>
        <v>San Diego FC vs Austin FC</v>
      </c>
      <c r="T2100" s="1420">
        <f>base[[#This Row],[Data de liquidação]]</f>
        <v>46156.024687500001</v>
      </c>
    </row>
    <row r="2101" spans="2:20" ht="15" customHeight="1">
      <c r="B2101" s="790" t="s">
        <v>2455</v>
      </c>
      <c r="C2101" s="911" t="s">
        <v>3556</v>
      </c>
      <c r="D2101" s="1353">
        <v>46156.382604166669</v>
      </c>
      <c r="E2101" s="883">
        <v>18.2</v>
      </c>
      <c r="F2101" s="475">
        <v>0</v>
      </c>
      <c r="G2101" s="474">
        <f t="shared" si="33"/>
        <v>18.2</v>
      </c>
      <c r="H2101" s="465" t="s">
        <v>2148</v>
      </c>
      <c r="I2101" s="472" t="s">
        <v>1795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4" t="e">
        <f>LEFT(base[[#This Row],[Evento / Mercado]],FIND("/",base[[#This Row],[Evento / Mercado]])-2)</f>
        <v>#VALUE!</v>
      </c>
      <c r="T2101" s="1420">
        <f>base[[#This Row],[Data de liquidação]]</f>
        <v>46156.382604166669</v>
      </c>
    </row>
    <row r="2102" spans="2:20" ht="15" customHeight="1">
      <c r="B2102" s="790" t="s">
        <v>2455</v>
      </c>
      <c r="C2102" s="911" t="s">
        <v>3556</v>
      </c>
      <c r="D2102" s="1353">
        <v>46156.383993055555</v>
      </c>
      <c r="E2102" s="883">
        <v>-50</v>
      </c>
      <c r="F2102" s="408">
        <v>4.4999999999999998E-2</v>
      </c>
      <c r="G2102" s="474">
        <f t="shared" si="33"/>
        <v>-50</v>
      </c>
      <c r="H2102" s="465" t="s">
        <v>2148</v>
      </c>
      <c r="I2102" s="472" t="s">
        <v>2151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4" t="e">
        <f>LEFT(base[[#This Row],[Evento / Mercado]],FIND("/",base[[#This Row],[Evento / Mercado]])-2)</f>
        <v>#VALUE!</v>
      </c>
      <c r="T2102" s="1420">
        <f>base[[#This Row],[Data de liquidação]]</f>
        <v>46156.383993055555</v>
      </c>
    </row>
    <row r="2103" spans="2:20" ht="15" customHeight="1">
      <c r="B2103" s="790" t="s">
        <v>2450</v>
      </c>
      <c r="C2103" s="911" t="s">
        <v>3556</v>
      </c>
      <c r="D2103" s="1353">
        <v>46156.554629629631</v>
      </c>
      <c r="E2103" s="883">
        <v>1.8</v>
      </c>
      <c r="F2103" s="408">
        <v>4.4999999999999998E-2</v>
      </c>
      <c r="G2103" s="474">
        <f t="shared" si="33"/>
        <v>1.8848167539267018</v>
      </c>
      <c r="H2103" s="453" t="s">
        <v>1666</v>
      </c>
      <c r="I2103" s="472" t="s">
        <v>1663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4" t="str">
        <f>LEFT(base[[#This Row],[Evento / Mercado]],FIND("/",base[[#This Row],[Evento / Mercado]])-2)</f>
        <v>FC Basel vs FC St. Gallen</v>
      </c>
      <c r="T2103" s="1420">
        <f>base[[#This Row],[Data de liquidação]]</f>
        <v>46156.554629629631</v>
      </c>
    </row>
    <row r="2104" spans="2:20" ht="15" customHeight="1">
      <c r="B2104" s="790" t="s">
        <v>2449</v>
      </c>
      <c r="C2104" s="911" t="s">
        <v>3556</v>
      </c>
      <c r="D2104" s="1353">
        <v>46156.555868055555</v>
      </c>
      <c r="E2104" s="883">
        <v>1.64</v>
      </c>
      <c r="F2104" s="408">
        <v>4.4999999999999998E-2</v>
      </c>
      <c r="G2104" s="474">
        <f t="shared" si="33"/>
        <v>1.7172774869109948</v>
      </c>
      <c r="H2104" s="453" t="s">
        <v>1666</v>
      </c>
      <c r="I2104" s="467" t="s">
        <v>1715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4" t="str">
        <f>LEFT(base[[#This Row],[Evento / Mercado]],FIND("/",base[[#This Row],[Evento / Mercado]])-2)</f>
        <v>FC Sion vs FC Lugano</v>
      </c>
      <c r="T2104" s="1420">
        <f>base[[#This Row],[Data de liquidação]]</f>
        <v>46156.555868055555</v>
      </c>
    </row>
    <row r="2105" spans="2:20" ht="15" customHeight="1">
      <c r="B2105" s="790" t="s">
        <v>2448</v>
      </c>
      <c r="C2105" s="911" t="s">
        <v>3556</v>
      </c>
      <c r="D2105" s="1353">
        <v>46156.556006944447</v>
      </c>
      <c r="E2105" s="883">
        <v>17.36</v>
      </c>
      <c r="F2105" s="408">
        <v>4.4999999999999998E-2</v>
      </c>
      <c r="G2105" s="474">
        <f t="shared" si="33"/>
        <v>18.178010471204189</v>
      </c>
      <c r="H2105" s="465" t="s">
        <v>2148</v>
      </c>
      <c r="I2105" s="472" t="s">
        <v>2149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4" t="str">
        <f>LEFT(base[[#This Row],[Evento / Mercado]],FIND("/",base[[#This Row],[Evento / Mercado]])-2)</f>
        <v>FC Sion vs FC Lugano</v>
      </c>
      <c r="T2105" s="1420">
        <f>base[[#This Row],[Data de liquidação]]</f>
        <v>46156.556006944447</v>
      </c>
    </row>
    <row r="2106" spans="2:20" ht="15" customHeight="1">
      <c r="B2106" s="790" t="s">
        <v>29</v>
      </c>
      <c r="C2106" s="911" t="s">
        <v>3556</v>
      </c>
      <c r="D2106" s="1353">
        <v>46156.55809027778</v>
      </c>
      <c r="E2106" s="883">
        <v>3.29</v>
      </c>
      <c r="F2106" s="408">
        <v>4.4999999999999998E-2</v>
      </c>
      <c r="G2106" s="474">
        <f t="shared" si="33"/>
        <v>3.4450261780104712</v>
      </c>
      <c r="H2106" s="453" t="s">
        <v>1666</v>
      </c>
      <c r="I2106" s="467" t="s">
        <v>1715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4" t="str">
        <f>LEFT(base[[#This Row],[Evento / Mercado]],FIND("/",base[[#This Row],[Evento / Mercado]])-2)</f>
        <v>FC Basel vs FC St. Gallen</v>
      </c>
      <c r="T2106" s="1420">
        <f>base[[#This Row],[Data de liquidação]]</f>
        <v>46156.55809027778</v>
      </c>
    </row>
    <row r="2107" spans="2:20" ht="15" customHeight="1">
      <c r="B2107" s="790" t="s">
        <v>2447</v>
      </c>
      <c r="C2107" s="911" t="s">
        <v>3556</v>
      </c>
      <c r="D2107" s="1353">
        <v>46156.577453703707</v>
      </c>
      <c r="E2107" s="883">
        <v>51.85</v>
      </c>
      <c r="F2107" s="408">
        <v>4.4999999999999998E-2</v>
      </c>
      <c r="G2107" s="474">
        <f t="shared" si="33"/>
        <v>54.293193717277489</v>
      </c>
      <c r="H2107" s="469" t="s">
        <v>179</v>
      </c>
      <c r="I2107" s="467" t="s">
        <v>392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2954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4" t="str">
        <f>LEFT(base[[#This Row],[Evento / Mercado]],FIND("/",base[[#This Row],[Evento / Mercado]])-2)</f>
        <v>SKN St. Pölten vs FC Hertha Wels</v>
      </c>
      <c r="T2107" s="1420">
        <f>base[[#This Row],[Data de liquidação]]</f>
        <v>46156.577453703707</v>
      </c>
    </row>
    <row r="2108" spans="2:20" ht="15" customHeight="1">
      <c r="B2108" s="790" t="s">
        <v>2446</v>
      </c>
      <c r="C2108" s="911" t="s">
        <v>3556</v>
      </c>
      <c r="D2108" s="1353">
        <v>46156.584710648145</v>
      </c>
      <c r="E2108" s="883">
        <v>-50</v>
      </c>
      <c r="F2108" s="408">
        <v>4.4999999999999998E-2</v>
      </c>
      <c r="G2108" s="474">
        <f t="shared" si="33"/>
        <v>-50</v>
      </c>
      <c r="H2108" s="465" t="s">
        <v>2148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4" t="str">
        <f>LEFT(base[[#This Row],[Evento / Mercado]],FIND("/",base[[#This Row],[Evento / Mercado]])-2)</f>
        <v>FC København vs FC Midtjylland</v>
      </c>
      <c r="T2108" s="1420">
        <f>base[[#This Row],[Data de liquidação]]</f>
        <v>46156.584710648145</v>
      </c>
    </row>
    <row r="2109" spans="2:20" ht="15" customHeight="1">
      <c r="B2109" s="790" t="s">
        <v>2445</v>
      </c>
      <c r="C2109" s="911" t="s">
        <v>3556</v>
      </c>
      <c r="D2109" s="1353">
        <v>46156.616886574076</v>
      </c>
      <c r="E2109" s="883">
        <v>6.49</v>
      </c>
      <c r="F2109" s="408">
        <v>4.4999999999999998E-2</v>
      </c>
      <c r="G2109" s="474">
        <f t="shared" si="33"/>
        <v>6.7958115183246077</v>
      </c>
      <c r="H2109" s="453" t="s">
        <v>1666</v>
      </c>
      <c r="I2109" s="472" t="s">
        <v>1665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4" t="str">
        <f>LEFT(base[[#This Row],[Evento / Mercado]],FIND("/",base[[#This Row],[Evento / Mercado]])-2)</f>
        <v>Al-Fateh Al-Hasa vs Al Najma Club</v>
      </c>
      <c r="T2109" s="1420">
        <f>base[[#This Row],[Data de liquidação]]</f>
        <v>46156.616886574076</v>
      </c>
    </row>
    <row r="2110" spans="2:20" ht="15" customHeight="1">
      <c r="B2110" s="790" t="s">
        <v>2444</v>
      </c>
      <c r="C2110" s="911" t="s">
        <v>3556</v>
      </c>
      <c r="D2110" s="1353">
        <v>46156.616909722223</v>
      </c>
      <c r="E2110" s="883">
        <v>1.43</v>
      </c>
      <c r="F2110" s="408">
        <v>4.4999999999999998E-2</v>
      </c>
      <c r="G2110" s="474">
        <f t="shared" si="33"/>
        <v>1.4973821989528795</v>
      </c>
      <c r="H2110" s="453" t="s">
        <v>1666</v>
      </c>
      <c r="I2110" s="472" t="s">
        <v>2331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4" t="str">
        <f>LEFT(base[[#This Row],[Evento / Mercado]],FIND("/",base[[#This Row],[Evento / Mercado]])-2)</f>
        <v>Al-Fateh Al-Hasa vs Al Najma Club</v>
      </c>
      <c r="T2110" s="1420">
        <f>base[[#This Row],[Data de liquidação]]</f>
        <v>46156.616909722223</v>
      </c>
    </row>
    <row r="2111" spans="2:20" ht="15" customHeight="1">
      <c r="B2111" s="790" t="s">
        <v>2442</v>
      </c>
      <c r="C2111" s="911" t="s">
        <v>3556</v>
      </c>
      <c r="D2111" s="1353">
        <v>46156.646006944444</v>
      </c>
      <c r="E2111" s="883">
        <v>17.190000000000001</v>
      </c>
      <c r="F2111" s="408">
        <v>4.4999999999999998E-2</v>
      </c>
      <c r="G2111" s="474">
        <f t="shared" si="33"/>
        <v>18.000000000000004</v>
      </c>
      <c r="H2111" s="465" t="s">
        <v>2148</v>
      </c>
      <c r="I2111" s="472" t="s">
        <v>1795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4" t="str">
        <f>LEFT(base[[#This Row],[Evento / Mercado]],FIND("/",base[[#This Row],[Evento / Mercado]])-2)</f>
        <v>Girona vs Real Sociedad</v>
      </c>
      <c r="T2111" s="1420">
        <f>base[[#This Row],[Data de liquidação]]</f>
        <v>46156.646006944444</v>
      </c>
    </row>
    <row r="2112" spans="2:20" ht="15" customHeight="1">
      <c r="B2112" s="790" t="s">
        <v>2443</v>
      </c>
      <c r="C2112" s="911" t="s">
        <v>3556</v>
      </c>
      <c r="D2112" s="1353">
        <v>46156.646006944444</v>
      </c>
      <c r="E2112" s="883">
        <v>0.15</v>
      </c>
      <c r="F2112" s="408">
        <v>4.4999999999999998E-2</v>
      </c>
      <c r="G2112" s="474">
        <f t="shared" si="33"/>
        <v>0.15706806282722513</v>
      </c>
      <c r="H2112" s="453" t="s">
        <v>1666</v>
      </c>
      <c r="I2112" s="472" t="s">
        <v>2362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4" t="str">
        <f>LEFT(base[[#This Row],[Evento / Mercado]],FIND("/",base[[#This Row],[Evento / Mercado]])-2)</f>
        <v>Girona vs Real Sociedad</v>
      </c>
      <c r="T2112" s="1420">
        <f>base[[#This Row],[Data de liquidação]]</f>
        <v>46156.646006944444</v>
      </c>
    </row>
    <row r="2113" spans="2:23" ht="15" customHeight="1">
      <c r="B2113" s="790" t="s">
        <v>2441</v>
      </c>
      <c r="C2113" s="911" t="s">
        <v>3556</v>
      </c>
      <c r="D2113" s="1353">
        <v>46156.686053240737</v>
      </c>
      <c r="E2113" s="883">
        <v>-2.4700000000000002</v>
      </c>
      <c r="F2113" s="408">
        <v>4.4999999999999998E-2</v>
      </c>
      <c r="G2113" s="474">
        <f t="shared" si="33"/>
        <v>-2.4700000000000002</v>
      </c>
      <c r="H2113" s="453" t="s">
        <v>1666</v>
      </c>
      <c r="I2113" s="472" t="s">
        <v>1558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4" t="str">
        <f>LEFT(base[[#This Row],[Evento / Mercado]],FIND("/",base[[#This Row],[Evento / Mercado]])-2)</f>
        <v>Girona vs Real Sociedad</v>
      </c>
      <c r="T2113" s="1420">
        <f>base[[#This Row],[Data de liquidação]]</f>
        <v>46156.686053240737</v>
      </c>
    </row>
    <row r="2114" spans="2:23" ht="15" customHeight="1">
      <c r="B2114" s="790" t="s">
        <v>2441</v>
      </c>
      <c r="C2114" s="911" t="s">
        <v>3556</v>
      </c>
      <c r="D2114" s="1353">
        <v>46156.686053240737</v>
      </c>
      <c r="E2114" s="883">
        <v>-2</v>
      </c>
      <c r="F2114" s="408">
        <v>4.4999999999999998E-2</v>
      </c>
      <c r="G2114" s="474">
        <f t="shared" si="33"/>
        <v>-2</v>
      </c>
      <c r="H2114" s="453" t="s">
        <v>1666</v>
      </c>
      <c r="I2114" s="472" t="s">
        <v>2363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4" t="str">
        <f>LEFT(base[[#This Row],[Evento / Mercado]],FIND("/",base[[#This Row],[Evento / Mercado]])-2)</f>
        <v>Girona vs Real Sociedad</v>
      </c>
      <c r="T2114" s="1420">
        <f>base[[#This Row],[Data de liquidação]]</f>
        <v>46156.686053240737</v>
      </c>
    </row>
    <row r="2115" spans="2:23" ht="15" customHeight="1">
      <c r="B2115" s="790" t="s">
        <v>2440</v>
      </c>
      <c r="C2115" s="911" t="s">
        <v>3556</v>
      </c>
      <c r="D2115" s="1353">
        <v>46156.706284722219</v>
      </c>
      <c r="E2115" s="883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1666</v>
      </c>
      <c r="I2115" s="472" t="s">
        <v>1758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4" t="str">
        <f>LEFT(base[[#This Row],[Evento / Mercado]],FIND("/",base[[#This Row],[Evento / Mercado]])-2)</f>
        <v>Girona vs Real Sociedad</v>
      </c>
      <c r="T2115" s="1420">
        <f>base[[#This Row],[Data de liquidação]]</f>
        <v>46156.706284722219</v>
      </c>
    </row>
    <row r="2116" spans="2:23" ht="15" customHeight="1">
      <c r="B2116" s="790" t="s">
        <v>2439</v>
      </c>
      <c r="C2116" s="911" t="s">
        <v>3556</v>
      </c>
      <c r="D2116" s="1353">
        <v>46156.707685185182</v>
      </c>
      <c r="E2116" s="883">
        <v>1.51</v>
      </c>
      <c r="F2116" s="408">
        <v>4.4999999999999998E-2</v>
      </c>
      <c r="G2116" s="474">
        <f t="shared" si="34"/>
        <v>1.581151832460733</v>
      </c>
      <c r="H2116" s="453" t="s">
        <v>1666</v>
      </c>
      <c r="I2116" s="472" t="s">
        <v>1717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4" t="str">
        <f>LEFT(base[[#This Row],[Evento / Mercado]],FIND("/",base[[#This Row],[Evento / Mercado]])-2)</f>
        <v>Al-Qadisiyah vs Al Hazm</v>
      </c>
      <c r="T2116" s="1420">
        <f>base[[#This Row],[Data de liquidação]]</f>
        <v>46156.707685185182</v>
      </c>
      <c r="V2116" s="11"/>
    </row>
    <row r="2117" spans="2:23" ht="15" customHeight="1">
      <c r="B2117" s="790" t="s">
        <v>2438</v>
      </c>
      <c r="C2117" s="911" t="s">
        <v>3556</v>
      </c>
      <c r="D2117" s="1353">
        <v>46156.72074074074</v>
      </c>
      <c r="E2117" s="883">
        <v>1.6425999999999998</v>
      </c>
      <c r="F2117" s="408">
        <v>4.4999999999999998E-2</v>
      </c>
      <c r="G2117" s="474">
        <f t="shared" si="34"/>
        <v>1.72</v>
      </c>
      <c r="H2117" s="474" t="s">
        <v>1666</v>
      </c>
      <c r="I2117" s="472" t="s">
        <v>1795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4" t="str">
        <f>LEFT(base[[#This Row],[Evento / Mercado]],FIND("/",base[[#This Row],[Evento / Mercado]])-2)</f>
        <v>Real Madrid vs Real Oviedo</v>
      </c>
      <c r="T2117" s="142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90" t="s">
        <v>2438</v>
      </c>
      <c r="C2118" s="911" t="s">
        <v>3556</v>
      </c>
      <c r="D2118" s="1353">
        <v>46156.72074074074</v>
      </c>
      <c r="E2118" s="883">
        <v>12.5678</v>
      </c>
      <c r="F2118" s="408">
        <v>4.4999999999999998E-2</v>
      </c>
      <c r="G2118" s="474">
        <f t="shared" si="34"/>
        <v>13.16</v>
      </c>
      <c r="H2118" s="465" t="s">
        <v>2148</v>
      </c>
      <c r="I2118" s="472" t="s">
        <v>1795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4" t="str">
        <f>LEFT(base[[#This Row],[Evento / Mercado]],FIND("/",base[[#This Row],[Evento / Mercado]])-2)</f>
        <v>Real Madrid vs Real Oviedo</v>
      </c>
      <c r="T2118" s="142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90" t="s">
        <v>2437</v>
      </c>
      <c r="C2119" s="911" t="s">
        <v>3556</v>
      </c>
      <c r="D2119" s="1353">
        <v>46156.765011574076</v>
      </c>
      <c r="E2119" s="883">
        <v>12.8925</v>
      </c>
      <c r="F2119" s="408">
        <v>4.4999999999999998E-2</v>
      </c>
      <c r="G2119" s="474">
        <f t="shared" si="34"/>
        <v>13.5</v>
      </c>
      <c r="H2119" s="465" t="s">
        <v>2148</v>
      </c>
      <c r="I2119" s="472" t="s">
        <v>2151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4" t="str">
        <f>LEFT(base[[#This Row],[Evento / Mercado]],FIND("/",base[[#This Row],[Evento / Mercado]])-2)</f>
        <v>Real Madrid vs Real Oviedo</v>
      </c>
      <c r="T2119" s="1420">
        <f>base[[#This Row],[Data de liquidação]]</f>
        <v>46156.765011574076</v>
      </c>
    </row>
    <row r="2120" spans="2:23" ht="15" customHeight="1">
      <c r="B2120" s="790" t="s">
        <v>2437</v>
      </c>
      <c r="C2120" s="911" t="s">
        <v>3556</v>
      </c>
      <c r="D2120" s="1353">
        <v>46156.765011574076</v>
      </c>
      <c r="E2120" s="883">
        <v>2.2919999999999998</v>
      </c>
      <c r="F2120" s="408">
        <v>4.4999999999999998E-2</v>
      </c>
      <c r="G2120" s="474">
        <f t="shared" si="34"/>
        <v>2.4</v>
      </c>
      <c r="H2120" s="453" t="s">
        <v>1666</v>
      </c>
      <c r="I2120" s="472" t="s">
        <v>1717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4" t="str">
        <f>LEFT(base[[#This Row],[Evento / Mercado]],FIND("/",base[[#This Row],[Evento / Mercado]])-2)</f>
        <v>Real Madrid vs Real Oviedo</v>
      </c>
      <c r="T2120" s="1420">
        <f>base[[#This Row],[Data de liquidação]]</f>
        <v>46156.765011574076</v>
      </c>
    </row>
    <row r="2121" spans="2:23" ht="15" customHeight="1">
      <c r="B2121" s="790" t="s">
        <v>2436</v>
      </c>
      <c r="C2121" s="911" t="s">
        <v>3556</v>
      </c>
      <c r="D2121" s="1353">
        <v>46156.787673611114</v>
      </c>
      <c r="E2121" s="883">
        <v>11.94</v>
      </c>
      <c r="F2121" s="408">
        <v>4.4999999999999998E-2</v>
      </c>
      <c r="G2121" s="474">
        <f t="shared" si="34"/>
        <v>12.502617801047121</v>
      </c>
      <c r="H2121" s="465" t="s">
        <v>2148</v>
      </c>
      <c r="I2121" s="472" t="s">
        <v>2149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4" t="str">
        <f>LEFT(base[[#This Row],[Evento / Mercado]],FIND("/",base[[#This Row],[Evento / Mercado]])-2)</f>
        <v>Club Libertad Asunción vs Club 2 de Mayo</v>
      </c>
      <c r="T2121" s="1420">
        <f>base[[#This Row],[Data de liquidação]]</f>
        <v>46156.787673611114</v>
      </c>
    </row>
    <row r="2122" spans="2:23" ht="15" customHeight="1">
      <c r="B2122" s="790" t="s">
        <v>2435</v>
      </c>
      <c r="C2122" s="911" t="s">
        <v>3556</v>
      </c>
      <c r="D2122" s="1353">
        <v>46156.947881944441</v>
      </c>
      <c r="E2122" s="883">
        <v>18.62</v>
      </c>
      <c r="F2122" s="408">
        <v>4.4999999999999998E-2</v>
      </c>
      <c r="G2122" s="474">
        <f t="shared" si="34"/>
        <v>19.497382198952881</v>
      </c>
      <c r="H2122" s="465" t="s">
        <v>2148</v>
      </c>
      <c r="I2122" s="472" t="s">
        <v>1795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4" t="str">
        <f>LEFT(base[[#This Row],[Evento / Mercado]],FIND("/",base[[#This Row],[Evento / Mercado]])-2)</f>
        <v>Pachuca vs Pumas UNAM</v>
      </c>
      <c r="T2122" s="1420">
        <f>base[[#This Row],[Data de liquidação]]</f>
        <v>46156.947881944441</v>
      </c>
      <c r="W2122" s="11"/>
    </row>
    <row r="2123" spans="2:23" ht="15" customHeight="1">
      <c r="B2123" s="791" t="s">
        <v>2477</v>
      </c>
      <c r="C2123" s="911" t="s">
        <v>3556</v>
      </c>
      <c r="D2123" s="1354">
        <v>46157.005856481483</v>
      </c>
      <c r="E2123" s="884">
        <v>1.29</v>
      </c>
      <c r="F2123" s="408">
        <v>4.4999999999999998E-2</v>
      </c>
      <c r="G2123" s="479">
        <f t="shared" si="34"/>
        <v>1.3507853403141363</v>
      </c>
      <c r="H2123" s="474" t="s">
        <v>1666</v>
      </c>
      <c r="I2123" s="477" t="s">
        <v>1759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4" t="str">
        <f>LEFT(base[[#This Row],[Evento / Mercado]],FIND("/",base[[#This Row],[Evento / Mercado]])-2)</f>
        <v>Pachuca vs Pumas UNAM</v>
      </c>
      <c r="T2123" s="1420">
        <f>base[[#This Row],[Data de liquidação]]</f>
        <v>46157.005856481483</v>
      </c>
      <c r="W2123" s="11"/>
    </row>
    <row r="2124" spans="2:23" ht="15" customHeight="1">
      <c r="B2124" s="791" t="s">
        <v>2476</v>
      </c>
      <c r="C2124" s="911" t="s">
        <v>3556</v>
      </c>
      <c r="D2124" s="1354">
        <v>46157.330601851849</v>
      </c>
      <c r="E2124" s="884">
        <v>7.7</v>
      </c>
      <c r="F2124" s="408">
        <v>4.4999999999999998E-2</v>
      </c>
      <c r="G2124" s="479">
        <f t="shared" si="34"/>
        <v>8.0628272251308903</v>
      </c>
      <c r="H2124" s="474" t="s">
        <v>1666</v>
      </c>
      <c r="I2124" s="477" t="s">
        <v>1777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4" t="str">
        <f>LEFT(base[[#This Row],[Evento / Mercado]],FIND("/",base[[#This Row],[Evento / Mercado]])-2)</f>
        <v>Pulau Pinang vs DPMM FC</v>
      </c>
      <c r="T2124" s="1420">
        <f>base[[#This Row],[Data de liquidação]]</f>
        <v>46157.330601851849</v>
      </c>
      <c r="W2124" s="11"/>
    </row>
    <row r="2125" spans="2:23" ht="15" customHeight="1">
      <c r="B2125" s="791" t="s">
        <v>2475</v>
      </c>
      <c r="C2125" s="911" t="s">
        <v>3556</v>
      </c>
      <c r="D2125" s="1354">
        <v>46157.439942129633</v>
      </c>
      <c r="E2125" s="884">
        <v>3.41</v>
      </c>
      <c r="F2125" s="408">
        <v>4.4999999999999998E-2</v>
      </c>
      <c r="G2125" s="479">
        <f t="shared" si="34"/>
        <v>3.5706806282722514</v>
      </c>
      <c r="H2125" s="453" t="s">
        <v>1666</v>
      </c>
      <c r="I2125" s="467" t="s">
        <v>1715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4" t="str">
        <f>LEFT(base[[#This Row],[Evento / Mercado]],FIND("/",base[[#This Row],[Evento / Mercado]])-2)</f>
        <v>Shanghai Port vs Zhejiang Professional</v>
      </c>
      <c r="T2125" s="1420">
        <f>base[[#This Row],[Data de liquidação]]</f>
        <v>46157.439942129633</v>
      </c>
      <c r="W2125" s="11"/>
    </row>
    <row r="2126" spans="2:23" ht="15" customHeight="1">
      <c r="B2126" s="791" t="s">
        <v>2474</v>
      </c>
      <c r="C2126" s="911" t="s">
        <v>3556</v>
      </c>
      <c r="D2126" s="1354">
        <v>46157.440092592595</v>
      </c>
      <c r="E2126" s="884">
        <v>16.46</v>
      </c>
      <c r="F2126" s="408">
        <v>4.4999999999999998E-2</v>
      </c>
      <c r="G2126" s="479">
        <f t="shared" si="34"/>
        <v>17.235602094240839</v>
      </c>
      <c r="H2126" s="465" t="s">
        <v>2148</v>
      </c>
      <c r="I2126" s="472" t="s">
        <v>2149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4" t="str">
        <f>LEFT(base[[#This Row],[Evento / Mercado]],FIND("/",base[[#This Row],[Evento / Mercado]])-2)</f>
        <v>Shanghai Port vs Zhejiang Professional</v>
      </c>
      <c r="T2126" s="1420">
        <f>base[[#This Row],[Data de liquidação]]</f>
        <v>46157.440092592595</v>
      </c>
      <c r="W2126" s="11"/>
    </row>
    <row r="2127" spans="2:23" ht="15" customHeight="1">
      <c r="B2127" s="791" t="s">
        <v>2473</v>
      </c>
      <c r="C2127" s="911" t="s">
        <v>3556</v>
      </c>
      <c r="D2127" s="1354">
        <v>46157.50172453704</v>
      </c>
      <c r="E2127" s="884">
        <v>3.82</v>
      </c>
      <c r="F2127" s="408">
        <v>4.4999999999999998E-2</v>
      </c>
      <c r="G2127" s="479">
        <f t="shared" si="34"/>
        <v>4</v>
      </c>
      <c r="H2127" s="453" t="s">
        <v>1666</v>
      </c>
      <c r="I2127" s="477" t="s">
        <v>1558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4" t="str">
        <f>LEFT(base[[#This Row],[Evento / Mercado]],FIND("/",base[[#This Row],[Evento / Mercado]])-2)</f>
        <v>Al-Sharjah vs Khor Fakkan</v>
      </c>
      <c r="T2127" s="1420">
        <f>base[[#This Row],[Data de liquidação]]</f>
        <v>46157.50172453704</v>
      </c>
      <c r="W2127" s="11"/>
    </row>
    <row r="2128" spans="2:23" ht="15" customHeight="1">
      <c r="B2128" s="791" t="s">
        <v>2472</v>
      </c>
      <c r="C2128" s="911" t="s">
        <v>3556</v>
      </c>
      <c r="D2128" s="1354">
        <v>46157.563831018517</v>
      </c>
      <c r="E2128" s="884">
        <v>21.97</v>
      </c>
      <c r="F2128" s="408">
        <v>4.4999999999999998E-2</v>
      </c>
      <c r="G2128" s="479">
        <f t="shared" si="34"/>
        <v>23.005235602094242</v>
      </c>
      <c r="H2128" s="465" t="s">
        <v>2148</v>
      </c>
      <c r="I2128" s="472" t="s">
        <v>1795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4" t="str">
        <f>LEFT(base[[#This Row],[Evento / Mercado]],FIND("/",base[[#This Row],[Evento / Mercado]])-2)</f>
        <v>Dhamk vs Al-Fayha FC</v>
      </c>
      <c r="T2128" s="1420">
        <f>base[[#This Row],[Data de liquidação]]</f>
        <v>46157.563831018517</v>
      </c>
      <c r="W2128" s="11"/>
    </row>
    <row r="2129" spans="2:23" ht="15" customHeight="1">
      <c r="B2129" s="791" t="s">
        <v>2471</v>
      </c>
      <c r="C2129" s="911" t="s">
        <v>3556</v>
      </c>
      <c r="D2129" s="1354">
        <v>46157.657604166663</v>
      </c>
      <c r="E2129" s="884">
        <v>-50</v>
      </c>
      <c r="F2129" s="408">
        <v>4.4999999999999998E-2</v>
      </c>
      <c r="G2129" s="479">
        <f t="shared" si="34"/>
        <v>-50</v>
      </c>
      <c r="H2129" s="465" t="s">
        <v>2148</v>
      </c>
      <c r="I2129" s="472" t="s">
        <v>1795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4" t="str">
        <f>LEFT(base[[#This Row],[Evento / Mercado]],FIND("/",base[[#This Row],[Evento / Mercado]])-2)</f>
        <v>Al-Taawoun Buraidah vs Al-Riyadh</v>
      </c>
      <c r="T2129" s="1420">
        <f>base[[#This Row],[Data de liquidação]]</f>
        <v>46157.657604166663</v>
      </c>
      <c r="W2129" s="11"/>
    </row>
    <row r="2130" spans="2:23" ht="15" customHeight="1">
      <c r="B2130" s="791" t="s">
        <v>2470</v>
      </c>
      <c r="C2130" s="911" t="s">
        <v>3556</v>
      </c>
      <c r="D2130" s="1354">
        <v>46157.667858796296</v>
      </c>
      <c r="E2130" s="884">
        <v>9.19</v>
      </c>
      <c r="F2130" s="408">
        <v>4.4999999999999998E-2</v>
      </c>
      <c r="G2130" s="479">
        <f t="shared" si="34"/>
        <v>9.6230366492146597</v>
      </c>
      <c r="H2130" s="465" t="s">
        <v>2148</v>
      </c>
      <c r="I2130" s="472" t="s">
        <v>2149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4" t="str">
        <f>LEFT(base[[#This Row],[Evento / Mercado]],FIND("/",base[[#This Row],[Evento / Mercado]])-2)</f>
        <v>Çorum Belediyespor vs Bodrum Belediyesi Bodrumspor</v>
      </c>
      <c r="T2130" s="1420">
        <f>base[[#This Row],[Data de liquidação]]</f>
        <v>46157.667858796296</v>
      </c>
      <c r="W2130" s="11"/>
    </row>
    <row r="2131" spans="2:23" ht="15" customHeight="1">
      <c r="B2131" s="791" t="s">
        <v>2469</v>
      </c>
      <c r="C2131" s="911" t="s">
        <v>3556</v>
      </c>
      <c r="D2131" s="1354">
        <v>46157.682129629633</v>
      </c>
      <c r="E2131" s="884">
        <v>-2</v>
      </c>
      <c r="F2131" s="408">
        <v>4.4999999999999998E-2</v>
      </c>
      <c r="G2131" s="479">
        <f t="shared" si="34"/>
        <v>-2</v>
      </c>
      <c r="H2131" s="474" t="s">
        <v>1666</v>
      </c>
      <c r="I2131" s="472" t="s">
        <v>1795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4" t="str">
        <f>LEFT(base[[#This Row],[Evento / Mercado]],FIND("/",base[[#This Row],[Evento / Mercado]])-2)</f>
        <v>CD Castellon vs Cádiz</v>
      </c>
      <c r="T2131" s="1420">
        <f>base[[#This Row],[Data de liquidação]]</f>
        <v>46157.682129629633</v>
      </c>
      <c r="W2131" s="11"/>
    </row>
    <row r="2132" spans="2:23" ht="15" customHeight="1">
      <c r="B2132" s="791" t="s">
        <v>2468</v>
      </c>
      <c r="C2132" s="911" t="s">
        <v>3556</v>
      </c>
      <c r="D2132" s="1354">
        <v>46157.689282407409</v>
      </c>
      <c r="E2132" s="884">
        <v>-50</v>
      </c>
      <c r="F2132" s="408">
        <v>4.4999999999999998E-2</v>
      </c>
      <c r="G2132" s="479">
        <f t="shared" si="34"/>
        <v>-50</v>
      </c>
      <c r="H2132" s="465" t="s">
        <v>2148</v>
      </c>
      <c r="I2132" s="472" t="s">
        <v>1795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4" t="str">
        <f>LEFT(base[[#This Row],[Evento / Mercado]],FIND("/",base[[#This Row],[Evento / Mercado]])-2)</f>
        <v>St. Patrick's Athletic vs Shelbourne FC</v>
      </c>
      <c r="T2132" s="1420">
        <f>base[[#This Row],[Data de liquidação]]</f>
        <v>46157.689282407409</v>
      </c>
      <c r="W2132" s="11"/>
    </row>
    <row r="2133" spans="2:23" ht="15" customHeight="1">
      <c r="B2133" s="791" t="s">
        <v>2467</v>
      </c>
      <c r="C2133" s="911" t="s">
        <v>3556</v>
      </c>
      <c r="D2133" s="1354">
        <v>46157.69085648148</v>
      </c>
      <c r="E2133" s="884">
        <v>-50</v>
      </c>
      <c r="F2133" s="408">
        <v>4.4999999999999998E-2</v>
      </c>
      <c r="G2133" s="479">
        <f t="shared" si="34"/>
        <v>-50</v>
      </c>
      <c r="H2133" s="465" t="s">
        <v>2148</v>
      </c>
      <c r="I2133" s="472" t="s">
        <v>1795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4" t="str">
        <f>LEFT(base[[#This Row],[Evento / Mercado]],FIND("/",base[[#This Row],[Evento / Mercado]])-2)</f>
        <v>Bohemian FC vs Drogheda United</v>
      </c>
      <c r="T2133" s="1420">
        <f>base[[#This Row],[Data de liquidação]]</f>
        <v>46157.69085648148</v>
      </c>
      <c r="W2133" s="11"/>
    </row>
    <row r="2134" spans="2:23" ht="15" customHeight="1">
      <c r="B2134" s="791" t="s">
        <v>2466</v>
      </c>
      <c r="C2134" s="911" t="s">
        <v>3556</v>
      </c>
      <c r="D2134" s="1354">
        <v>46157.702835648146</v>
      </c>
      <c r="E2134" s="884">
        <v>3.18</v>
      </c>
      <c r="F2134" s="408">
        <v>4.4999999999999998E-2</v>
      </c>
      <c r="G2134" s="479">
        <f t="shared" si="34"/>
        <v>3.329842931937173</v>
      </c>
      <c r="H2134" s="453" t="s">
        <v>1666</v>
      </c>
      <c r="I2134" s="467" t="s">
        <v>1715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4" t="str">
        <f>LEFT(base[[#This Row],[Evento / Mercado]],FIND("/",base[[#This Row],[Evento / Mercado]])-2)</f>
        <v>Puskas Akademia FC vs MTK Budapest</v>
      </c>
      <c r="T2134" s="1420">
        <f>base[[#This Row],[Data de liquidação]]</f>
        <v>46157.702835648146</v>
      </c>
      <c r="W2134" s="11"/>
    </row>
    <row r="2135" spans="2:23" ht="15" customHeight="1">
      <c r="B2135" s="791" t="s">
        <v>2465</v>
      </c>
      <c r="C2135" s="911" t="s">
        <v>3556</v>
      </c>
      <c r="D2135" s="1354">
        <v>46157.708703703705</v>
      </c>
      <c r="E2135" s="884">
        <v>1.94</v>
      </c>
      <c r="F2135" s="408">
        <v>4.4999999999999998E-2</v>
      </c>
      <c r="G2135" s="479">
        <f t="shared" si="34"/>
        <v>2.0314136125654452</v>
      </c>
      <c r="H2135" s="453" t="s">
        <v>1666</v>
      </c>
      <c r="I2135" s="477" t="s">
        <v>1663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4" t="str">
        <f>LEFT(base[[#This Row],[Evento / Mercado]],FIND("/",base[[#This Row],[Evento / Mercado]])-2)</f>
        <v>Etoile-Carouge FC vs AC Bellinzona</v>
      </c>
      <c r="T2135" s="1420">
        <f>base[[#This Row],[Data de liquidação]]</f>
        <v>46157.708703703705</v>
      </c>
      <c r="W2135" s="11"/>
    </row>
    <row r="2136" spans="2:23" ht="15" customHeight="1">
      <c r="B2136" s="791" t="s">
        <v>2464</v>
      </c>
      <c r="C2136" s="911" t="s">
        <v>3556</v>
      </c>
      <c r="D2136" s="1354">
        <v>46157.710706018515</v>
      </c>
      <c r="E2136" s="884">
        <v>47.27</v>
      </c>
      <c r="F2136" s="408">
        <v>4.4999999999999998E-2</v>
      </c>
      <c r="G2136" s="479">
        <f t="shared" si="34"/>
        <v>49.497382198952884</v>
      </c>
      <c r="H2136" s="465" t="s">
        <v>2148</v>
      </c>
      <c r="I2136" s="477" t="s">
        <v>2151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4" t="str">
        <f>LEFT(base[[#This Row],[Evento / Mercado]],FIND("/",base[[#This Row],[Evento / Mercado]])-2)</f>
        <v>FC Rapperswil Jona vs Stade Nyonnais</v>
      </c>
      <c r="T2136" s="1420">
        <f>base[[#This Row],[Data de liquidação]]</f>
        <v>46157.710706018515</v>
      </c>
      <c r="W2136" s="11"/>
    </row>
    <row r="2137" spans="2:23" ht="15" customHeight="1">
      <c r="B2137" s="791" t="s">
        <v>2463</v>
      </c>
      <c r="C2137" s="911" t="s">
        <v>3556</v>
      </c>
      <c r="D2137" s="1354">
        <v>46157.711111111108</v>
      </c>
      <c r="E2137" s="884">
        <v>6.72</v>
      </c>
      <c r="F2137" s="408">
        <v>4.4999999999999998E-2</v>
      </c>
      <c r="G2137" s="479">
        <f t="shared" si="34"/>
        <v>7.0366492146596862</v>
      </c>
      <c r="H2137" s="474" t="s">
        <v>1666</v>
      </c>
      <c r="I2137" s="477" t="s">
        <v>1777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4" t="str">
        <f>LEFT(base[[#This Row],[Evento / Mercado]],FIND("/",base[[#This Row],[Evento / Mercado]])-2)</f>
        <v>Etoile-Carouge FC vs AC Bellinzona</v>
      </c>
      <c r="T2137" s="1420">
        <f>base[[#This Row],[Data de liquidação]]</f>
        <v>46157.711111111108</v>
      </c>
      <c r="W2137" s="11"/>
    </row>
    <row r="2138" spans="2:23" ht="15" customHeight="1">
      <c r="B2138" s="791" t="s">
        <v>2462</v>
      </c>
      <c r="C2138" s="911" t="s">
        <v>3556</v>
      </c>
      <c r="D2138" s="1354">
        <v>46157.731562499997</v>
      </c>
      <c r="E2138" s="884">
        <v>31.553199999999997</v>
      </c>
      <c r="F2138" s="408">
        <v>4.4999999999999998E-2</v>
      </c>
      <c r="G2138" s="479">
        <f t="shared" si="34"/>
        <v>33.04</v>
      </c>
      <c r="H2138" s="479" t="s">
        <v>179</v>
      </c>
      <c r="I2138" s="477" t="s">
        <v>392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1215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4" t="str">
        <f>LEFT(base[[#This Row],[Evento / Mercado]],FIND("/",base[[#This Row],[Evento / Mercado]])-2)</f>
        <v>CD Castellon vs Cádiz</v>
      </c>
      <c r="T2138" s="142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91" t="s">
        <v>2462</v>
      </c>
      <c r="C2139" s="911" t="s">
        <v>3556</v>
      </c>
      <c r="D2139" s="1354">
        <v>46157.731562499997</v>
      </c>
      <c r="E2139" s="884">
        <v>1.91</v>
      </c>
      <c r="F2139" s="408">
        <v>4.4999999999999998E-2</v>
      </c>
      <c r="G2139" s="479">
        <f t="shared" si="34"/>
        <v>2</v>
      </c>
      <c r="H2139" s="479" t="s">
        <v>1666</v>
      </c>
      <c r="I2139" s="477" t="s">
        <v>1717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4" t="str">
        <f>LEFT(base[[#This Row],[Evento / Mercado]],FIND("/",base[[#This Row],[Evento / Mercado]])-2)</f>
        <v>CD Castellon vs Cádiz</v>
      </c>
      <c r="T2139" s="142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91" t="s">
        <v>2461</v>
      </c>
      <c r="C2140" s="911" t="s">
        <v>3556</v>
      </c>
      <c r="D2140" s="1354">
        <v>46157.748379629629</v>
      </c>
      <c r="E2140" s="884">
        <v>0.32</v>
      </c>
      <c r="F2140" s="408">
        <v>4.4999999999999998E-2</v>
      </c>
      <c r="G2140" s="479">
        <f t="shared" si="34"/>
        <v>0.33507853403141363</v>
      </c>
      <c r="H2140" s="479" t="s">
        <v>1666</v>
      </c>
      <c r="I2140" s="477" t="s">
        <v>1718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4" t="str">
        <f>LEFT(base[[#This Row],[Evento / Mercado]],FIND("/",base[[#This Row],[Evento / Mercado]])-2)</f>
        <v>Aston Villa vs Liverpool</v>
      </c>
      <c r="T2140" s="1420">
        <f>base[[#This Row],[Data de liquidação]]</f>
        <v>46157.748379629629</v>
      </c>
      <c r="W2140" s="11"/>
    </row>
    <row r="2141" spans="2:23" ht="15" customHeight="1">
      <c r="B2141" s="791" t="s">
        <v>2460</v>
      </c>
      <c r="C2141" s="911" t="s">
        <v>3556</v>
      </c>
      <c r="D2141" s="1354">
        <v>46157.750231481485</v>
      </c>
      <c r="E2141" s="884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4" t="str">
        <f>LEFT(base[[#This Row],[Evento / Mercado]],FIND("/",base[[#This Row],[Evento / Mercado]])-2)</f>
        <v>Notts County vs Chesterfield</v>
      </c>
      <c r="T2141" s="1420">
        <f>base[[#This Row],[Data de liquidação]]</f>
        <v>46157.750231481485</v>
      </c>
      <c r="W2141" s="11"/>
    </row>
    <row r="2142" spans="2:23" ht="15" customHeight="1">
      <c r="B2142" s="791" t="s">
        <v>2459</v>
      </c>
      <c r="C2142" s="911" t="s">
        <v>3556</v>
      </c>
      <c r="D2142" s="1354">
        <v>46157.898321759261</v>
      </c>
      <c r="E2142" s="884">
        <v>22.92</v>
      </c>
      <c r="F2142" s="408">
        <v>4.4999999999999998E-2</v>
      </c>
      <c r="G2142" s="479">
        <f t="shared" si="34"/>
        <v>24.000000000000004</v>
      </c>
      <c r="H2142" s="465" t="s">
        <v>2148</v>
      </c>
      <c r="I2142" s="472" t="s">
        <v>1795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4" t="str">
        <f>LEFT(base[[#This Row],[Evento / Mercado]],FIND("/",base[[#This Row],[Evento / Mercado]])-2)</f>
        <v>Coquimbo Unido vs Audax Italiano</v>
      </c>
      <c r="T2142" s="1420">
        <f>base[[#This Row],[Data de liquidação]]</f>
        <v>46157.898321759261</v>
      </c>
      <c r="W2142" s="11"/>
    </row>
    <row r="2143" spans="2:23" ht="15" customHeight="1">
      <c r="B2143" s="791" t="s">
        <v>2458</v>
      </c>
      <c r="C2143" s="911" t="s">
        <v>3556</v>
      </c>
      <c r="D2143" s="1354">
        <v>46157.909525462965</v>
      </c>
      <c r="E2143" s="884">
        <v>3.82</v>
      </c>
      <c r="F2143" s="408">
        <v>4.4999999999999998E-2</v>
      </c>
      <c r="G2143" s="479">
        <f t="shared" si="34"/>
        <v>4</v>
      </c>
      <c r="H2143" s="453" t="s">
        <v>1666</v>
      </c>
      <c r="I2143" s="472" t="s">
        <v>1558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4" t="str">
        <f>LEFT(base[[#This Row],[Evento / Mercado]],FIND("/",base[[#This Row],[Evento / Mercado]])-2)</f>
        <v>Coquimbo Unido vs Audax Italiano</v>
      </c>
      <c r="T2143" s="1420">
        <f>base[[#This Row],[Data de liquidação]]</f>
        <v>46157.909525462965</v>
      </c>
      <c r="W2143" s="11"/>
    </row>
    <row r="2144" spans="2:23" ht="15" customHeight="1">
      <c r="B2144" s="791" t="s">
        <v>2457</v>
      </c>
      <c r="C2144" s="911" t="s">
        <v>3556</v>
      </c>
      <c r="D2144" s="1354">
        <v>46157.95685185185</v>
      </c>
      <c r="E2144" s="884">
        <v>1.43</v>
      </c>
      <c r="F2144" s="408">
        <v>4.4999999999999998E-2</v>
      </c>
      <c r="G2144" s="479">
        <f t="shared" si="34"/>
        <v>1.4973821989528795</v>
      </c>
      <c r="H2144" s="453" t="s">
        <v>1666</v>
      </c>
      <c r="I2144" s="477" t="s">
        <v>2331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4" t="str">
        <f>LEFT(base[[#This Row],[Evento / Mercado]],FIND("/",base[[#This Row],[Evento / Mercado]])-2)</f>
        <v>Coquimbo Unido vs Audax Italiano</v>
      </c>
      <c r="T2144" s="1420">
        <f>base[[#This Row],[Data de liquidação]]</f>
        <v>46157.95685185185</v>
      </c>
      <c r="W2144" s="11"/>
    </row>
    <row r="2145" spans="2:24" ht="15" customHeight="1">
      <c r="B2145" s="791" t="s">
        <v>2456</v>
      </c>
      <c r="C2145" s="911" t="s">
        <v>3556</v>
      </c>
      <c r="D2145" s="1354">
        <v>46157.997256944444</v>
      </c>
      <c r="E2145" s="884">
        <v>-9.82</v>
      </c>
      <c r="F2145" s="408">
        <v>4.4999999999999998E-2</v>
      </c>
      <c r="G2145" s="479">
        <f t="shared" si="34"/>
        <v>-9.82</v>
      </c>
      <c r="H2145" s="474" t="s">
        <v>1666</v>
      </c>
      <c r="I2145" s="477" t="s">
        <v>1777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4" t="str">
        <f>LEFT(base[[#This Row],[Evento / Mercado]],FIND("/",base[[#This Row],[Evento / Mercado]])-2)</f>
        <v>Universitario de Deportes vs Atlético Grau</v>
      </c>
      <c r="T2145" s="1420">
        <f>base[[#This Row],[Data de liquidação]]</f>
        <v>46157.997256944444</v>
      </c>
      <c r="W2145" s="11"/>
      <c r="X2145" s="11"/>
    </row>
    <row r="2146" spans="2:24" ht="15" customHeight="1">
      <c r="B2146" s="791" t="s">
        <v>2563</v>
      </c>
      <c r="C2146" s="911" t="s">
        <v>3556</v>
      </c>
      <c r="D2146" s="1354">
        <v>46158.246041666665</v>
      </c>
      <c r="E2146" s="884">
        <v>-2</v>
      </c>
      <c r="F2146" s="408">
        <v>4.4999999999999998E-2</v>
      </c>
      <c r="G2146" s="479">
        <f t="shared" si="34"/>
        <v>-2</v>
      </c>
      <c r="H2146" s="474" t="s">
        <v>1666</v>
      </c>
      <c r="I2146" s="477" t="s">
        <v>1760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4" t="str">
        <f>LEFT(base[[#This Row],[Evento / Mercado]],FIND("/",base[[#This Row],[Evento / Mercado]])-2)</f>
        <v>Urawa Red Diamonds vs FC Tokyo</v>
      </c>
      <c r="T2146" s="1420">
        <f>base[[#This Row],[Data de liquidação]]</f>
        <v>46158.246041666665</v>
      </c>
    </row>
    <row r="2147" spans="2:24" ht="15" customHeight="1">
      <c r="B2147" s="791" t="s">
        <v>2562</v>
      </c>
      <c r="C2147" s="911" t="s">
        <v>3556</v>
      </c>
      <c r="D2147" s="1354">
        <v>46158.382534722223</v>
      </c>
      <c r="E2147" s="884">
        <v>1.47</v>
      </c>
      <c r="F2147" s="408">
        <v>4.4999999999999998E-2</v>
      </c>
      <c r="G2147" s="479">
        <f t="shared" si="34"/>
        <v>1.5392670157068062</v>
      </c>
      <c r="H2147" s="474" t="s">
        <v>1666</v>
      </c>
      <c r="I2147" s="477" t="s">
        <v>1795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4" t="str">
        <f>LEFT(base[[#This Row],[Evento / Mercado]],FIND("/",base[[#This Row],[Evento / Mercado]])-2)</f>
        <v>Shandong Taishan vs Chongqing Tonglianglong</v>
      </c>
      <c r="T2147" s="1420">
        <f>base[[#This Row],[Data de liquidação]]</f>
        <v>46158.382534722223</v>
      </c>
    </row>
    <row r="2148" spans="2:24" ht="15" customHeight="1">
      <c r="B2148" s="791" t="s">
        <v>2561</v>
      </c>
      <c r="C2148" s="911" t="s">
        <v>3556</v>
      </c>
      <c r="D2148" s="1354">
        <v>46158.385810185187</v>
      </c>
      <c r="E2148" s="884">
        <v>12.42</v>
      </c>
      <c r="F2148" s="408">
        <v>4.4999999999999998E-2</v>
      </c>
      <c r="G2148" s="479">
        <f t="shared" si="34"/>
        <v>13.005235602094242</v>
      </c>
      <c r="H2148" s="465" t="s">
        <v>2148</v>
      </c>
      <c r="I2148" s="472" t="s">
        <v>1795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4" t="str">
        <f>LEFT(base[[#This Row],[Evento / Mercado]],FIND("/",base[[#This Row],[Evento / Mercado]])-2)</f>
        <v>Celtic vs Hearts</v>
      </c>
      <c r="T2148" s="1420">
        <f>base[[#This Row],[Data de liquidação]]</f>
        <v>46158.385810185187</v>
      </c>
    </row>
    <row r="2149" spans="2:24" ht="15" customHeight="1">
      <c r="B2149" s="791" t="s">
        <v>2559</v>
      </c>
      <c r="C2149" s="911" t="s">
        <v>3556</v>
      </c>
      <c r="D2149" s="1354">
        <v>46158.407951388886</v>
      </c>
      <c r="E2149" s="884">
        <v>1.72</v>
      </c>
      <c r="F2149" s="408">
        <v>4.4999999999999998E-2</v>
      </c>
      <c r="G2149" s="479">
        <f t="shared" si="34"/>
        <v>1.8010471204188483</v>
      </c>
      <c r="H2149" s="474" t="s">
        <v>1666</v>
      </c>
      <c r="I2149" s="477" t="s">
        <v>1663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4" t="str">
        <f>LEFT(base[[#This Row],[Evento / Mercado]],FIND("/",base[[#This Row],[Evento / Mercado]])-2)</f>
        <v>Newcastle United Jets vs Sydney FC</v>
      </c>
      <c r="T2149" s="1420">
        <f>base[[#This Row],[Data de liquidação]]</f>
        <v>46158.407951388886</v>
      </c>
    </row>
    <row r="2150" spans="2:24" ht="15" customHeight="1">
      <c r="B2150" s="791" t="s">
        <v>2560</v>
      </c>
      <c r="C2150" s="911" t="s">
        <v>3556</v>
      </c>
      <c r="D2150" s="1354">
        <v>46158.407951388886</v>
      </c>
      <c r="E2150" s="884">
        <v>6.28</v>
      </c>
      <c r="F2150" s="408">
        <v>4.4999999999999998E-2</v>
      </c>
      <c r="G2150" s="479">
        <f t="shared" si="34"/>
        <v>6.5759162303664924</v>
      </c>
      <c r="H2150" s="474" t="s">
        <v>1666</v>
      </c>
      <c r="I2150" s="477" t="s">
        <v>1665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4" t="str">
        <f>LEFT(base[[#This Row],[Evento / Mercado]],FIND("/",base[[#This Row],[Evento / Mercado]])-2)</f>
        <v>Newcastle United Jets vs Sydney FC</v>
      </c>
      <c r="T2150" s="1420">
        <f>base[[#This Row],[Data de liquidação]]</f>
        <v>46158.407951388886</v>
      </c>
    </row>
    <row r="2151" spans="2:24" ht="15" customHeight="1">
      <c r="B2151" s="791" t="s">
        <v>2558</v>
      </c>
      <c r="C2151" s="911" t="s">
        <v>3556</v>
      </c>
      <c r="D2151" s="1354">
        <v>46158.431932870371</v>
      </c>
      <c r="E2151" s="884">
        <v>-2</v>
      </c>
      <c r="F2151" s="408">
        <v>4.4999999999999998E-2</v>
      </c>
      <c r="G2151" s="479">
        <f t="shared" si="34"/>
        <v>-2</v>
      </c>
      <c r="H2151" s="474" t="s">
        <v>1666</v>
      </c>
      <c r="I2151" s="477" t="s">
        <v>2564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4" t="str">
        <f>LEFT(base[[#This Row],[Evento / Mercado]],FIND("/",base[[#This Row],[Evento / Mercado]])-2)</f>
        <v>SSV Jahn Regensburg vs Energie Cottbus</v>
      </c>
      <c r="T2151" s="1420">
        <f>base[[#This Row],[Data de liquidação]]</f>
        <v>46158.431932870371</v>
      </c>
    </row>
    <row r="2152" spans="2:24" ht="15" customHeight="1">
      <c r="B2152" s="791" t="s">
        <v>2557</v>
      </c>
      <c r="C2152" s="911" t="s">
        <v>3556</v>
      </c>
      <c r="D2152" s="1354">
        <v>46158.433749999997</v>
      </c>
      <c r="E2152" s="884">
        <v>3.5</v>
      </c>
      <c r="F2152" s="408">
        <v>4.4999999999999998E-2</v>
      </c>
      <c r="G2152" s="479">
        <f t="shared" si="34"/>
        <v>3.6649214659685865</v>
      </c>
      <c r="H2152" s="474" t="s">
        <v>1666</v>
      </c>
      <c r="I2152" s="477" t="s">
        <v>1717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4" t="str">
        <f>LEFT(base[[#This Row],[Evento / Mercado]],FIND("/",base[[#This Row],[Evento / Mercado]])-2)</f>
        <v>Alemannia Aachen vs TSV Havelse</v>
      </c>
      <c r="T2152" s="1420">
        <f>base[[#This Row],[Data de liquidação]]</f>
        <v>46158.433749999997</v>
      </c>
    </row>
    <row r="2153" spans="2:24" ht="15" customHeight="1">
      <c r="B2153" s="791" t="s">
        <v>2556</v>
      </c>
      <c r="C2153" s="911" t="s">
        <v>3556</v>
      </c>
      <c r="D2153" s="1354">
        <v>46158.436666666668</v>
      </c>
      <c r="E2153" s="884">
        <v>1.43</v>
      </c>
      <c r="F2153" s="408">
        <v>4.4999999999999998E-2</v>
      </c>
      <c r="G2153" s="479">
        <f t="shared" si="34"/>
        <v>1.4973821989528795</v>
      </c>
      <c r="H2153" s="474" t="s">
        <v>1666</v>
      </c>
      <c r="I2153" s="477" t="s">
        <v>2331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4" t="str">
        <f>LEFT(base[[#This Row],[Evento / Mercado]],FIND("/",base[[#This Row],[Evento / Mercado]])-2)</f>
        <v>Shandong Taishan vs Chongqing Tonglianglong</v>
      </c>
      <c r="T2153" s="1420">
        <f>base[[#This Row],[Data de liquidação]]</f>
        <v>46158.436666666668</v>
      </c>
    </row>
    <row r="2154" spans="2:24" ht="15" customHeight="1">
      <c r="B2154" s="791" t="s">
        <v>2555</v>
      </c>
      <c r="C2154" s="911" t="s">
        <v>3556</v>
      </c>
      <c r="D2154" s="1354">
        <v>46158.455995370372</v>
      </c>
      <c r="E2154" s="884">
        <v>4.3499999999999996</v>
      </c>
      <c r="F2154" s="408">
        <v>4.4999999999999998E-2</v>
      </c>
      <c r="G2154" s="479">
        <f t="shared" si="34"/>
        <v>4.5549738219895284</v>
      </c>
      <c r="H2154" s="474" t="s">
        <v>1666</v>
      </c>
      <c r="I2154" s="477" t="s">
        <v>1715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4" t="str">
        <f>LEFT(base[[#This Row],[Evento / Mercado]],FIND("/",base[[#This Row],[Evento / Mercado]])-2)</f>
        <v>Yunnan Yukun vs Shanghai Shenhua</v>
      </c>
      <c r="T2154" s="1420">
        <f>base[[#This Row],[Data de liquidação]]</f>
        <v>46158.455995370372</v>
      </c>
    </row>
    <row r="2155" spans="2:24" ht="15" customHeight="1">
      <c r="B2155" s="791" t="s">
        <v>2554</v>
      </c>
      <c r="C2155" s="911" t="s">
        <v>3556</v>
      </c>
      <c r="D2155" s="1354">
        <v>46158.456226851849</v>
      </c>
      <c r="E2155" s="884">
        <v>2.81</v>
      </c>
      <c r="F2155" s="408">
        <v>4.4999999999999998E-2</v>
      </c>
      <c r="G2155" s="479">
        <f t="shared" si="34"/>
        <v>2.9424083769633511</v>
      </c>
      <c r="H2155" s="474" t="s">
        <v>1666</v>
      </c>
      <c r="I2155" s="477" t="s">
        <v>1759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4" t="str">
        <f>LEFT(base[[#This Row],[Evento / Mercado]],FIND("/",base[[#This Row],[Evento / Mercado]])-2)</f>
        <v>Yunnan Yukun vs Shanghai Shenhua</v>
      </c>
      <c r="T2155" s="1420">
        <f>base[[#This Row],[Data de liquidação]]</f>
        <v>46158.456226851849</v>
      </c>
    </row>
    <row r="2156" spans="2:24" ht="15" customHeight="1">
      <c r="B2156" s="791" t="s">
        <v>2553</v>
      </c>
      <c r="C2156" s="911" t="s">
        <v>3556</v>
      </c>
      <c r="D2156" s="1354">
        <v>46158.469988425924</v>
      </c>
      <c r="E2156" s="884">
        <v>11.65</v>
      </c>
      <c r="F2156" s="408">
        <v>4.4999999999999998E-2</v>
      </c>
      <c r="G2156" s="479">
        <f t="shared" si="34"/>
        <v>12.198952879581153</v>
      </c>
      <c r="H2156" s="479" t="s">
        <v>2148</v>
      </c>
      <c r="I2156" s="477" t="s">
        <v>1795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4" t="str">
        <f>LEFT(base[[#This Row],[Evento / Mercado]],FIND("/",base[[#This Row],[Evento / Mercado]])-2)</f>
        <v>Stabæk vs Raufoss</v>
      </c>
      <c r="T2156" s="1420">
        <f>base[[#This Row],[Data de liquidação]]</f>
        <v>46158.469988425924</v>
      </c>
    </row>
    <row r="2157" spans="2:24" ht="15" customHeight="1">
      <c r="B2157" s="791" t="s">
        <v>2552</v>
      </c>
      <c r="C2157" s="911" t="s">
        <v>3556</v>
      </c>
      <c r="D2157" s="1354">
        <v>46158.470995370371</v>
      </c>
      <c r="E2157" s="884">
        <v>-50</v>
      </c>
      <c r="F2157" s="408">
        <v>4.4999999999999998E-2</v>
      </c>
      <c r="G2157" s="479">
        <f t="shared" si="34"/>
        <v>-50</v>
      </c>
      <c r="H2157" s="479" t="s">
        <v>2148</v>
      </c>
      <c r="I2157" s="477" t="s">
        <v>1795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4" t="str">
        <f>LEFT(base[[#This Row],[Evento / Mercado]],FIND("/",base[[#This Row],[Evento / Mercado]])-2)</f>
        <v>Bayer 04 Leverkusen vs Hamburger SV</v>
      </c>
      <c r="T2157" s="1420">
        <f>base[[#This Row],[Data de liquidação]]</f>
        <v>46158.470995370371</v>
      </c>
    </row>
    <row r="2158" spans="2:24" ht="15" customHeight="1">
      <c r="B2158" s="791" t="s">
        <v>2551</v>
      </c>
      <c r="C2158" s="911" t="s">
        <v>3556</v>
      </c>
      <c r="D2158" s="1354">
        <v>46158.4765625</v>
      </c>
      <c r="E2158" s="884">
        <v>3.82</v>
      </c>
      <c r="F2158" s="408">
        <v>4.4999999999999998E-2</v>
      </c>
      <c r="G2158" s="479">
        <f t="shared" si="34"/>
        <v>4</v>
      </c>
      <c r="H2158" s="474" t="s">
        <v>1666</v>
      </c>
      <c r="I2158" s="477" t="s">
        <v>1558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4" t="str">
        <f>LEFT(base[[#This Row],[Evento / Mercado]],FIND("/",base[[#This Row],[Evento / Mercado]])-2)</f>
        <v>Eintracht Frankfurt vs VfB Stuttgart</v>
      </c>
      <c r="T2158" s="1420">
        <f>base[[#This Row],[Data de liquidação]]</f>
        <v>46158.4765625</v>
      </c>
    </row>
    <row r="2159" spans="2:24" ht="15" customHeight="1">
      <c r="B2159" s="791" t="s">
        <v>2550</v>
      </c>
      <c r="C2159" s="911" t="s">
        <v>3556</v>
      </c>
      <c r="D2159" s="1354">
        <v>46158.478078703702</v>
      </c>
      <c r="E2159" s="884">
        <v>0.95</v>
      </c>
      <c r="F2159" s="408">
        <v>4.4999999999999998E-2</v>
      </c>
      <c r="G2159" s="479">
        <f t="shared" si="34"/>
        <v>0.99476439790575921</v>
      </c>
      <c r="H2159" s="474" t="s">
        <v>1666</v>
      </c>
      <c r="I2159" s="477" t="s">
        <v>2301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4" t="str">
        <f>LEFT(base[[#This Row],[Evento / Mercado]],FIND("/",base[[#This Row],[Evento / Mercado]])-2)</f>
        <v>AmaZulu vs Kaizer Chiefs</v>
      </c>
      <c r="T2159" s="1420">
        <f>base[[#This Row],[Data de liquidação]]</f>
        <v>46158.478078703702</v>
      </c>
    </row>
    <row r="2160" spans="2:24" ht="15" customHeight="1">
      <c r="B2160" s="791" t="s">
        <v>2549</v>
      </c>
      <c r="C2160" s="911" t="s">
        <v>3556</v>
      </c>
      <c r="D2160" s="1354">
        <v>46158.48542824074</v>
      </c>
      <c r="E2160" s="884">
        <v>-10</v>
      </c>
      <c r="F2160" s="408">
        <v>4.4999999999999998E-2</v>
      </c>
      <c r="G2160" s="479">
        <f t="shared" si="34"/>
        <v>-10</v>
      </c>
      <c r="H2160" s="474" t="s">
        <v>1666</v>
      </c>
      <c r="I2160" s="477" t="s">
        <v>1663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4" t="str">
        <f>LEFT(base[[#This Row],[Evento / Mercado]],FIND("/",base[[#This Row],[Evento / Mercado]])-2)</f>
        <v>SC Freiburg vs RB Leipzig</v>
      </c>
      <c r="T2160" s="1420">
        <f>base[[#This Row],[Data de liquidação]]</f>
        <v>46158.48542824074</v>
      </c>
    </row>
    <row r="2161" spans="2:20" ht="15" customHeight="1">
      <c r="B2161" s="791" t="s">
        <v>2548</v>
      </c>
      <c r="C2161" s="911" t="s">
        <v>3556</v>
      </c>
      <c r="D2161" s="1354">
        <v>46158.489374999997</v>
      </c>
      <c r="E2161" s="884">
        <v>3.82</v>
      </c>
      <c r="F2161" s="408">
        <v>4.4999999999999998E-2</v>
      </c>
      <c r="G2161" s="479">
        <f t="shared" si="34"/>
        <v>4</v>
      </c>
      <c r="H2161" s="474" t="s">
        <v>1666</v>
      </c>
      <c r="I2161" s="477" t="s">
        <v>1558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4" t="str">
        <f>LEFT(base[[#This Row],[Evento / Mercado]],FIND("/",base[[#This Row],[Evento / Mercado]])-2)</f>
        <v>Fredrikstad vs Hamarkameratene</v>
      </c>
      <c r="T2161" s="1420">
        <f>base[[#This Row],[Data de liquidação]]</f>
        <v>46158.489374999997</v>
      </c>
    </row>
    <row r="2162" spans="2:20" ht="15" customHeight="1">
      <c r="B2162" s="791" t="s">
        <v>2547</v>
      </c>
      <c r="C2162" s="911" t="s">
        <v>3556</v>
      </c>
      <c r="D2162" s="1354">
        <v>46158.49015046296</v>
      </c>
      <c r="E2162" s="884">
        <v>-1.92</v>
      </c>
      <c r="F2162" s="408">
        <v>4.4999999999999998E-2</v>
      </c>
      <c r="G2162" s="479">
        <f t="shared" si="34"/>
        <v>-1.92</v>
      </c>
      <c r="H2162" s="474" t="s">
        <v>1666</v>
      </c>
      <c r="I2162" s="477" t="s">
        <v>1558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4" t="str">
        <f>LEFT(base[[#This Row],[Evento / Mercado]],FIND("/",base[[#This Row],[Evento / Mercado]])-2)</f>
        <v>FC St. Pauli vs VfL Wolfsburg</v>
      </c>
      <c r="T2162" s="1420">
        <f>base[[#This Row],[Data de liquidação]]</f>
        <v>46158.49015046296</v>
      </c>
    </row>
    <row r="2163" spans="2:20" ht="15" customHeight="1">
      <c r="B2163" s="791" t="s">
        <v>2546</v>
      </c>
      <c r="C2163" s="911" t="s">
        <v>3556</v>
      </c>
      <c r="D2163" s="1354">
        <v>46158.492210648146</v>
      </c>
      <c r="E2163" s="884">
        <v>0.15</v>
      </c>
      <c r="F2163" s="408">
        <v>4.4999999999999998E-2</v>
      </c>
      <c r="G2163" s="479">
        <f t="shared" si="34"/>
        <v>0.15706806282722513</v>
      </c>
      <c r="H2163" s="474" t="s">
        <v>1666</v>
      </c>
      <c r="I2163" s="477" t="s">
        <v>2362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4" t="str">
        <f>LEFT(base[[#This Row],[Evento / Mercado]],FIND("/",base[[#This Row],[Evento / Mercado]])-2)</f>
        <v>Werder Bremen vs Borussia Dortmund</v>
      </c>
      <c r="T2163" s="1420">
        <f>base[[#This Row],[Data de liquidação]]</f>
        <v>46158.492210648146</v>
      </c>
    </row>
    <row r="2164" spans="2:20" ht="15" customHeight="1">
      <c r="B2164" s="791" t="s">
        <v>2545</v>
      </c>
      <c r="C2164" s="911" t="s">
        <v>3556</v>
      </c>
      <c r="D2164" s="1354">
        <v>46158.507673611108</v>
      </c>
      <c r="E2164" s="884">
        <v>3.82</v>
      </c>
      <c r="F2164" s="408">
        <v>4.4999999999999998E-2</v>
      </c>
      <c r="G2164" s="479">
        <f t="shared" si="34"/>
        <v>4</v>
      </c>
      <c r="H2164" s="474" t="s">
        <v>1666</v>
      </c>
      <c r="I2164" s="477" t="s">
        <v>1558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4" t="str">
        <f>LEFT(base[[#This Row],[Evento / Mercado]],FIND("/",base[[#This Row],[Evento / Mercado]])-2)</f>
        <v>Lillestrøm SK vs Sandefjord Fotball</v>
      </c>
      <c r="T2164" s="1420">
        <f>base[[#This Row],[Data de liquidação]]</f>
        <v>46158.507673611108</v>
      </c>
    </row>
    <row r="2165" spans="2:20" ht="15" customHeight="1">
      <c r="B2165" s="791" t="s">
        <v>2544</v>
      </c>
      <c r="C2165" s="911" t="s">
        <v>3556</v>
      </c>
      <c r="D2165" s="1354">
        <v>46158.511400462965</v>
      </c>
      <c r="E2165" s="884">
        <v>3.82</v>
      </c>
      <c r="F2165" s="408">
        <v>4.4999999999999998E-2</v>
      </c>
      <c r="G2165" s="479">
        <f t="shared" si="34"/>
        <v>4</v>
      </c>
      <c r="H2165" s="474" t="s">
        <v>1666</v>
      </c>
      <c r="I2165" s="477" t="s">
        <v>1759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4" t="str">
        <f>LEFT(base[[#This Row],[Evento / Mercado]],FIND("/",base[[#This Row],[Evento / Mercado]])-2)</f>
        <v>Halmstads BK vs IF Elfsborg</v>
      </c>
      <c r="T2165" s="1420">
        <f>base[[#This Row],[Data de liquidação]]</f>
        <v>46158.511400462965</v>
      </c>
    </row>
    <row r="2166" spans="2:20" ht="15" customHeight="1">
      <c r="B2166" s="791" t="s">
        <v>2543</v>
      </c>
      <c r="C2166" s="911" t="s">
        <v>3556</v>
      </c>
      <c r="D2166" s="1354">
        <v>46158.512685185182</v>
      </c>
      <c r="E2166" s="884">
        <v>17.36</v>
      </c>
      <c r="F2166" s="408">
        <v>4.4999999999999998E-2</v>
      </c>
      <c r="G2166" s="479">
        <f t="shared" si="34"/>
        <v>18.178010471204189</v>
      </c>
      <c r="H2166" s="479" t="s">
        <v>2148</v>
      </c>
      <c r="I2166" s="477" t="s">
        <v>1795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4" t="str">
        <f>LEFT(base[[#This Row],[Evento / Mercado]],FIND("/",base[[#This Row],[Evento / Mercado]])-2)</f>
        <v>DAC Dunajská Streda vs Spartak Trnava</v>
      </c>
      <c r="T2166" s="1420">
        <f>base[[#This Row],[Data de liquidação]]</f>
        <v>46158.512685185182</v>
      </c>
    </row>
    <row r="2167" spans="2:20" ht="15" customHeight="1">
      <c r="B2167" s="791" t="s">
        <v>2565</v>
      </c>
      <c r="C2167" s="911" t="s">
        <v>3556</v>
      </c>
      <c r="D2167" s="1354">
        <v>46158.515416666669</v>
      </c>
      <c r="E2167" s="884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693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1200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4" t="e">
        <f>LEFT(base[[#This Row],[Evento / Mercado]],FIND("/",base[[#This Row],[Evento / Mercado]])-2)</f>
        <v>#VALUE!</v>
      </c>
      <c r="T2167" s="1420">
        <f>base[[#This Row],[Data de liquidação]]</f>
        <v>46158.515416666669</v>
      </c>
    </row>
    <row r="2168" spans="2:20" ht="15" customHeight="1">
      <c r="B2168" s="791" t="s">
        <v>2542</v>
      </c>
      <c r="C2168" s="911" t="s">
        <v>3556</v>
      </c>
      <c r="D2168" s="1354">
        <v>46158.515879629631</v>
      </c>
      <c r="E2168" s="884">
        <v>1.91</v>
      </c>
      <c r="F2168" s="408">
        <v>4.4999999999999998E-2</v>
      </c>
      <c r="G2168" s="479">
        <f t="shared" si="34"/>
        <v>2</v>
      </c>
      <c r="H2168" s="474" t="s">
        <v>1666</v>
      </c>
      <c r="I2168" s="477" t="s">
        <v>2331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4" t="str">
        <f>LEFT(base[[#This Row],[Evento / Mercado]],FIND("/",base[[#This Row],[Evento / Mercado]])-2)</f>
        <v>Borussia Mönchengladbach vs 1899 Hoffenheim</v>
      </c>
      <c r="T2168" s="1420">
        <f>base[[#This Row],[Data de liquidação]]</f>
        <v>46158.515879629631</v>
      </c>
    </row>
    <row r="2169" spans="2:20" ht="15" customHeight="1">
      <c r="B2169" s="791" t="s">
        <v>2541</v>
      </c>
      <c r="C2169" s="911" t="s">
        <v>3556</v>
      </c>
      <c r="D2169" s="1354">
        <v>46158.516388888886</v>
      </c>
      <c r="E2169" s="884">
        <v>-2</v>
      </c>
      <c r="F2169" s="408">
        <v>4.4999999999999998E-2</v>
      </c>
      <c r="G2169" s="479">
        <f t="shared" si="34"/>
        <v>-2</v>
      </c>
      <c r="H2169" s="474" t="s">
        <v>1666</v>
      </c>
      <c r="I2169" s="477" t="s">
        <v>1795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4" t="str">
        <f>LEFT(base[[#This Row],[Evento / Mercado]],FIND("/",base[[#This Row],[Evento / Mercado]])-2)</f>
        <v>FC Porto vs Santa Clara</v>
      </c>
      <c r="T2169" s="1420">
        <f>base[[#This Row],[Data de liquidação]]</f>
        <v>46158.516388888886</v>
      </c>
    </row>
    <row r="2170" spans="2:20" ht="15" customHeight="1">
      <c r="B2170" s="791" t="s">
        <v>2540</v>
      </c>
      <c r="C2170" s="911" t="s">
        <v>3556</v>
      </c>
      <c r="D2170" s="1354">
        <v>46158.516793981478</v>
      </c>
      <c r="E2170" s="884">
        <v>1.64</v>
      </c>
      <c r="F2170" s="408">
        <v>4.4999999999999998E-2</v>
      </c>
      <c r="G2170" s="479">
        <f t="shared" si="34"/>
        <v>1.7172774869109948</v>
      </c>
      <c r="H2170" s="474" t="s">
        <v>1666</v>
      </c>
      <c r="I2170" s="477" t="s">
        <v>1715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4" t="str">
        <f>LEFT(base[[#This Row],[Evento / Mercado]],FIND("/",base[[#This Row],[Evento / Mercado]])-2)</f>
        <v>Werder Bremen vs Borussia Dortmund</v>
      </c>
      <c r="T2170" s="1420">
        <f>base[[#This Row],[Data de liquidação]]</f>
        <v>46158.516793981478</v>
      </c>
    </row>
    <row r="2171" spans="2:20" ht="15" customHeight="1">
      <c r="B2171" s="791" t="s">
        <v>2539</v>
      </c>
      <c r="C2171" s="911" t="s">
        <v>3556</v>
      </c>
      <c r="D2171" s="1354">
        <v>46158.51734953704</v>
      </c>
      <c r="E2171" s="884">
        <v>1.7</v>
      </c>
      <c r="F2171" s="408">
        <v>4.4999999999999998E-2</v>
      </c>
      <c r="G2171" s="479">
        <f t="shared" si="34"/>
        <v>1.7801047120418849</v>
      </c>
      <c r="H2171" s="474" t="s">
        <v>1666</v>
      </c>
      <c r="I2171" s="477" t="s">
        <v>1663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4" t="str">
        <f>LEFT(base[[#This Row],[Evento / Mercado]],FIND("/",base[[#This Row],[Evento / Mercado]])-2)</f>
        <v>Werder Bremen vs Borussia Dortmund</v>
      </c>
      <c r="T2171" s="1420">
        <f>base[[#This Row],[Data de liquidação]]</f>
        <v>46158.51734953704</v>
      </c>
    </row>
    <row r="2172" spans="2:20" ht="15" customHeight="1">
      <c r="B2172" s="791" t="s">
        <v>2538</v>
      </c>
      <c r="C2172" s="911" t="s">
        <v>3556</v>
      </c>
      <c r="D2172" s="1354">
        <v>46158.517650462964</v>
      </c>
      <c r="E2172" s="884">
        <v>0.72</v>
      </c>
      <c r="F2172" s="408">
        <v>4.4999999999999998E-2</v>
      </c>
      <c r="G2172" s="479">
        <f t="shared" si="34"/>
        <v>0.75392670157068065</v>
      </c>
      <c r="H2172" s="474" t="s">
        <v>1666</v>
      </c>
      <c r="I2172" s="477" t="s">
        <v>1718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4" t="str">
        <f>LEFT(base[[#This Row],[Evento / Mercado]],FIND("/",base[[#This Row],[Evento / Mercado]])-2)</f>
        <v>SC Freiburg vs RB Leipzig</v>
      </c>
      <c r="T2172" s="1420">
        <f>base[[#This Row],[Data de liquidação]]</f>
        <v>46158.517650462964</v>
      </c>
    </row>
    <row r="2173" spans="2:20" ht="15" customHeight="1">
      <c r="B2173" s="791" t="s">
        <v>2537</v>
      </c>
      <c r="C2173" s="911" t="s">
        <v>3556</v>
      </c>
      <c r="D2173" s="1354">
        <v>46158.518425925926</v>
      </c>
      <c r="E2173" s="884">
        <v>1.36</v>
      </c>
      <c r="F2173" s="408">
        <v>4.4999999999999998E-2</v>
      </c>
      <c r="G2173" s="479">
        <f t="shared" si="34"/>
        <v>1.424083769633508</v>
      </c>
      <c r="H2173" s="474" t="s">
        <v>1666</v>
      </c>
      <c r="I2173" s="477" t="s">
        <v>1718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4" t="str">
        <f>LEFT(base[[#This Row],[Evento / Mercado]],FIND("/",base[[#This Row],[Evento / Mercado]])-2)</f>
        <v>FC St. Pauli vs VfL Wolfsburg</v>
      </c>
      <c r="T2173" s="1420">
        <f>base[[#This Row],[Data de liquidação]]</f>
        <v>46158.518425925926</v>
      </c>
    </row>
    <row r="2174" spans="2:20" ht="15" customHeight="1">
      <c r="B2174" s="791" t="s">
        <v>2536</v>
      </c>
      <c r="C2174" s="911" t="s">
        <v>3556</v>
      </c>
      <c r="D2174" s="1354">
        <v>46158.538310185184</v>
      </c>
      <c r="E2174" s="884">
        <v>1.43</v>
      </c>
      <c r="F2174" s="408">
        <v>4.4999999999999998E-2</v>
      </c>
      <c r="G2174" s="479">
        <f t="shared" si="34"/>
        <v>1.4973821989528795</v>
      </c>
      <c r="H2174" s="474" t="s">
        <v>1666</v>
      </c>
      <c r="I2174" s="477" t="s">
        <v>2331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4" t="str">
        <f>LEFT(base[[#This Row],[Evento / Mercado]],FIND("/",base[[#This Row],[Evento / Mercado]])-2)</f>
        <v>Fredrikstad vs Hamarkameratene</v>
      </c>
      <c r="T2174" s="1420">
        <f>base[[#This Row],[Data de liquidação]]</f>
        <v>46158.538310185184</v>
      </c>
    </row>
    <row r="2175" spans="2:20" ht="15" customHeight="1">
      <c r="B2175" s="791" t="s">
        <v>2535</v>
      </c>
      <c r="C2175" s="911" t="s">
        <v>3556</v>
      </c>
      <c r="D2175" s="1354">
        <v>46158.538703703707</v>
      </c>
      <c r="E2175" s="884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694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1201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4" t="str">
        <f>LEFT(base[[#This Row],[Evento / Mercado]],FIND("/",base[[#This Row],[Evento / Mercado]])-2)</f>
        <v>Chelsea vs Manchester City</v>
      </c>
      <c r="T2175" s="1420">
        <f>base[[#This Row],[Data de liquidação]]</f>
        <v>46158.538703703707</v>
      </c>
    </row>
    <row r="2176" spans="2:20" ht="15" customHeight="1">
      <c r="B2176" s="791" t="s">
        <v>2534</v>
      </c>
      <c r="C2176" s="911" t="s">
        <v>3556</v>
      </c>
      <c r="D2176" s="1354">
        <v>46158.5393287037</v>
      </c>
      <c r="E2176" s="884">
        <v>2.0699999999999998</v>
      </c>
      <c r="F2176" s="408">
        <v>4.4999999999999998E-2</v>
      </c>
      <c r="G2176" s="479">
        <f t="shared" si="34"/>
        <v>2.1675392670157065</v>
      </c>
      <c r="H2176" s="474" t="s">
        <v>1666</v>
      </c>
      <c r="I2176" s="477" t="s">
        <v>1663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4" t="str">
        <f>LEFT(base[[#This Row],[Evento / Mercado]],FIND("/",base[[#This Row],[Evento / Mercado]])-2)</f>
        <v>Molde vs Kristiansund BK</v>
      </c>
      <c r="T2176" s="1420">
        <f>base[[#This Row],[Data de liquidação]]</f>
        <v>46158.5393287037</v>
      </c>
    </row>
    <row r="2177" spans="2:22" ht="15" customHeight="1">
      <c r="B2177" s="791" t="s">
        <v>2533</v>
      </c>
      <c r="C2177" s="911" t="s">
        <v>3556</v>
      </c>
      <c r="D2177" s="1354">
        <v>46158.540335648147</v>
      </c>
      <c r="E2177" s="884">
        <v>23.416599999999999</v>
      </c>
      <c r="F2177" s="408">
        <v>4.4999999999999998E-2</v>
      </c>
      <c r="G2177" s="479">
        <f t="shared" si="34"/>
        <v>24.52</v>
      </c>
      <c r="H2177" s="479" t="s">
        <v>179</v>
      </c>
      <c r="I2177" s="477" t="s">
        <v>392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2032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4" t="str">
        <f>LEFT(base[[#This Row],[Evento / Mercado]],FIND("/",base[[#This Row],[Evento / Mercado]])-2)</f>
        <v>Viking FK vs Start</v>
      </c>
      <c r="T2177" s="142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91" t="s">
        <v>2533</v>
      </c>
      <c r="C2178" s="911" t="s">
        <v>3556</v>
      </c>
      <c r="D2178" s="1354">
        <v>46158.540335648147</v>
      </c>
      <c r="E2178" s="884">
        <v>11.9375</v>
      </c>
      <c r="F2178" s="408">
        <v>4.4999999999999998E-2</v>
      </c>
      <c r="G2178" s="479">
        <f t="shared" si="34"/>
        <v>12.5</v>
      </c>
      <c r="H2178" s="479" t="s">
        <v>1555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4" t="str">
        <f>LEFT(base[[#This Row],[Evento / Mercado]],FIND("/",base[[#This Row],[Evento / Mercado]])-2)</f>
        <v>Viking FK vs Start</v>
      </c>
      <c r="T2178" s="142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91" t="s">
        <v>2532</v>
      </c>
      <c r="C2179" s="911" t="s">
        <v>3556</v>
      </c>
      <c r="D2179" s="1354">
        <v>46158.549490740741</v>
      </c>
      <c r="E2179" s="884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1666</v>
      </c>
      <c r="I2179" s="477" t="s">
        <v>2331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4" t="str">
        <f>LEFT(base[[#This Row],[Evento / Mercado]],FIND("/",base[[#This Row],[Evento / Mercado]])-2)</f>
        <v>Cultural Leonesa vs SD Eibar</v>
      </c>
      <c r="T2179" s="1420">
        <f>base[[#This Row],[Data de liquidação]]</f>
        <v>46158.549490740741</v>
      </c>
    </row>
    <row r="2180" spans="2:22" ht="15" customHeight="1">
      <c r="B2180" s="791" t="s">
        <v>2531</v>
      </c>
      <c r="C2180" s="911" t="s">
        <v>3556</v>
      </c>
      <c r="D2180" s="1354">
        <v>46158.557083333333</v>
      </c>
      <c r="E2180" s="884">
        <v>11.46</v>
      </c>
      <c r="F2180" s="408">
        <v>4.4999999999999998E-2</v>
      </c>
      <c r="G2180" s="479">
        <f t="shared" si="35"/>
        <v>12.000000000000002</v>
      </c>
      <c r="H2180" s="479" t="s">
        <v>2148</v>
      </c>
      <c r="I2180" s="477" t="s">
        <v>1795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4" t="str">
        <f>LEFT(base[[#This Row],[Evento / Mercado]],FIND("/",base[[#This Row],[Evento / Mercado]])-2)</f>
        <v>Bod</v>
      </c>
      <c r="T2180" s="1420">
        <f>base[[#This Row],[Data de liquidação]]</f>
        <v>46158.557083333333</v>
      </c>
    </row>
    <row r="2181" spans="2:22" ht="15" customHeight="1">
      <c r="B2181" s="791" t="s">
        <v>2530</v>
      </c>
      <c r="C2181" s="911" t="s">
        <v>3556</v>
      </c>
      <c r="D2181" s="1354">
        <v>46158.575208333335</v>
      </c>
      <c r="E2181" s="884">
        <v>2.65</v>
      </c>
      <c r="F2181" s="408">
        <v>4.4999999999999998E-2</v>
      </c>
      <c r="G2181" s="479">
        <f t="shared" si="35"/>
        <v>2.7748691099476441</v>
      </c>
      <c r="H2181" s="474" t="s">
        <v>1666</v>
      </c>
      <c r="I2181" s="477" t="s">
        <v>1715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4" t="str">
        <f>LEFT(base[[#This Row],[Evento / Mercado]],FIND("/",base[[#This Row],[Evento / Mercado]])-2)</f>
        <v>1.FC Slovácko vs FK Mladá Boleslav</v>
      </c>
      <c r="T2181" s="1420">
        <f>base[[#This Row],[Data de liquidação]]</f>
        <v>46158.575208333335</v>
      </c>
    </row>
    <row r="2182" spans="2:22" ht="15" customHeight="1">
      <c r="B2182" s="791" t="s">
        <v>2529</v>
      </c>
      <c r="C2182" s="911" t="s">
        <v>3556</v>
      </c>
      <c r="D2182" s="1354">
        <v>46158.575567129628</v>
      </c>
      <c r="E2182" s="884">
        <v>11.94</v>
      </c>
      <c r="F2182" s="408">
        <v>4.4999999999999998E-2</v>
      </c>
      <c r="G2182" s="479">
        <f t="shared" si="35"/>
        <v>12.502617801047121</v>
      </c>
      <c r="H2182" s="479" t="s">
        <v>2148</v>
      </c>
      <c r="I2182" s="477" t="s">
        <v>2149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4" t="str">
        <f>LEFT(base[[#This Row],[Evento / Mercado]],FIND("/",base[[#This Row],[Evento / Mercado]])-2)</f>
        <v>Ústí nad Labem vs SK Slavia Praha B</v>
      </c>
      <c r="T2182" s="1420">
        <f>base[[#This Row],[Data de liquidação]]</f>
        <v>46158.575567129628</v>
      </c>
    </row>
    <row r="2183" spans="2:22" ht="15" customHeight="1">
      <c r="B2183" s="791" t="s">
        <v>2528</v>
      </c>
      <c r="C2183" s="911" t="s">
        <v>3556</v>
      </c>
      <c r="D2183" s="1354">
        <v>46158.577106481483</v>
      </c>
      <c r="E2183" s="884">
        <v>-50</v>
      </c>
      <c r="F2183" s="408">
        <v>4.4999999999999998E-2</v>
      </c>
      <c r="G2183" s="479">
        <f t="shared" si="35"/>
        <v>-50</v>
      </c>
      <c r="H2183" s="479" t="s">
        <v>2148</v>
      </c>
      <c r="I2183" s="477" t="s">
        <v>2151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4" t="str">
        <f>LEFT(base[[#This Row],[Evento / Mercado]],FIND("/",base[[#This Row],[Evento / Mercado]])-2)</f>
        <v>MŠK Žilina vs FK Železiarne Podbrezová</v>
      </c>
      <c r="T2183" s="1420">
        <f>base[[#This Row],[Data de liquidação]]</f>
        <v>46158.577106481483</v>
      </c>
    </row>
    <row r="2184" spans="2:22" ht="15" customHeight="1">
      <c r="B2184" s="791" t="s">
        <v>2527</v>
      </c>
      <c r="C2184" s="911" t="s">
        <v>3556</v>
      </c>
      <c r="D2184" s="1354">
        <v>46158.580381944441</v>
      </c>
      <c r="E2184" s="884">
        <v>2.0699999999999998</v>
      </c>
      <c r="F2184" s="408">
        <v>4.4999999999999998E-2</v>
      </c>
      <c r="G2184" s="479">
        <f t="shared" si="35"/>
        <v>2.1675392670157065</v>
      </c>
      <c r="H2184" s="474" t="s">
        <v>1666</v>
      </c>
      <c r="I2184" s="477" t="s">
        <v>1715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4" t="str">
        <f>LEFT(base[[#This Row],[Evento / Mercado]],FIND("/",base[[#This Row],[Evento / Mercado]])-2)</f>
        <v>SCR Altach vs SV Guntamatic Ried</v>
      </c>
      <c r="T2184" s="1420">
        <f>base[[#This Row],[Data de liquidação]]</f>
        <v>46158.580381944441</v>
      </c>
    </row>
    <row r="2185" spans="2:22" ht="15" customHeight="1">
      <c r="B2185" s="791" t="s">
        <v>2526</v>
      </c>
      <c r="C2185" s="911" t="s">
        <v>3556</v>
      </c>
      <c r="D2185" s="1354">
        <v>46158.588530092595</v>
      </c>
      <c r="E2185" s="884">
        <v>1.57</v>
      </c>
      <c r="F2185" s="408">
        <v>4.4999999999999998E-2</v>
      </c>
      <c r="G2185" s="479">
        <f t="shared" si="35"/>
        <v>1.6439790575916231</v>
      </c>
      <c r="H2185" s="474" t="s">
        <v>1666</v>
      </c>
      <c r="I2185" s="477" t="s">
        <v>1795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4" t="str">
        <f>LEFT(base[[#This Row],[Evento / Mercado]],FIND("/",base[[#This Row],[Evento / Mercado]])-2)</f>
        <v>Racing Santander vs Real Valladolid</v>
      </c>
      <c r="T2185" s="1420">
        <f>base[[#This Row],[Data de liquidação]]</f>
        <v>46158.588530092595</v>
      </c>
    </row>
    <row r="2186" spans="2:22" ht="15" customHeight="1">
      <c r="B2186" s="791" t="s">
        <v>2525</v>
      </c>
      <c r="C2186" s="911" t="s">
        <v>3556</v>
      </c>
      <c r="D2186" s="1354">
        <v>46158.594641203701</v>
      </c>
      <c r="E2186" s="884">
        <v>3.82</v>
      </c>
      <c r="F2186" s="408">
        <v>4.4999999999999998E-2</v>
      </c>
      <c r="G2186" s="479">
        <f t="shared" si="35"/>
        <v>4</v>
      </c>
      <c r="H2186" s="474" t="s">
        <v>1666</v>
      </c>
      <c r="I2186" s="477" t="s">
        <v>1558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4" t="str">
        <f>LEFT(base[[#This Row],[Evento / Mercado]],FIND("/",base[[#This Row],[Evento / Mercado]])-2)</f>
        <v>Racing Santander vs Real Valladolid</v>
      </c>
      <c r="T2186" s="1420">
        <f>base[[#This Row],[Data de liquidação]]</f>
        <v>46158.594641203701</v>
      </c>
    </row>
    <row r="2187" spans="2:22" ht="15" customHeight="1">
      <c r="B2187" s="791" t="s">
        <v>2524</v>
      </c>
      <c r="C2187" s="911" t="s">
        <v>3556</v>
      </c>
      <c r="D2187" s="1354">
        <v>46158.60083333333</v>
      </c>
      <c r="E2187" s="884">
        <v>-3.86</v>
      </c>
      <c r="F2187" s="408">
        <v>4.4999999999999998E-2</v>
      </c>
      <c r="G2187" s="479">
        <f t="shared" si="35"/>
        <v>-3.86</v>
      </c>
      <c r="H2187" s="474" t="s">
        <v>1666</v>
      </c>
      <c r="I2187" s="477" t="s">
        <v>1558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4" t="str">
        <f>LEFT(base[[#This Row],[Evento / Mercado]],FIND("/",base[[#This Row],[Evento / Mercado]])-2)</f>
        <v>Al-Hilal Riyadh vs Neom SC</v>
      </c>
      <c r="T2187" s="1420">
        <f>base[[#This Row],[Data de liquidação]]</f>
        <v>46158.60083333333</v>
      </c>
    </row>
    <row r="2188" spans="2:22" ht="15" customHeight="1">
      <c r="B2188" s="791" t="s">
        <v>2523</v>
      </c>
      <c r="C2188" s="911" t="s">
        <v>3556</v>
      </c>
      <c r="D2188" s="1354">
        <v>46158.603252314817</v>
      </c>
      <c r="E2188" s="884">
        <v>-2.13</v>
      </c>
      <c r="F2188" s="408">
        <v>4.4999999999999998E-2</v>
      </c>
      <c r="G2188" s="479">
        <f t="shared" si="35"/>
        <v>-2.13</v>
      </c>
      <c r="H2188" s="474" t="s">
        <v>1666</v>
      </c>
      <c r="I2188" s="477" t="s">
        <v>1558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4" t="str">
        <f>LEFT(base[[#This Row],[Evento / Mercado]],FIND("/",base[[#This Row],[Evento / Mercado]])-2)</f>
        <v>Bod</v>
      </c>
      <c r="T2188" s="1420">
        <f>base[[#This Row],[Data de liquidação]]</f>
        <v>46158.603252314817</v>
      </c>
    </row>
    <row r="2189" spans="2:22" ht="15" customHeight="1">
      <c r="B2189" s="791" t="s">
        <v>2522</v>
      </c>
      <c r="C2189" s="911" t="s">
        <v>3556</v>
      </c>
      <c r="D2189" s="1354">
        <v>46158.603865740741</v>
      </c>
      <c r="E2189" s="884">
        <v>3.58</v>
      </c>
      <c r="F2189" s="408">
        <v>4.4999999999999998E-2</v>
      </c>
      <c r="G2189" s="479">
        <f t="shared" si="35"/>
        <v>3.74869109947644</v>
      </c>
      <c r="H2189" s="474" t="s">
        <v>1666</v>
      </c>
      <c r="I2189" s="477" t="s">
        <v>1717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4" t="str">
        <f>LEFT(base[[#This Row],[Evento / Mercado]],FIND("/",base[[#This Row],[Evento / Mercado]])-2)</f>
        <v>Al-Jazira Club vs Bani Yas FC</v>
      </c>
      <c r="T2189" s="1420">
        <f>base[[#This Row],[Data de liquidação]]</f>
        <v>46158.603865740741</v>
      </c>
    </row>
    <row r="2190" spans="2:22" ht="15" customHeight="1">
      <c r="B2190" s="791" t="s">
        <v>2521</v>
      </c>
      <c r="C2190" s="911" t="s">
        <v>3556</v>
      </c>
      <c r="D2190" s="1354">
        <v>46158.612175925926</v>
      </c>
      <c r="E2190" s="884">
        <v>1.6</v>
      </c>
      <c r="F2190" s="408">
        <v>4.4999999999999998E-2</v>
      </c>
      <c r="G2190" s="479">
        <f t="shared" si="35"/>
        <v>1.6753926701570683</v>
      </c>
      <c r="H2190" s="474" t="s">
        <v>1666</v>
      </c>
      <c r="I2190" s="477" t="s">
        <v>1663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4" t="str">
        <f>LEFT(base[[#This Row],[Evento / Mercado]],FIND("/",base[[#This Row],[Evento / Mercado]])-2)</f>
        <v>Bod</v>
      </c>
      <c r="T2190" s="1420">
        <f>base[[#This Row],[Data de liquidação]]</f>
        <v>46158.612175925926</v>
      </c>
    </row>
    <row r="2191" spans="2:22" ht="15" customHeight="1">
      <c r="B2191" s="791" t="s">
        <v>2520</v>
      </c>
      <c r="C2191" s="911" t="s">
        <v>3556</v>
      </c>
      <c r="D2191" s="1354">
        <v>46158.62027777778</v>
      </c>
      <c r="E2191" s="884">
        <v>14.05</v>
      </c>
      <c r="F2191" s="408">
        <v>4.4999999999999998E-2</v>
      </c>
      <c r="G2191" s="479">
        <f t="shared" si="35"/>
        <v>14.712041884816756</v>
      </c>
      <c r="H2191" s="479" t="s">
        <v>2148</v>
      </c>
      <c r="I2191" s="477" t="s">
        <v>2149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4" t="str">
        <f>LEFT(base[[#This Row],[Evento / Mercado]],FIND("/",base[[#This Row],[Evento / Mercado]])-2)</f>
        <v>Zrinjski Mostar vs NK Posušje</v>
      </c>
      <c r="T2191" s="1420">
        <f>base[[#This Row],[Data de liquidação]]</f>
        <v>46158.62027777778</v>
      </c>
    </row>
    <row r="2192" spans="2:22" ht="15" customHeight="1">
      <c r="B2192" s="791" t="s">
        <v>2519</v>
      </c>
      <c r="C2192" s="911" t="s">
        <v>3556</v>
      </c>
      <c r="D2192" s="1354">
        <v>46158.621215277781</v>
      </c>
      <c r="E2192" s="884">
        <v>7.24</v>
      </c>
      <c r="F2192" s="408">
        <v>4.4999999999999998E-2</v>
      </c>
      <c r="G2192" s="479">
        <f t="shared" si="35"/>
        <v>7.5811518324607334</v>
      </c>
      <c r="H2192" s="479" t="s">
        <v>2148</v>
      </c>
      <c r="I2192" s="477" t="s">
        <v>2149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4" t="str">
        <f>LEFT(base[[#This Row],[Evento / Mercado]],FIND("/",base[[#This Row],[Evento / Mercado]])-2)</f>
        <v>Asteras Tripolis vs Kifisia FC</v>
      </c>
      <c r="T2192" s="1420">
        <f>base[[#This Row],[Data de liquidação]]</f>
        <v>46158.621215277781</v>
      </c>
    </row>
    <row r="2193" spans="2:22" ht="15" customHeight="1">
      <c r="B2193" s="791" t="s">
        <v>2518</v>
      </c>
      <c r="C2193" s="911" t="s">
        <v>3556</v>
      </c>
      <c r="D2193" s="1354">
        <v>46158.621423611112</v>
      </c>
      <c r="E2193" s="884">
        <v>9.9499999999999993</v>
      </c>
      <c r="F2193" s="408">
        <v>4.4999999999999998E-2</v>
      </c>
      <c r="G2193" s="479">
        <f t="shared" si="35"/>
        <v>10.418848167539267</v>
      </c>
      <c r="H2193" s="479" t="s">
        <v>2148</v>
      </c>
      <c r="I2193" s="477" t="s">
        <v>2149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4" t="str">
        <f>LEFT(base[[#This Row],[Evento / Mercado]],FIND("/",base[[#This Row],[Evento / Mercado]])-2)</f>
        <v>AC Oulu vs TPS</v>
      </c>
      <c r="T2193" s="1420">
        <f>base[[#This Row],[Data de liquidação]]</f>
        <v>46158.621423611112</v>
      </c>
    </row>
    <row r="2194" spans="2:22" ht="15" customHeight="1">
      <c r="B2194" s="791" t="s">
        <v>2517</v>
      </c>
      <c r="C2194" s="911" t="s">
        <v>3556</v>
      </c>
      <c r="D2194" s="1354">
        <v>46158.63244212963</v>
      </c>
      <c r="E2194" s="884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4" t="str">
        <f>LEFT(base[[#This Row],[Evento / Mercado]],FIND("/",base[[#This Row],[Evento / Mercado]])-2)</f>
        <v>UD Almería vs UD Las Palmas</v>
      </c>
      <c r="T2194" s="1420">
        <f>base[[#This Row],[Data de liquidação]]</f>
        <v>46158.63244212963</v>
      </c>
    </row>
    <row r="2195" spans="2:22" ht="15" customHeight="1">
      <c r="B2195" s="791" t="s">
        <v>2516</v>
      </c>
      <c r="C2195" s="911" t="s">
        <v>3556</v>
      </c>
      <c r="D2195" s="1354">
        <v>46158.632465277777</v>
      </c>
      <c r="E2195" s="884">
        <v>26.883249999999997</v>
      </c>
      <c r="F2195" s="408">
        <v>4.4999999999999998E-2</v>
      </c>
      <c r="G2195" s="479">
        <f t="shared" si="35"/>
        <v>28.15</v>
      </c>
      <c r="H2195" s="479" t="s">
        <v>179</v>
      </c>
      <c r="I2195" s="477" t="s">
        <v>392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1211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4" t="str">
        <f>LEFT(base[[#This Row],[Evento / Mercado]],FIND("/",base[[#This Row],[Evento / Mercado]])-2)</f>
        <v>Al-Hilal Riyadh vs Neom SC</v>
      </c>
      <c r="T2195" s="142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91" t="s">
        <v>2516</v>
      </c>
      <c r="C2196" s="911" t="s">
        <v>3556</v>
      </c>
      <c r="D2196" s="1354">
        <v>46158.632465277777</v>
      </c>
      <c r="E2196" s="884">
        <v>14.04805</v>
      </c>
      <c r="F2196" s="408">
        <v>4.4999999999999998E-2</v>
      </c>
      <c r="G2196" s="479">
        <f t="shared" si="35"/>
        <v>14.71</v>
      </c>
      <c r="H2196" s="479" t="s">
        <v>1555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4" t="str">
        <f>LEFT(base[[#This Row],[Evento / Mercado]],FIND("/",base[[#This Row],[Evento / Mercado]])-2)</f>
        <v>Al-Hilal Riyadh vs Neom SC</v>
      </c>
      <c r="T2196" s="142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91" t="s">
        <v>2515</v>
      </c>
      <c r="C2197" s="911" t="s">
        <v>3556</v>
      </c>
      <c r="D2197" s="1354">
        <v>46158.639120370368</v>
      </c>
      <c r="E2197" s="884">
        <v>3.82</v>
      </c>
      <c r="F2197" s="408">
        <v>4.4999999999999998E-2</v>
      </c>
      <c r="G2197" s="479">
        <f t="shared" si="35"/>
        <v>4</v>
      </c>
      <c r="H2197" s="474" t="s">
        <v>1666</v>
      </c>
      <c r="I2197" s="477" t="s">
        <v>1558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4" t="str">
        <f>LEFT(base[[#This Row],[Evento / Mercado]],FIND("/",base[[#This Row],[Evento / Mercado]])-2)</f>
        <v>Casa Pia vs Rio Ave</v>
      </c>
      <c r="T2197" s="1420">
        <f>base[[#This Row],[Data de liquidação]]</f>
        <v>46158.639120370368</v>
      </c>
    </row>
    <row r="2198" spans="2:22" ht="15" customHeight="1">
      <c r="B2198" s="791" t="s">
        <v>2514</v>
      </c>
      <c r="C2198" s="911" t="s">
        <v>3556</v>
      </c>
      <c r="D2198" s="1354">
        <v>46158.641215277778</v>
      </c>
      <c r="E2198" s="884">
        <v>0.96</v>
      </c>
      <c r="F2198" s="408">
        <v>4.4999999999999998E-2</v>
      </c>
      <c r="G2198" s="479">
        <f t="shared" si="35"/>
        <v>1.0052356020942408</v>
      </c>
      <c r="H2198" s="474" t="s">
        <v>1666</v>
      </c>
      <c r="I2198" s="477" t="s">
        <v>2301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4" t="str">
        <f>LEFT(base[[#This Row],[Evento / Mercado]],FIND("/",base[[#This Row],[Evento / Mercado]])-2)</f>
        <v>Granada CF vs Burgos CF</v>
      </c>
      <c r="T2198" s="1420">
        <f>base[[#This Row],[Data de liquidação]]</f>
        <v>46158.641215277778</v>
      </c>
    </row>
    <row r="2199" spans="2:22" ht="15" customHeight="1">
      <c r="B2199" s="791" t="s">
        <v>2513</v>
      </c>
      <c r="C2199" s="911" t="s">
        <v>3556</v>
      </c>
      <c r="D2199" s="1354">
        <v>46158.644837962966</v>
      </c>
      <c r="E2199" s="884">
        <v>-49.94</v>
      </c>
      <c r="F2199" s="408">
        <v>4.4999999999999998E-2</v>
      </c>
      <c r="G2199" s="479">
        <f t="shared" si="35"/>
        <v>-49.94</v>
      </c>
      <c r="H2199" s="474" t="s">
        <v>1666</v>
      </c>
      <c r="I2199" s="477" t="s">
        <v>1759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4" t="str">
        <f>LEFT(base[[#This Row],[Evento / Mercado]],FIND("/",base[[#This Row],[Evento / Mercado]])-2)</f>
        <v>UD Almería vs UD Las Palmas</v>
      </c>
      <c r="T2199" s="1420">
        <f>base[[#This Row],[Data de liquidação]]</f>
        <v>46158.644837962966</v>
      </c>
    </row>
    <row r="2200" spans="2:22" ht="15" customHeight="1">
      <c r="B2200" s="791" t="s">
        <v>2513</v>
      </c>
      <c r="C2200" s="911" t="s">
        <v>3556</v>
      </c>
      <c r="D2200" s="1354">
        <v>46158.644837962966</v>
      </c>
      <c r="E2200" s="884">
        <v>-2</v>
      </c>
      <c r="F2200" s="408">
        <v>4.4999999999999998E-2</v>
      </c>
      <c r="G2200" s="479">
        <f t="shared" si="35"/>
        <v>-2</v>
      </c>
      <c r="H2200" s="474" t="s">
        <v>1666</v>
      </c>
      <c r="I2200" s="477" t="s">
        <v>1758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4" t="str">
        <f>LEFT(base[[#This Row],[Evento / Mercado]],FIND("/",base[[#This Row],[Evento / Mercado]])-2)</f>
        <v>UD Almería vs UD Las Palmas</v>
      </c>
      <c r="T2200" s="1420">
        <f>base[[#This Row],[Data de liquidação]]</f>
        <v>46158.644837962966</v>
      </c>
    </row>
    <row r="2201" spans="2:22" ht="15" customHeight="1">
      <c r="B2201" s="791" t="s">
        <v>2512</v>
      </c>
      <c r="C2201" s="911" t="s">
        <v>3556</v>
      </c>
      <c r="D2201" s="1354">
        <v>46158.650925925926</v>
      </c>
      <c r="E2201" s="884">
        <v>1.04</v>
      </c>
      <c r="F2201" s="408">
        <v>4.4999999999999998E-2</v>
      </c>
      <c r="G2201" s="479">
        <f t="shared" si="35"/>
        <v>1.0890052356020943</v>
      </c>
      <c r="H2201" s="474" t="s">
        <v>1666</v>
      </c>
      <c r="I2201" s="477" t="s">
        <v>2301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4" t="str">
        <f>LEFT(base[[#This Row],[Evento / Mercado]],FIND("/",base[[#This Row],[Evento / Mercado]])-2)</f>
        <v>Nacional da Madeira vs Vitoria de Guimaraes</v>
      </c>
      <c r="T2201" s="1420">
        <f>base[[#This Row],[Data de liquidação]]</f>
        <v>46158.650925925926</v>
      </c>
    </row>
    <row r="2202" spans="2:22" ht="15" customHeight="1">
      <c r="B2202" s="791" t="s">
        <v>2511</v>
      </c>
      <c r="C2202" s="911" t="s">
        <v>3556</v>
      </c>
      <c r="D2202" s="1354">
        <v>46158.659143518518</v>
      </c>
      <c r="E2202" s="884">
        <v>-3.08</v>
      </c>
      <c r="F2202" s="408">
        <v>4.4999999999999998E-2</v>
      </c>
      <c r="G2202" s="479">
        <f t="shared" si="35"/>
        <v>-3.08</v>
      </c>
      <c r="H2202" s="474" t="s">
        <v>1666</v>
      </c>
      <c r="I2202" s="477" t="s">
        <v>1558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4" t="str">
        <f>LEFT(base[[#This Row],[Evento / Mercado]],FIND("/",base[[#This Row],[Evento / Mercado]])-2)</f>
        <v>Samsunspor vs Göztepe</v>
      </c>
      <c r="T2202" s="1420">
        <f>base[[#This Row],[Data de liquidação]]</f>
        <v>46158.659143518518</v>
      </c>
    </row>
    <row r="2203" spans="2:22" ht="15" customHeight="1">
      <c r="B2203" s="791" t="s">
        <v>2510</v>
      </c>
      <c r="C2203" s="911" t="s">
        <v>3556</v>
      </c>
      <c r="D2203" s="1354">
        <v>46158.664988425924</v>
      </c>
      <c r="E2203" s="884">
        <v>5.42</v>
      </c>
      <c r="F2203" s="408">
        <v>4.4999999999999998E-2</v>
      </c>
      <c r="G2203" s="479">
        <f t="shared" si="35"/>
        <v>5.6753926701570681</v>
      </c>
      <c r="H2203" s="474" t="s">
        <v>1666</v>
      </c>
      <c r="I2203" s="477" t="s">
        <v>1759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4" t="str">
        <f>LEFT(base[[#This Row],[Evento / Mercado]],FIND("/",base[[#This Row],[Evento / Mercado]])-2)</f>
        <v>Samsunspor vs Göztepe</v>
      </c>
      <c r="T2203" s="1420">
        <f>base[[#This Row],[Data de liquidação]]</f>
        <v>46158.664988425924</v>
      </c>
    </row>
    <row r="2204" spans="2:22" ht="15" customHeight="1">
      <c r="B2204" s="791" t="s">
        <v>2509</v>
      </c>
      <c r="C2204" s="911" t="s">
        <v>3556</v>
      </c>
      <c r="D2204" s="1354">
        <v>46158.668229166666</v>
      </c>
      <c r="E2204" s="884">
        <v>1.37</v>
      </c>
      <c r="F2204" s="408">
        <v>4.4999999999999998E-2</v>
      </c>
      <c r="G2204" s="479">
        <f t="shared" si="35"/>
        <v>1.4345549738219896</v>
      </c>
      <c r="H2204" s="474" t="s">
        <v>1666</v>
      </c>
      <c r="I2204" s="477" t="s">
        <v>1759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4" t="str">
        <f>LEFT(base[[#This Row],[Evento / Mercado]],FIND("/",base[[#This Row],[Evento / Mercado]])-2)</f>
        <v>Nacional da Madeira vs Vitoria de Guimaraes</v>
      </c>
      <c r="T2204" s="1420">
        <f>base[[#This Row],[Data de liquidação]]</f>
        <v>46158.668229166666</v>
      </c>
    </row>
    <row r="2205" spans="2:22" ht="15" customHeight="1">
      <c r="B2205" s="791" t="s">
        <v>2508</v>
      </c>
      <c r="C2205" s="911" t="s">
        <v>3556</v>
      </c>
      <c r="D2205" s="1354">
        <v>46158.682337962964</v>
      </c>
      <c r="E2205" s="884">
        <v>-3.6</v>
      </c>
      <c r="F2205" s="408">
        <v>4.4999999999999998E-2</v>
      </c>
      <c r="G2205" s="479">
        <f t="shared" si="35"/>
        <v>-3.6</v>
      </c>
      <c r="H2205" s="474" t="s">
        <v>1666</v>
      </c>
      <c r="I2205" s="477" t="s">
        <v>1558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4" t="str">
        <f>LEFT(base[[#This Row],[Evento / Mercado]],FIND("/",base[[#This Row],[Evento / Mercado]])-2)</f>
        <v>FBC Melgar vs Sport Huancayo</v>
      </c>
      <c r="T2205" s="1420">
        <f>base[[#This Row],[Data de liquidação]]</f>
        <v>46158.682337962964</v>
      </c>
    </row>
    <row r="2206" spans="2:22" ht="15" customHeight="1">
      <c r="B2206" s="791" t="s">
        <v>2507</v>
      </c>
      <c r="C2206" s="911" t="s">
        <v>3556</v>
      </c>
      <c r="D2206" s="1354">
        <v>46158.698217592595</v>
      </c>
      <c r="E2206" s="884">
        <v>-5</v>
      </c>
      <c r="F2206" s="408">
        <v>4.4999999999999998E-2</v>
      </c>
      <c r="G2206" s="479">
        <f t="shared" si="35"/>
        <v>-5</v>
      </c>
      <c r="H2206" s="474" t="s">
        <v>1666</v>
      </c>
      <c r="I2206" s="477" t="s">
        <v>1665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4" t="str">
        <f>LEFT(base[[#This Row],[Evento / Mercado]],FIND("/",base[[#This Row],[Evento / Mercado]])-2)</f>
        <v>Universitario de Vinto vs Club Bolívar</v>
      </c>
      <c r="T2206" s="1420">
        <f>base[[#This Row],[Data de liquidação]]</f>
        <v>46158.698217592595</v>
      </c>
    </row>
    <row r="2207" spans="2:22" ht="15" customHeight="1">
      <c r="B2207" s="791" t="s">
        <v>2506</v>
      </c>
      <c r="C2207" s="911" t="s">
        <v>3556</v>
      </c>
      <c r="D2207" s="1354">
        <v>46158.703587962962</v>
      </c>
      <c r="E2207" s="884">
        <v>16.190000000000001</v>
      </c>
      <c r="F2207" s="408">
        <v>4.4999999999999998E-2</v>
      </c>
      <c r="G2207" s="479">
        <f t="shared" si="35"/>
        <v>16.952879581151834</v>
      </c>
      <c r="H2207" s="479" t="s">
        <v>2148</v>
      </c>
      <c r="I2207" s="477" t="s">
        <v>2149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4" t="str">
        <f>LEFT(base[[#This Row],[Evento / Mercado]],FIND("/",base[[#This Row],[Evento / Mercado]])-2)</f>
        <v>Dinamo Bucuresti vs CFR Cluj</v>
      </c>
      <c r="T2207" s="1420">
        <f>base[[#This Row],[Data de liquidação]]</f>
        <v>46158.703587962962</v>
      </c>
    </row>
    <row r="2208" spans="2:22" ht="15" customHeight="1">
      <c r="B2208" s="791" t="s">
        <v>2505</v>
      </c>
      <c r="C2208" s="911" t="s">
        <v>3556</v>
      </c>
      <c r="D2208" s="1354">
        <v>46158.703611111108</v>
      </c>
      <c r="E2208" s="884">
        <v>-2</v>
      </c>
      <c r="F2208" s="408">
        <v>4.4999999999999998E-2</v>
      </c>
      <c r="G2208" s="479">
        <f t="shared" si="35"/>
        <v>-2</v>
      </c>
      <c r="H2208" s="474" t="s">
        <v>1666</v>
      </c>
      <c r="I2208" s="477" t="s">
        <v>1760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4" t="str">
        <f>LEFT(base[[#This Row],[Evento / Mercado]],FIND("/",base[[#This Row],[Evento / Mercado]])-2)</f>
        <v>Dinamo Bucuresti vs CFR Cluj</v>
      </c>
      <c r="T2208" s="1420">
        <f>base[[#This Row],[Data de liquidação]]</f>
        <v>46158.703611111108</v>
      </c>
    </row>
    <row r="2209" spans="2:22" ht="15" customHeight="1">
      <c r="B2209" s="791" t="s">
        <v>2504</v>
      </c>
      <c r="C2209" s="911" t="s">
        <v>3556</v>
      </c>
      <c r="D2209" s="1354">
        <v>46158.704502314817</v>
      </c>
      <c r="E2209" s="884">
        <v>1.43</v>
      </c>
      <c r="F2209" s="408">
        <v>4.4999999999999998E-2</v>
      </c>
      <c r="G2209" s="479">
        <f t="shared" si="35"/>
        <v>1.4973821989528795</v>
      </c>
      <c r="H2209" s="474" t="s">
        <v>1666</v>
      </c>
      <c r="I2209" s="477" t="s">
        <v>2331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4" t="str">
        <f>LEFT(base[[#This Row],[Evento / Mercado]],FIND("/",base[[#This Row],[Evento / Mercado]])-2)</f>
        <v>FBC Melgar vs Sport Huancayo</v>
      </c>
      <c r="T2209" s="1420">
        <f>base[[#This Row],[Data de liquidação]]</f>
        <v>46158.704502314817</v>
      </c>
    </row>
    <row r="2210" spans="2:22" ht="15" customHeight="1">
      <c r="B2210" s="791" t="s">
        <v>2503</v>
      </c>
      <c r="C2210" s="911" t="s">
        <v>3556</v>
      </c>
      <c r="D2210" s="1354">
        <v>46158.704548611109</v>
      </c>
      <c r="E2210" s="884">
        <v>2.04</v>
      </c>
      <c r="F2210" s="408">
        <v>4.4999999999999998E-2</v>
      </c>
      <c r="G2210" s="479">
        <f t="shared" si="35"/>
        <v>2.1361256544502618</v>
      </c>
      <c r="H2210" s="474" t="s">
        <v>1666</v>
      </c>
      <c r="I2210" s="477" t="s">
        <v>1717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1211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4" t="str">
        <f>LEFT(base[[#This Row],[Evento / Mercado]],FIND("/",base[[#This Row],[Evento / Mercado]])-2)</f>
        <v>Al Ahli Jeddah vs Al-Kholood Club</v>
      </c>
      <c r="T2210" s="1420">
        <f>base[[#This Row],[Data de liquidação]]</f>
        <v>46158.704548611109</v>
      </c>
    </row>
    <row r="2211" spans="2:22" ht="15" customHeight="1">
      <c r="B2211" s="791" t="s">
        <v>2502</v>
      </c>
      <c r="C2211" s="911" t="s">
        <v>3556</v>
      </c>
      <c r="D2211" s="1354">
        <v>46158.70484953704</v>
      </c>
      <c r="E2211" s="884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628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1211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4" t="str">
        <f>LEFT(base[[#This Row],[Evento / Mercado]],FIND("/",base[[#This Row],[Evento / Mercado]])-2)</f>
        <v>Al-Hilal Riyadh vs Neom SC</v>
      </c>
      <c r="T2211" s="1420">
        <f>base[[#This Row],[Data de liquidação]]</f>
        <v>46158.70484953704</v>
      </c>
    </row>
    <row r="2212" spans="2:22" ht="15" customHeight="1">
      <c r="B2212" s="791" t="s">
        <v>2501</v>
      </c>
      <c r="C2212" s="911" t="s">
        <v>3556</v>
      </c>
      <c r="D2212" s="1354">
        <v>46158.705208333333</v>
      </c>
      <c r="E2212" s="884">
        <v>3.68</v>
      </c>
      <c r="F2212" s="408">
        <v>4.4999999999999998E-2</v>
      </c>
      <c r="G2212" s="479">
        <f t="shared" si="35"/>
        <v>3.8534031413612571</v>
      </c>
      <c r="H2212" s="474" t="s">
        <v>1666</v>
      </c>
      <c r="I2212" s="477" t="s">
        <v>1759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4" t="str">
        <f>LEFT(base[[#This Row],[Evento / Mercado]],FIND("/",base[[#This Row],[Evento / Mercado]])-2)</f>
        <v>Willem II vs Almere City</v>
      </c>
      <c r="T2212" s="1420">
        <f>base[[#This Row],[Data de liquidação]]</f>
        <v>46158.705208333333</v>
      </c>
    </row>
    <row r="2213" spans="2:22" ht="15" customHeight="1">
      <c r="B2213" s="791" t="s">
        <v>2500</v>
      </c>
      <c r="C2213" s="911" t="s">
        <v>3556</v>
      </c>
      <c r="D2213" s="1354">
        <v>46158.763645833336</v>
      </c>
      <c r="E2213" s="884">
        <v>0.28999999999999998</v>
      </c>
      <c r="F2213" s="408">
        <v>4.4999999999999998E-2</v>
      </c>
      <c r="G2213" s="479">
        <f t="shared" si="35"/>
        <v>0.30366492146596857</v>
      </c>
      <c r="H2213" s="474" t="s">
        <v>1666</v>
      </c>
      <c r="I2213" s="477" t="s">
        <v>2362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4" t="str">
        <f>LEFT(base[[#This Row],[Evento / Mercado]],FIND("/",base[[#This Row],[Evento / Mercado]])-2)</f>
        <v>Famalicão vs Alverca</v>
      </c>
      <c r="T2213" s="1420">
        <f>base[[#This Row],[Data de liquidação]]</f>
        <v>46158.763645833336</v>
      </c>
    </row>
    <row r="2214" spans="2:22" ht="15" customHeight="1">
      <c r="B2214" s="791" t="s">
        <v>2499</v>
      </c>
      <c r="C2214" s="911" t="s">
        <v>3556</v>
      </c>
      <c r="D2214" s="1354">
        <v>46158.770486111112</v>
      </c>
      <c r="E2214" s="884">
        <v>25.030549999999998</v>
      </c>
      <c r="F2214" s="408">
        <v>4.4999999999999998E-2</v>
      </c>
      <c r="G2214" s="479">
        <f t="shared" si="35"/>
        <v>26.21</v>
      </c>
      <c r="H2214" s="479" t="s">
        <v>179</v>
      </c>
      <c r="I2214" s="477" t="s">
        <v>392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1203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4" t="str">
        <f>LEFT(base[[#This Row],[Evento / Mercado]],FIND("/",base[[#This Row],[Evento / Mercado]])-2)</f>
        <v>Sporting CP vs Gil Vicente</v>
      </c>
      <c r="T2214" s="142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91" t="s">
        <v>2499</v>
      </c>
      <c r="C2215" s="911" t="s">
        <v>3556</v>
      </c>
      <c r="D2215" s="1354">
        <v>46158.770486111112</v>
      </c>
      <c r="E2215" s="884">
        <v>1.8526999999999998</v>
      </c>
      <c r="F2215" s="408">
        <v>4.4999999999999998E-2</v>
      </c>
      <c r="G2215" s="479">
        <f t="shared" si="35"/>
        <v>1.94</v>
      </c>
      <c r="H2215" s="479" t="s">
        <v>1666</v>
      </c>
      <c r="I2215" s="477" t="s">
        <v>1717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4" t="str">
        <f>LEFT(base[[#This Row],[Evento / Mercado]],FIND("/",base[[#This Row],[Evento / Mercado]])-2)</f>
        <v>Sporting CP vs Gil Vicente</v>
      </c>
      <c r="T2215" s="142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91" t="s">
        <v>2498</v>
      </c>
      <c r="C2216" s="911" t="s">
        <v>3556</v>
      </c>
      <c r="D2216" s="1354">
        <v>46158.797303240739</v>
      </c>
      <c r="E2216" s="884">
        <v>-1.49</v>
      </c>
      <c r="F2216" s="408">
        <v>4.4999999999999998E-2</v>
      </c>
      <c r="G2216" s="479">
        <f t="shared" si="35"/>
        <v>-1.49</v>
      </c>
      <c r="H2216" s="474" t="s">
        <v>1666</v>
      </c>
      <c r="I2216" s="477" t="s">
        <v>1558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4" t="str">
        <f>LEFT(base[[#This Row],[Evento / Mercado]],FIND("/",base[[#This Row],[Evento / Mercado]])-2)</f>
        <v>CF Montreal vs Chicago Fire</v>
      </c>
      <c r="T2216" s="1420">
        <f>base[[#This Row],[Data de liquidação]]</f>
        <v>46158.797303240739</v>
      </c>
    </row>
    <row r="2217" spans="2:22" ht="15" customHeight="1">
      <c r="B2217" s="791" t="s">
        <v>2497</v>
      </c>
      <c r="C2217" s="911" t="s">
        <v>3556</v>
      </c>
      <c r="D2217" s="1354">
        <v>46158.799421296295</v>
      </c>
      <c r="E2217" s="884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4" t="str">
        <f>LEFT(base[[#This Row],[Evento / Mercado]],FIND("/",base[[#This Row],[Evento / Mercado]])-2)</f>
        <v>Atlético Mineiro vs Mirassol FC</v>
      </c>
      <c r="T2217" s="1420">
        <f>base[[#This Row],[Data de liquidação]]</f>
        <v>46158.799421296295</v>
      </c>
    </row>
    <row r="2218" spans="2:22" ht="15" customHeight="1">
      <c r="B2218" s="791" t="s">
        <v>2496</v>
      </c>
      <c r="C2218" s="911" t="s">
        <v>3556</v>
      </c>
      <c r="D2218" s="1354">
        <v>46158.816261574073</v>
      </c>
      <c r="E2218" s="884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4" t="str">
        <f>LEFT(base[[#This Row],[Evento / Mercado]],FIND("/",base[[#This Row],[Evento / Mercado]])-2)</f>
        <v>CF Montreal vs Chicago Fire</v>
      </c>
      <c r="T2218" s="1420">
        <f>base[[#This Row],[Data de liquidação]]</f>
        <v>46158.816261574073</v>
      </c>
    </row>
    <row r="2219" spans="2:22" ht="15" customHeight="1">
      <c r="B2219" s="791" t="s">
        <v>2495</v>
      </c>
      <c r="C2219" s="911" t="s">
        <v>3556</v>
      </c>
      <c r="D2219" s="1354">
        <v>46158.822997685187</v>
      </c>
      <c r="E2219" s="884">
        <v>3.82</v>
      </c>
      <c r="F2219" s="408">
        <v>4.4999999999999998E-2</v>
      </c>
      <c r="G2219" s="479">
        <f t="shared" si="35"/>
        <v>4</v>
      </c>
      <c r="H2219" s="474" t="s">
        <v>1666</v>
      </c>
      <c r="I2219" s="477" t="s">
        <v>1558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4" t="str">
        <f>LEFT(base[[#This Row],[Evento / Mercado]],FIND("/",base[[#This Row],[Evento / Mercado]])-2)</f>
        <v>Fluminense FC vs São Paulo</v>
      </c>
      <c r="T2219" s="1420">
        <f>base[[#This Row],[Data de liquidação]]</f>
        <v>46158.822997685187</v>
      </c>
    </row>
    <row r="2220" spans="2:22" ht="15" customHeight="1">
      <c r="B2220" s="791" t="s">
        <v>2494</v>
      </c>
      <c r="C2220" s="911" t="s">
        <v>3556</v>
      </c>
      <c r="D2220" s="1354">
        <v>46158.844861111109</v>
      </c>
      <c r="E2220" s="884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4" t="str">
        <f>LEFT(base[[#This Row],[Evento / Mercado]],FIND("/",base[[#This Row],[Evento / Mercado]])-2)</f>
        <v>SC Internacional vs Vasco da Gama</v>
      </c>
      <c r="T2220" s="1420">
        <f>base[[#This Row],[Data de liquidação]]</f>
        <v>46158.844861111109</v>
      </c>
    </row>
    <row r="2221" spans="2:22" ht="15" customHeight="1">
      <c r="B2221" s="791" t="s">
        <v>2493</v>
      </c>
      <c r="C2221" s="911" t="s">
        <v>3556</v>
      </c>
      <c r="D2221" s="1354">
        <v>46158.850694444445</v>
      </c>
      <c r="E2221" s="884">
        <v>2.02</v>
      </c>
      <c r="F2221" s="408">
        <v>4.4999999999999998E-2</v>
      </c>
      <c r="G2221" s="479">
        <f t="shared" si="35"/>
        <v>2.1151832460732987</v>
      </c>
      <c r="H2221" s="474" t="s">
        <v>1666</v>
      </c>
      <c r="I2221" s="477" t="s">
        <v>1758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4" t="str">
        <f>LEFT(base[[#This Row],[Evento / Mercado]],FIND("/",base[[#This Row],[Evento / Mercado]])-2)</f>
        <v>Atlético Mineiro vs Mirassol FC</v>
      </c>
      <c r="T2221" s="1420">
        <f>base[[#This Row],[Data de liquidação]]</f>
        <v>46158.850694444445</v>
      </c>
    </row>
    <row r="2222" spans="2:22" ht="15" customHeight="1">
      <c r="B2222" s="791" t="s">
        <v>2492</v>
      </c>
      <c r="C2222" s="911" t="s">
        <v>3556</v>
      </c>
      <c r="D2222" s="1354">
        <v>46158.852430555555</v>
      </c>
      <c r="E2222" s="884">
        <v>-10</v>
      </c>
      <c r="F2222" s="408">
        <v>4.4999999999999998E-2</v>
      </c>
      <c r="G2222" s="479">
        <f t="shared" si="35"/>
        <v>-10</v>
      </c>
      <c r="H2222" s="474" t="s">
        <v>1666</v>
      </c>
      <c r="I2222" s="477" t="s">
        <v>1777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4" t="str">
        <f>LEFT(base[[#This Row],[Evento / Mercado]],FIND("/",base[[#This Row],[Evento / Mercado]])-2)</f>
        <v>O'Higgins vs Universidad de Concepción</v>
      </c>
      <c r="T2222" s="1420">
        <f>base[[#This Row],[Data de liquidação]]</f>
        <v>46158.852430555555</v>
      </c>
    </row>
    <row r="2223" spans="2:22" ht="15" customHeight="1">
      <c r="B2223" s="791" t="s">
        <v>2491</v>
      </c>
      <c r="C2223" s="911" t="s">
        <v>3556</v>
      </c>
      <c r="D2223" s="1354">
        <v>46158.8749537037</v>
      </c>
      <c r="E2223" s="884">
        <v>1.43</v>
      </c>
      <c r="F2223" s="408">
        <v>4.4999999999999998E-2</v>
      </c>
      <c r="G2223" s="479">
        <f t="shared" si="35"/>
        <v>1.4973821989528795</v>
      </c>
      <c r="H2223" s="474" t="s">
        <v>1666</v>
      </c>
      <c r="I2223" s="477" t="s">
        <v>2331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4" t="str">
        <f>LEFT(base[[#This Row],[Evento / Mercado]],FIND("/",base[[#This Row],[Evento / Mercado]])-2)</f>
        <v>Fluminense FC vs São Paulo</v>
      </c>
      <c r="T2223" s="1420">
        <f>base[[#This Row],[Data de liquidação]]</f>
        <v>46158.8749537037</v>
      </c>
    </row>
    <row r="2224" spans="2:22" ht="15" customHeight="1">
      <c r="B2224" s="791" t="s">
        <v>2490</v>
      </c>
      <c r="C2224" s="911" t="s">
        <v>3556</v>
      </c>
      <c r="D2224" s="1354">
        <v>46158.942743055559</v>
      </c>
      <c r="E2224" s="884">
        <v>1.71</v>
      </c>
      <c r="F2224" s="408">
        <v>4.4999999999999998E-2</v>
      </c>
      <c r="G2224" s="479">
        <f t="shared" si="35"/>
        <v>1.7905759162303665</v>
      </c>
      <c r="H2224" s="474" t="s">
        <v>1666</v>
      </c>
      <c r="I2224" s="477" t="s">
        <v>1715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4" t="str">
        <f>LEFT(base[[#This Row],[Evento / Mercado]],FIND("/",base[[#This Row],[Evento / Mercado]])-2)</f>
        <v>DC United vs Saint Louis City SC</v>
      </c>
      <c r="T2224" s="1420">
        <f>base[[#This Row],[Data de liquidação]]</f>
        <v>46158.942743055559</v>
      </c>
    </row>
    <row r="2225" spans="2:22" ht="15" customHeight="1">
      <c r="B2225" s="791" t="s">
        <v>2489</v>
      </c>
      <c r="C2225" s="911" t="s">
        <v>3556</v>
      </c>
      <c r="D2225" s="1354">
        <v>46158.94290509259</v>
      </c>
      <c r="E2225" s="884">
        <v>2.08</v>
      </c>
      <c r="F2225" s="408">
        <v>4.4999999999999998E-2</v>
      </c>
      <c r="G2225" s="479">
        <f t="shared" si="35"/>
        <v>2.1780104712041886</v>
      </c>
      <c r="H2225" s="474" t="s">
        <v>1666</v>
      </c>
      <c r="I2225" s="477" t="s">
        <v>1663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4" t="str">
        <f>LEFT(base[[#This Row],[Evento / Mercado]],FIND("/",base[[#This Row],[Evento / Mercado]])-2)</f>
        <v>Orlando City vs Atlanta United FC</v>
      </c>
      <c r="T2225" s="1420">
        <f>base[[#This Row],[Data de liquidação]]</f>
        <v>46158.94290509259</v>
      </c>
    </row>
    <row r="2226" spans="2:22" ht="15" customHeight="1">
      <c r="B2226" s="791" t="s">
        <v>2488</v>
      </c>
      <c r="C2226" s="911" t="s">
        <v>3556</v>
      </c>
      <c r="D2226" s="1354">
        <v>46158.942916666667</v>
      </c>
      <c r="E2226" s="884">
        <v>2.65</v>
      </c>
      <c r="F2226" s="408">
        <v>4.4999999999999998E-2</v>
      </c>
      <c r="G2226" s="479">
        <f t="shared" si="35"/>
        <v>2.7748691099476441</v>
      </c>
      <c r="H2226" s="474" t="s">
        <v>1666</v>
      </c>
      <c r="I2226" s="477" t="s">
        <v>1759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4" t="str">
        <f>LEFT(base[[#This Row],[Evento / Mercado]],FIND("/",base[[#This Row],[Evento / Mercado]])-2)</f>
        <v>Orlando City vs Atlanta United FC</v>
      </c>
      <c r="T2226" s="1420">
        <f>base[[#This Row],[Data de liquidação]]</f>
        <v>46158.942916666667</v>
      </c>
    </row>
    <row r="2227" spans="2:22" ht="15" customHeight="1">
      <c r="B2227" s="791" t="s">
        <v>2487</v>
      </c>
      <c r="C2227" s="911" t="s">
        <v>3556</v>
      </c>
      <c r="D2227" s="1354">
        <v>46158.942997685182</v>
      </c>
      <c r="E2227" s="884">
        <v>-2</v>
      </c>
      <c r="F2227" s="408">
        <v>4.4999999999999998E-2</v>
      </c>
      <c r="G2227" s="479">
        <f t="shared" si="35"/>
        <v>-2</v>
      </c>
      <c r="H2227" s="474" t="s">
        <v>1666</v>
      </c>
      <c r="I2227" s="477" t="s">
        <v>1758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4" t="str">
        <f>LEFT(base[[#This Row],[Evento / Mercado]],FIND("/",base[[#This Row],[Evento / Mercado]])-2)</f>
        <v>DC United vs Saint Louis City SC</v>
      </c>
      <c r="T2227" s="1420">
        <f>base[[#This Row],[Data de liquidação]]</f>
        <v>46158.942997685182</v>
      </c>
    </row>
    <row r="2228" spans="2:22" ht="15" customHeight="1">
      <c r="B2228" s="791" t="s">
        <v>2487</v>
      </c>
      <c r="C2228" s="911" t="s">
        <v>3556</v>
      </c>
      <c r="D2228" s="1354">
        <v>46158.942997685182</v>
      </c>
      <c r="E2228" s="884">
        <v>23.38</v>
      </c>
      <c r="F2228" s="408">
        <v>4.1500000000000002E-2</v>
      </c>
      <c r="G2228" s="479">
        <f t="shared" si="35"/>
        <v>24.392279603547209</v>
      </c>
      <c r="H2228" s="479" t="s">
        <v>2148</v>
      </c>
      <c r="I2228" s="477" t="s">
        <v>2149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4" t="str">
        <f>LEFT(base[[#This Row],[Evento / Mercado]],FIND("/",base[[#This Row],[Evento / Mercado]])-2)</f>
        <v>DC United vs Saint Louis City SC</v>
      </c>
      <c r="T2228" s="142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91" t="s">
        <v>2486</v>
      </c>
      <c r="C2229" s="911" t="s">
        <v>3556</v>
      </c>
      <c r="D2229" s="1354">
        <v>46158.943009259259</v>
      </c>
      <c r="E2229" s="884">
        <v>1.71</v>
      </c>
      <c r="F2229" s="408">
        <v>4.4999999999999998E-2</v>
      </c>
      <c r="G2229" s="479">
        <f t="shared" si="35"/>
        <v>1.7905759162303665</v>
      </c>
      <c r="H2229" s="474" t="s">
        <v>1666</v>
      </c>
      <c r="I2229" s="477" t="s">
        <v>1715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4" t="str">
        <f>LEFT(base[[#This Row],[Evento / Mercado]],FIND("/",base[[#This Row],[Evento / Mercado]])-2)</f>
        <v>New York Red Bulls vs New York City FC</v>
      </c>
      <c r="T2229" s="1420">
        <f>base[[#This Row],[Data de liquidação]]</f>
        <v>46158.943009259259</v>
      </c>
    </row>
    <row r="2230" spans="2:22" ht="15" customHeight="1">
      <c r="B2230" s="791" t="s">
        <v>2485</v>
      </c>
      <c r="C2230" s="911" t="s">
        <v>3556</v>
      </c>
      <c r="D2230" s="1354">
        <v>46158.957303240742</v>
      </c>
      <c r="E2230" s="884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4" t="str">
        <f>LEFT(base[[#This Row],[Evento / Mercado]],FIND("/",base[[#This Row],[Evento / Mercado]])-2)</f>
        <v>Deportes Limache vs Universidad Católica</v>
      </c>
      <c r="T2230" s="1420">
        <f>base[[#This Row],[Data de liquidação]]</f>
        <v>46158.957303240742</v>
      </c>
    </row>
    <row r="2231" spans="2:22" ht="15" customHeight="1">
      <c r="B2231" s="791" t="s">
        <v>2484</v>
      </c>
      <c r="C2231" s="911" t="s">
        <v>3556</v>
      </c>
      <c r="D2231" s="1354">
        <v>46158.957592592589</v>
      </c>
      <c r="E2231" s="884">
        <v>-2</v>
      </c>
      <c r="F2231" s="408">
        <v>4.4999999999999998E-2</v>
      </c>
      <c r="G2231" s="479">
        <f t="shared" si="35"/>
        <v>-2</v>
      </c>
      <c r="H2231" s="474" t="s">
        <v>1666</v>
      </c>
      <c r="I2231" s="477" t="s">
        <v>1758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4" t="str">
        <f>LEFT(base[[#This Row],[Evento / Mercado]],FIND("/",base[[#This Row],[Evento / Mercado]])-2)</f>
        <v>Palmeiras vs Cruzeiro</v>
      </c>
      <c r="T2231" s="1420">
        <f>base[[#This Row],[Data de liquidação]]</f>
        <v>46158.957592592589</v>
      </c>
    </row>
    <row r="2232" spans="2:22" ht="15" customHeight="1">
      <c r="B2232" s="791" t="s">
        <v>2483</v>
      </c>
      <c r="C2232" s="911" t="s">
        <v>3556</v>
      </c>
      <c r="D2232" s="1354">
        <v>46158.970069444447</v>
      </c>
      <c r="E2232" s="884">
        <v>3.82</v>
      </c>
      <c r="F2232" s="408">
        <v>4.4999999999999998E-2</v>
      </c>
      <c r="G2232" s="479">
        <f t="shared" si="35"/>
        <v>4</v>
      </c>
      <c r="H2232" s="474" t="s">
        <v>1666</v>
      </c>
      <c r="I2232" s="477" t="s">
        <v>1558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4" t="str">
        <f>LEFT(base[[#This Row],[Evento / Mercado]],FIND("/",base[[#This Row],[Evento / Mercado]])-2)</f>
        <v>Real Salt Lake vs Colorado Rapids</v>
      </c>
      <c r="T2232" s="1420">
        <f>base[[#This Row],[Data de liquidação]]</f>
        <v>46158.970069444447</v>
      </c>
    </row>
    <row r="2233" spans="2:22" ht="15" customHeight="1">
      <c r="B2233" s="791" t="s">
        <v>2650</v>
      </c>
      <c r="C2233" s="911" t="s">
        <v>3556</v>
      </c>
      <c r="D2233" s="1354">
        <v>46159.013807870368</v>
      </c>
      <c r="E2233" s="884">
        <v>-5</v>
      </c>
      <c r="F2233" s="408">
        <v>4.4999999999999998E-2</v>
      </c>
      <c r="G2233" s="479">
        <f t="shared" si="35"/>
        <v>-5</v>
      </c>
      <c r="H2233" s="474" t="s">
        <v>1666</v>
      </c>
      <c r="I2233" s="477" t="s">
        <v>1716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4" t="str">
        <f>LEFT(base[[#This Row],[Evento / Mercado]],FIND("/",base[[#This Row],[Evento / Mercado]])-2)</f>
        <v>Seattle Sounders vs Los Angeles Galaxy</v>
      </c>
      <c r="T2233" s="1420">
        <f>base[[#This Row],[Data de liquidação]]</f>
        <v>46159.013807870368</v>
      </c>
    </row>
    <row r="2234" spans="2:22" ht="15" customHeight="1">
      <c r="B2234" s="791" t="s">
        <v>2649</v>
      </c>
      <c r="C2234" s="911" t="s">
        <v>3556</v>
      </c>
      <c r="D2234" s="1354">
        <v>46159.015416666669</v>
      </c>
      <c r="E2234" s="884">
        <v>3.53</v>
      </c>
      <c r="F2234" s="408">
        <v>4.4999999999999998E-2</v>
      </c>
      <c r="G2234" s="479">
        <f t="shared" si="35"/>
        <v>3.6963350785340312</v>
      </c>
      <c r="H2234" s="474" t="s">
        <v>1666</v>
      </c>
      <c r="I2234" s="477" t="s">
        <v>1715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4" t="str">
        <f>LEFT(base[[#This Row],[Evento / Mercado]],FIND("/",base[[#This Row],[Evento / Mercado]])-2)</f>
        <v>Seattle Sounders vs Los Angeles Galaxy</v>
      </c>
      <c r="T2234" s="1420">
        <f>base[[#This Row],[Data de liquidação]]</f>
        <v>46159.015416666669</v>
      </c>
    </row>
    <row r="2235" spans="2:22" ht="15" customHeight="1">
      <c r="B2235" s="791" t="s">
        <v>2648</v>
      </c>
      <c r="C2235" s="911" t="s">
        <v>3556</v>
      </c>
      <c r="D2235" s="1354">
        <v>46159.015532407408</v>
      </c>
      <c r="E2235" s="884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4" t="str">
        <f>LEFT(base[[#This Row],[Evento / Mercado]],FIND("/",base[[#This Row],[Evento / Mercado]])-2)</f>
        <v>Seattle Sounders vs Los Angeles Galaxy</v>
      </c>
      <c r="T2235" s="1420">
        <f>base[[#This Row],[Data de liquidação]]</f>
        <v>46159.015532407408</v>
      </c>
    </row>
    <row r="2236" spans="2:22" ht="15" customHeight="1">
      <c r="B2236" s="791" t="s">
        <v>2647</v>
      </c>
      <c r="C2236" s="911" t="s">
        <v>3556</v>
      </c>
      <c r="D2236" s="1354">
        <v>46159.0155787037</v>
      </c>
      <c r="E2236" s="884">
        <v>2.15</v>
      </c>
      <c r="F2236" s="408">
        <v>4.4999999999999998E-2</v>
      </c>
      <c r="G2236" s="479">
        <f t="shared" si="35"/>
        <v>2.25130890052356</v>
      </c>
      <c r="H2236" s="474" t="s">
        <v>1666</v>
      </c>
      <c r="I2236" s="477" t="s">
        <v>1663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4" t="str">
        <f>LEFT(base[[#This Row],[Evento / Mercado]],FIND("/",base[[#This Row],[Evento / Mercado]])-2)</f>
        <v>Seattle Sounders vs Los Angeles Galaxy</v>
      </c>
      <c r="T2236" s="1420">
        <f>base[[#This Row],[Data de liquidação]]</f>
        <v>46159.0155787037</v>
      </c>
    </row>
    <row r="2237" spans="2:22" ht="15" customHeight="1">
      <c r="B2237" s="791" t="s">
        <v>2646</v>
      </c>
      <c r="C2237" s="911" t="s">
        <v>3556</v>
      </c>
      <c r="D2237" s="1354">
        <v>46159.424791666665</v>
      </c>
      <c r="E2237" s="884">
        <v>3.82</v>
      </c>
      <c r="F2237" s="408">
        <v>4.4999999999999998E-2</v>
      </c>
      <c r="G2237" s="479">
        <f t="shared" si="35"/>
        <v>4</v>
      </c>
      <c r="H2237" s="474" t="s">
        <v>1666</v>
      </c>
      <c r="I2237" s="477" t="s">
        <v>1558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4" t="str">
        <f>LEFT(base[[#This Row],[Evento / Mercado]],FIND("/",base[[#This Row],[Evento / Mercado]])-2)</f>
        <v>Deportivo La Coruña vs Andorra FC</v>
      </c>
      <c r="T2237" s="1420">
        <f>base[[#This Row],[Data de liquidação]]</f>
        <v>46159.424791666665</v>
      </c>
    </row>
    <row r="2238" spans="2:22" ht="15" customHeight="1">
      <c r="B2238" s="791" t="s">
        <v>2645</v>
      </c>
      <c r="C2238" s="911" t="s">
        <v>3556</v>
      </c>
      <c r="D2238" s="1354">
        <v>46159.425983796296</v>
      </c>
      <c r="E2238" s="884">
        <v>3.82</v>
      </c>
      <c r="F2238" s="408">
        <v>4.4999999999999998E-2</v>
      </c>
      <c r="G2238" s="479">
        <f t="shared" si="35"/>
        <v>4</v>
      </c>
      <c r="H2238" s="474" t="s">
        <v>1666</v>
      </c>
      <c r="I2238" s="477" t="s">
        <v>1558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4" t="str">
        <f>LEFT(base[[#This Row],[Evento / Mercado]],FIND("/",base[[#This Row],[Evento / Mercado]])-2)</f>
        <v>FC Red Bull Salzburg vs TSV Egger Glas Hartberg</v>
      </c>
      <c r="T2238" s="1420">
        <f>base[[#This Row],[Data de liquidação]]</f>
        <v>46159.425983796296</v>
      </c>
    </row>
    <row r="2239" spans="2:22" ht="15" customHeight="1">
      <c r="B2239" s="791" t="s">
        <v>2644</v>
      </c>
      <c r="C2239" s="911" t="s">
        <v>3556</v>
      </c>
      <c r="D2239" s="1354">
        <v>46159.45140046296</v>
      </c>
      <c r="E2239" s="884">
        <v>-2</v>
      </c>
      <c r="F2239" s="408">
        <v>4.4999999999999998E-2</v>
      </c>
      <c r="G2239" s="479">
        <f t="shared" si="35"/>
        <v>-2</v>
      </c>
      <c r="H2239" s="474" t="s">
        <v>1666</v>
      </c>
      <c r="I2239" s="477" t="s">
        <v>1795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4" t="str">
        <f>LEFT(base[[#This Row],[Evento / Mercado]],FIND("/",base[[#This Row],[Evento / Mercado]])-2)</f>
        <v>Internazionale vs Hellas Verona</v>
      </c>
      <c r="T2239" s="1420">
        <f>base[[#This Row],[Data de liquidação]]</f>
        <v>46159.45140046296</v>
      </c>
    </row>
    <row r="2240" spans="2:22" ht="15" customHeight="1">
      <c r="B2240" s="791" t="s">
        <v>2643</v>
      </c>
      <c r="C2240" s="911" t="s">
        <v>3556</v>
      </c>
      <c r="D2240" s="1354">
        <v>46159.4534375</v>
      </c>
      <c r="E2240" s="884">
        <v>3.53</v>
      </c>
      <c r="F2240" s="408">
        <v>4.4999999999999998E-2</v>
      </c>
      <c r="G2240" s="479">
        <f t="shared" si="35"/>
        <v>3.6963350785340312</v>
      </c>
      <c r="H2240" s="474" t="s">
        <v>1666</v>
      </c>
      <c r="I2240" s="477" t="s">
        <v>1759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4" t="str">
        <f>LEFT(base[[#This Row],[Evento / Mercado]],FIND("/",base[[#This Row],[Evento / Mercado]])-2)</f>
        <v>IF Brommapojkarna vs Kalmar FF</v>
      </c>
      <c r="T2240" s="1420">
        <f>base[[#This Row],[Data de liquidação]]</f>
        <v>46159.4534375</v>
      </c>
    </row>
    <row r="2241" spans="2:22" ht="15" customHeight="1">
      <c r="B2241" s="791" t="s">
        <v>2642</v>
      </c>
      <c r="C2241" s="911" t="s">
        <v>3556</v>
      </c>
      <c r="D2241" s="1354">
        <v>46159.456250000003</v>
      </c>
      <c r="E2241" s="884">
        <v>-2.19</v>
      </c>
      <c r="F2241" s="408">
        <v>4.4999999999999998E-2</v>
      </c>
      <c r="G2241" s="479">
        <f t="shared" si="35"/>
        <v>-2.19</v>
      </c>
      <c r="H2241" s="474" t="s">
        <v>1666</v>
      </c>
      <c r="I2241" s="477" t="s">
        <v>1558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4" t="str">
        <f>LEFT(base[[#This Row],[Evento / Mercado]],FIND("/",base[[#This Row],[Evento / Mercado]])-2)</f>
        <v>FC Utrecht vs Fortuna Sittard</v>
      </c>
      <c r="T2241" s="1420">
        <f>base[[#This Row],[Data de liquidação]]</f>
        <v>46159.456250000003</v>
      </c>
    </row>
    <row r="2242" spans="2:22" ht="15" customHeight="1">
      <c r="B2242" s="791" t="s">
        <v>2641</v>
      </c>
      <c r="C2242" s="911" t="s">
        <v>3556</v>
      </c>
      <c r="D2242" s="1354">
        <v>46159.463460648149</v>
      </c>
      <c r="E2242" s="884">
        <v>0.13</v>
      </c>
      <c r="F2242" s="408">
        <v>4.4999999999999998E-2</v>
      </c>
      <c r="G2242" s="479">
        <f t="shared" si="35"/>
        <v>0.13612565445026178</v>
      </c>
      <c r="H2242" s="474" t="s">
        <v>1666</v>
      </c>
      <c r="I2242" s="477" t="s">
        <v>2362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4" t="str">
        <f>LEFT(base[[#This Row],[Evento / Mercado]],FIND("/",base[[#This Row],[Evento / Mercado]])-2)</f>
        <v>Arminia Bielefeld vs Hertha BSC</v>
      </c>
      <c r="T2242" s="1420">
        <f>base[[#This Row],[Data de liquidação]]</f>
        <v>46159.463460648149</v>
      </c>
    </row>
    <row r="2243" spans="2:22" ht="15" customHeight="1">
      <c r="B2243" s="791" t="s">
        <v>2640</v>
      </c>
      <c r="C2243" s="911" t="s">
        <v>3556</v>
      </c>
      <c r="D2243" s="1354">
        <v>46159.463923611111</v>
      </c>
      <c r="E2243" s="884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1666</v>
      </c>
      <c r="I2243" s="477" t="s">
        <v>2362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4" t="str">
        <f>LEFT(base[[#This Row],[Evento / Mercado]],FIND("/",base[[#This Row],[Evento / Mercado]])-2)</f>
        <v>PEC Zwolle vs Feyenoord</v>
      </c>
      <c r="T2243" s="1420">
        <f>base[[#This Row],[Data de liquidação]]</f>
        <v>46159.463923611111</v>
      </c>
    </row>
    <row r="2244" spans="2:22" ht="15" customHeight="1">
      <c r="B2244" s="791" t="s">
        <v>2639</v>
      </c>
      <c r="C2244" s="911" t="s">
        <v>3556</v>
      </c>
      <c r="D2244" s="1354">
        <v>46159.472407407404</v>
      </c>
      <c r="E2244" s="884">
        <v>-2</v>
      </c>
      <c r="F2244" s="408">
        <v>4.4999999999999998E-2</v>
      </c>
      <c r="G2244" s="479">
        <f t="shared" si="36"/>
        <v>-2</v>
      </c>
      <c r="H2244" s="474" t="s">
        <v>1666</v>
      </c>
      <c r="I2244" s="477" t="s">
        <v>2564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4" t="str">
        <f>LEFT(base[[#This Row],[Evento / Mercado]],FIND("/",base[[#This Row],[Evento / Mercado]])-2)</f>
        <v>PEC Zwolle vs Feyenoord</v>
      </c>
      <c r="T2244" s="1420">
        <f>base[[#This Row],[Data de liquidação]]</f>
        <v>46159.472407407404</v>
      </c>
    </row>
    <row r="2245" spans="2:22" ht="15" customHeight="1">
      <c r="B2245" s="791" t="s">
        <v>2638</v>
      </c>
      <c r="C2245" s="911" t="s">
        <v>3556</v>
      </c>
      <c r="D2245" s="1354">
        <v>46159.472453703704</v>
      </c>
      <c r="E2245" s="884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4" t="str">
        <f>LEFT(base[[#This Row],[Evento / Mercado]],FIND("/",base[[#This Row],[Evento / Mercado]])-2)</f>
        <v>FC Volendam vs SC Telstar</v>
      </c>
      <c r="T2245" s="1420">
        <f>base[[#This Row],[Data de liquidação]]</f>
        <v>46159.472453703704</v>
      </c>
    </row>
    <row r="2246" spans="2:22" ht="15" customHeight="1">
      <c r="B2246" s="791" t="s">
        <v>2637</v>
      </c>
      <c r="C2246" s="911" t="s">
        <v>3556</v>
      </c>
      <c r="D2246" s="1354">
        <v>46159.475462962961</v>
      </c>
      <c r="E2246" s="884">
        <v>-2</v>
      </c>
      <c r="F2246" s="408">
        <v>4.4999999999999998E-2</v>
      </c>
      <c r="G2246" s="479">
        <f t="shared" si="36"/>
        <v>-2</v>
      </c>
      <c r="H2246" s="474" t="s">
        <v>1666</v>
      </c>
      <c r="I2246" s="477" t="s">
        <v>1758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4" t="str">
        <f>LEFT(base[[#This Row],[Evento / Mercado]],FIND("/",base[[#This Row],[Evento / Mercado]])-2)</f>
        <v>Sparta Rotterdam vs Excelsior Rotterdam</v>
      </c>
      <c r="T2246" s="1420">
        <f>base[[#This Row],[Data de liquidação]]</f>
        <v>46159.475462962961</v>
      </c>
    </row>
    <row r="2247" spans="2:22" ht="15" customHeight="1">
      <c r="B2247" s="791" t="s">
        <v>2636</v>
      </c>
      <c r="C2247" s="911" t="s">
        <v>3556</v>
      </c>
      <c r="D2247" s="1354">
        <v>46159.475983796299</v>
      </c>
      <c r="E2247" s="884">
        <v>-2</v>
      </c>
      <c r="F2247" s="408">
        <v>4.4999999999999998E-2</v>
      </c>
      <c r="G2247" s="479">
        <f t="shared" si="36"/>
        <v>-2</v>
      </c>
      <c r="H2247" s="474" t="s">
        <v>1666</v>
      </c>
      <c r="I2247" s="477" t="s">
        <v>1760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4" t="str">
        <f>LEFT(base[[#This Row],[Evento / Mercado]],FIND("/",base[[#This Row],[Evento / Mercado]])-2)</f>
        <v>Heerenveen vs Ajax</v>
      </c>
      <c r="T2247" s="1420">
        <f>base[[#This Row],[Data de liquidação]]</f>
        <v>46159.475983796299</v>
      </c>
    </row>
    <row r="2248" spans="2:22" ht="15" customHeight="1">
      <c r="B2248" s="791" t="s">
        <v>2635</v>
      </c>
      <c r="C2248" s="911" t="s">
        <v>3556</v>
      </c>
      <c r="D2248" s="1354">
        <v>46159.484398148146</v>
      </c>
      <c r="E2248" s="884">
        <v>3.82</v>
      </c>
      <c r="F2248" s="408">
        <v>4.4999999999999998E-2</v>
      </c>
      <c r="G2248" s="479">
        <f t="shared" si="36"/>
        <v>4</v>
      </c>
      <c r="H2248" s="474" t="s">
        <v>1666</v>
      </c>
      <c r="I2248" s="477" t="s">
        <v>1558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4" t="str">
        <f>LEFT(base[[#This Row],[Evento / Mercado]],FIND("/",base[[#This Row],[Evento / Mercado]])-2)</f>
        <v>Arminia Bielefeld vs Hertha BSC</v>
      </c>
      <c r="T2248" s="1420">
        <f>base[[#This Row],[Data de liquidação]]</f>
        <v>46159.484398148146</v>
      </c>
    </row>
    <row r="2249" spans="2:22" ht="15" customHeight="1">
      <c r="B2249" s="791" t="s">
        <v>2634</v>
      </c>
      <c r="C2249" s="911" t="s">
        <v>3556</v>
      </c>
      <c r="D2249" s="1354">
        <v>46159.485902777778</v>
      </c>
      <c r="E2249" s="884">
        <v>-10</v>
      </c>
      <c r="F2249" s="408">
        <v>4.4999999999999998E-2</v>
      </c>
      <c r="G2249" s="479">
        <f t="shared" si="36"/>
        <v>-10</v>
      </c>
      <c r="H2249" s="474" t="s">
        <v>1666</v>
      </c>
      <c r="I2249" s="477" t="s">
        <v>1663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4" t="str">
        <f>LEFT(base[[#This Row],[Evento / Mercado]],FIND("/",base[[#This Row],[Evento / Mercado]])-2)</f>
        <v>Hannover 96 vs 1. FC Nürnberg</v>
      </c>
      <c r="T2249" s="1420">
        <f>base[[#This Row],[Data de liquidação]]</f>
        <v>46159.485902777778</v>
      </c>
    </row>
    <row r="2250" spans="2:22" ht="15" customHeight="1">
      <c r="B2250" s="791" t="s">
        <v>2633</v>
      </c>
      <c r="C2250" s="911" t="s">
        <v>3556</v>
      </c>
      <c r="D2250" s="1354">
        <v>46159.492476851854</v>
      </c>
      <c r="E2250" s="884">
        <v>3.82</v>
      </c>
      <c r="F2250" s="408">
        <v>4.4999999999999998E-2</v>
      </c>
      <c r="G2250" s="479">
        <f t="shared" si="36"/>
        <v>4</v>
      </c>
      <c r="H2250" s="474" t="s">
        <v>1666</v>
      </c>
      <c r="I2250" s="477" t="s">
        <v>1558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4" t="str">
        <f>LEFT(base[[#This Row],[Evento / Mercado]],FIND("/",base[[#This Row],[Evento / Mercado]])-2)</f>
        <v>Wolverhampton Wanderers vs Fulham</v>
      </c>
      <c r="T2250" s="1420">
        <f>base[[#This Row],[Data de liquidação]]</f>
        <v>46159.492476851854</v>
      </c>
    </row>
    <row r="2251" spans="2:22" ht="15" customHeight="1">
      <c r="B2251" s="791" t="s">
        <v>2632</v>
      </c>
      <c r="C2251" s="911" t="s">
        <v>3556</v>
      </c>
      <c r="D2251" s="1354">
        <v>46159.500335648147</v>
      </c>
      <c r="E2251" s="884">
        <v>3.41</v>
      </c>
      <c r="F2251" s="408">
        <v>4.4999999999999998E-2</v>
      </c>
      <c r="G2251" s="479">
        <f t="shared" si="36"/>
        <v>3.5706806282722514</v>
      </c>
      <c r="H2251" s="474" t="s">
        <v>1666</v>
      </c>
      <c r="I2251" s="477" t="s">
        <v>1717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4" t="str">
        <f>LEFT(base[[#This Row],[Evento / Mercado]],FIND("/",base[[#This Row],[Evento / Mercado]])-2)</f>
        <v>Internazionale vs Hellas Verona</v>
      </c>
      <c r="T2251" s="1420">
        <f>base[[#This Row],[Data de liquidação]]</f>
        <v>46159.500335648147</v>
      </c>
    </row>
    <row r="2252" spans="2:22" ht="15" customHeight="1">
      <c r="B2252" s="791" t="s">
        <v>2631</v>
      </c>
      <c r="C2252" s="911" t="s">
        <v>3556</v>
      </c>
      <c r="D2252" s="1354">
        <v>46159.505509259259</v>
      </c>
      <c r="E2252" s="884">
        <v>3.82</v>
      </c>
      <c r="F2252" s="408">
        <v>4.4999999999999998E-2</v>
      </c>
      <c r="G2252" s="479">
        <f t="shared" si="36"/>
        <v>4</v>
      </c>
      <c r="H2252" s="474" t="s">
        <v>1666</v>
      </c>
      <c r="I2252" s="477" t="s">
        <v>1558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4" t="str">
        <f>LEFT(base[[#This Row],[Evento / Mercado]],FIND("/",base[[#This Row],[Evento / Mercado]])-2)</f>
        <v>NK Slaven Belupo vs Dinamo Zagreb</v>
      </c>
      <c r="T2252" s="1420">
        <f>base[[#This Row],[Data de liquidação]]</f>
        <v>46159.505509259259</v>
      </c>
    </row>
    <row r="2253" spans="2:22" ht="15" customHeight="1">
      <c r="B2253" s="791" t="s">
        <v>2630</v>
      </c>
      <c r="C2253" s="911" t="s">
        <v>3556</v>
      </c>
      <c r="D2253" s="1354">
        <v>46159.513240740744</v>
      </c>
      <c r="E2253" s="884">
        <v>-2.62</v>
      </c>
      <c r="F2253" s="408">
        <v>4.4999999999999998E-2</v>
      </c>
      <c r="G2253" s="479">
        <f t="shared" si="36"/>
        <v>-2.62</v>
      </c>
      <c r="H2253" s="474" t="s">
        <v>1666</v>
      </c>
      <c r="I2253" s="477" t="s">
        <v>1558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4" t="str">
        <f>LEFT(base[[#This Row],[Evento / Mercado]],FIND("/",base[[#This Row],[Evento / Mercado]])-2)</f>
        <v>SV Darmstadt 98 vs SC Paderborn 07</v>
      </c>
      <c r="T2253" s="1420">
        <f>base[[#This Row],[Data de liquidação]]</f>
        <v>46159.513240740744</v>
      </c>
    </row>
    <row r="2254" spans="2:22" ht="15" customHeight="1">
      <c r="B2254" s="791" t="s">
        <v>2629</v>
      </c>
      <c r="C2254" s="911" t="s">
        <v>3556</v>
      </c>
      <c r="D2254" s="1354">
        <v>46159.516898148147</v>
      </c>
      <c r="E2254" s="884">
        <v>1.9863999999999999</v>
      </c>
      <c r="F2254" s="408">
        <v>4.4999999999999998E-2</v>
      </c>
      <c r="G2254" s="479">
        <f t="shared" si="36"/>
        <v>2.08</v>
      </c>
      <c r="H2254" s="474" t="s">
        <v>1666</v>
      </c>
      <c r="I2254" s="477" t="s">
        <v>1759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4" t="str">
        <f>LEFT(base[[#This Row],[Evento / Mercado]],FIND("/",base[[#This Row],[Evento / Mercado]])-2)</f>
        <v>FC Schalke 04 vs Eintracht Braunschweig</v>
      </c>
      <c r="T2254" s="142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91" t="s">
        <v>2629</v>
      </c>
      <c r="C2255" s="911" t="s">
        <v>3556</v>
      </c>
      <c r="D2255" s="1354">
        <v>46159.516898148147</v>
      </c>
      <c r="E2255" s="884">
        <v>1.7572000000000001</v>
      </c>
      <c r="F2255" s="408">
        <v>4.4999999999999998E-2</v>
      </c>
      <c r="G2255" s="479">
        <f t="shared" si="36"/>
        <v>1.84</v>
      </c>
      <c r="H2255" s="474" t="s">
        <v>1666</v>
      </c>
      <c r="I2255" s="477" t="s">
        <v>1758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4" t="str">
        <f>LEFT(base[[#This Row],[Evento / Mercado]],FIND("/",base[[#This Row],[Evento / Mercado]])-2)</f>
        <v>FC Schalke 04 vs Eintracht Braunschweig</v>
      </c>
      <c r="T2255" s="142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91" t="s">
        <v>2628</v>
      </c>
      <c r="C2256" s="911" t="s">
        <v>3556</v>
      </c>
      <c r="D2256" s="1354">
        <v>46159.516921296294</v>
      </c>
      <c r="E2256" s="884">
        <v>-10.4</v>
      </c>
      <c r="F2256" s="408">
        <v>4.4999999999999998E-2</v>
      </c>
      <c r="G2256" s="479">
        <f t="shared" si="36"/>
        <v>-10.4</v>
      </c>
      <c r="H2256" s="474" t="s">
        <v>1666</v>
      </c>
      <c r="I2256" s="477" t="s">
        <v>1558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4" t="str">
        <f>LEFT(base[[#This Row],[Evento / Mercado]],FIND("/",base[[#This Row],[Evento / Mercado]])-2)</f>
        <v>FC Schalke 04 vs Eintracht Braunschweig</v>
      </c>
      <c r="T2256" s="1420">
        <f>base[[#This Row],[Data de liquidação]]</f>
        <v>46159.516921296294</v>
      </c>
    </row>
    <row r="2257" spans="2:22" ht="15" customHeight="1">
      <c r="B2257" s="791" t="s">
        <v>2627</v>
      </c>
      <c r="C2257" s="911" t="s">
        <v>3556</v>
      </c>
      <c r="D2257" s="1354">
        <v>46159.516932870371</v>
      </c>
      <c r="E2257" s="884">
        <v>34.56</v>
      </c>
      <c r="F2257" s="408">
        <v>4.4999999999999998E-2</v>
      </c>
      <c r="G2257" s="479">
        <f t="shared" si="36"/>
        <v>36.188481675392673</v>
      </c>
      <c r="H2257" s="479" t="s">
        <v>179</v>
      </c>
      <c r="I2257" s="477" t="s">
        <v>1594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1212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4" t="str">
        <f>LEFT(base[[#This Row],[Evento / Mercado]],FIND("/",base[[#This Row],[Evento / Mercado]])-2)</f>
        <v>FC Schalke 04 vs Eintracht Braunschweig</v>
      </c>
      <c r="T2257" s="1420">
        <f>base[[#This Row],[Data de liquidação]]</f>
        <v>46159.516932870371</v>
      </c>
    </row>
    <row r="2258" spans="2:22" ht="15" customHeight="1">
      <c r="B2258" s="791" t="s">
        <v>2626</v>
      </c>
      <c r="C2258" s="911" t="s">
        <v>3556</v>
      </c>
      <c r="D2258" s="1354">
        <v>46159.517129629632</v>
      </c>
      <c r="E2258" s="884">
        <v>1.8</v>
      </c>
      <c r="F2258" s="408">
        <v>4.4999999999999998E-2</v>
      </c>
      <c r="G2258" s="479">
        <f t="shared" si="36"/>
        <v>1.8848167539267018</v>
      </c>
      <c r="H2258" s="474" t="s">
        <v>1666</v>
      </c>
      <c r="I2258" s="477" t="s">
        <v>1717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4" t="str">
        <f>LEFT(base[[#This Row],[Evento / Mercado]],FIND("/",base[[#This Row],[Evento / Mercado]])-2)</f>
        <v>SV Elversberg vs Preußen Münster</v>
      </c>
      <c r="T2258" s="1420">
        <f>base[[#This Row],[Data de liquidação]]</f>
        <v>46159.517129629632</v>
      </c>
    </row>
    <row r="2259" spans="2:22" ht="15" customHeight="1">
      <c r="B2259" s="791" t="s">
        <v>2625</v>
      </c>
      <c r="C2259" s="911" t="s">
        <v>3556</v>
      </c>
      <c r="D2259" s="1354">
        <v>46159.51835648148</v>
      </c>
      <c r="E2259" s="884">
        <v>1.6425999999999998</v>
      </c>
      <c r="F2259" s="408">
        <v>4.4999999999999998E-2</v>
      </c>
      <c r="G2259" s="479">
        <f t="shared" si="36"/>
        <v>1.72</v>
      </c>
      <c r="H2259" s="474" t="s">
        <v>1666</v>
      </c>
      <c r="I2259" s="477" t="s">
        <v>1758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4" t="str">
        <f>LEFT(base[[#This Row],[Evento / Mercado]],FIND("/",base[[#This Row],[Evento / Mercado]])-2)</f>
        <v>Dynamo Dresden vs Holstein Kiel</v>
      </c>
      <c r="T2259" s="142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91" t="s">
        <v>2625</v>
      </c>
      <c r="C2260" s="911" t="s">
        <v>3556</v>
      </c>
      <c r="D2260" s="1354">
        <v>46159.51835648148</v>
      </c>
      <c r="E2260" s="884">
        <v>2.3874999999999997</v>
      </c>
      <c r="F2260" s="408">
        <v>4.4999999999999998E-2</v>
      </c>
      <c r="G2260" s="479">
        <f t="shared" si="36"/>
        <v>2.5</v>
      </c>
      <c r="H2260" s="474" t="s">
        <v>1666</v>
      </c>
      <c r="I2260" s="477" t="s">
        <v>2331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4" t="str">
        <f>LEFT(base[[#This Row],[Evento / Mercado]],FIND("/",base[[#This Row],[Evento / Mercado]])-2)</f>
        <v>Dynamo Dresden vs Holstein Kiel</v>
      </c>
      <c r="T2260" s="142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91" t="s">
        <v>2624</v>
      </c>
      <c r="C2261" s="911" t="s">
        <v>3556</v>
      </c>
      <c r="D2261" s="1354">
        <v>46159.52065972222</v>
      </c>
      <c r="E2261" s="884">
        <v>29.03</v>
      </c>
      <c r="F2261" s="408">
        <v>4.4999999999999998E-2</v>
      </c>
      <c r="G2261" s="479">
        <f t="shared" si="36"/>
        <v>30.397905759162306</v>
      </c>
      <c r="H2261" s="479" t="s">
        <v>179</v>
      </c>
      <c r="I2261" s="477" t="s">
        <v>1594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1212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4" t="str">
        <f>LEFT(base[[#This Row],[Evento / Mercado]],FIND("/",base[[#This Row],[Evento / Mercado]])-2)</f>
        <v>Hannover 96 vs 1. FC Nürnberg</v>
      </c>
      <c r="T2261" s="1420">
        <f>base[[#This Row],[Data de liquidação]]</f>
        <v>46159.52065972222</v>
      </c>
    </row>
    <row r="2262" spans="2:22" ht="15" customHeight="1">
      <c r="B2262" s="791" t="s">
        <v>2623</v>
      </c>
      <c r="C2262" s="911" t="s">
        <v>3556</v>
      </c>
      <c r="D2262" s="1354">
        <v>46159.536006944443</v>
      </c>
      <c r="E2262" s="884">
        <v>3.41</v>
      </c>
      <c r="F2262" s="408">
        <v>4.4999999999999998E-2</v>
      </c>
      <c r="G2262" s="479">
        <f t="shared" si="36"/>
        <v>3.5706806282722514</v>
      </c>
      <c r="H2262" s="474" t="s">
        <v>1666</v>
      </c>
      <c r="I2262" s="477" t="s">
        <v>1715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4" t="str">
        <f>LEFT(base[[#This Row],[Evento / Mercado]],FIND("/",base[[#This Row],[Evento / Mercado]])-2)</f>
        <v>Kayserispor vs Konyaspor</v>
      </c>
      <c r="T2262" s="1420">
        <f>base[[#This Row],[Data de liquidação]]</f>
        <v>46159.536006944443</v>
      </c>
    </row>
    <row r="2263" spans="2:22" ht="15" customHeight="1">
      <c r="B2263" s="791" t="s">
        <v>2622</v>
      </c>
      <c r="C2263" s="911" t="s">
        <v>3556</v>
      </c>
      <c r="D2263" s="1354">
        <v>46159.540821759256</v>
      </c>
      <c r="E2263" s="884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4" t="str">
        <f>LEFT(base[[#This Row],[Evento / Mercado]],FIND("/",base[[#This Row],[Evento / Mercado]])-2)</f>
        <v>Leeds United vs Brighton &amp; Hove Albion</v>
      </c>
      <c r="T2263" s="1420">
        <f>base[[#This Row],[Data de liquidação]]</f>
        <v>46159.540821759256</v>
      </c>
    </row>
    <row r="2264" spans="2:22" ht="15" customHeight="1">
      <c r="B2264" s="791" t="s">
        <v>2621</v>
      </c>
      <c r="C2264" s="911" t="s">
        <v>3556</v>
      </c>
      <c r="D2264" s="1354">
        <v>46159.543344907404</v>
      </c>
      <c r="E2264" s="884">
        <v>40.32</v>
      </c>
      <c r="F2264" s="408">
        <v>4.4999999999999998E-2</v>
      </c>
      <c r="G2264" s="479">
        <f t="shared" si="36"/>
        <v>42.219895287958117</v>
      </c>
      <c r="H2264" s="479" t="s">
        <v>179</v>
      </c>
      <c r="I2264" s="477" t="s">
        <v>1594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1201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4" t="str">
        <f>LEFT(base[[#This Row],[Evento / Mercado]],FIND("/",base[[#This Row],[Evento / Mercado]])-2)</f>
        <v>Brentford vs Crystal Palace</v>
      </c>
      <c r="T2264" s="1420">
        <f>base[[#This Row],[Data de liquidação]]</f>
        <v>46159.543344907404</v>
      </c>
    </row>
    <row r="2265" spans="2:22" ht="15" customHeight="1">
      <c r="B2265" s="791" t="s">
        <v>2620</v>
      </c>
      <c r="C2265" s="911" t="s">
        <v>3556</v>
      </c>
      <c r="D2265" s="1354">
        <v>46159.558657407404</v>
      </c>
      <c r="E2265" s="884">
        <v>2.39</v>
      </c>
      <c r="F2265" s="408">
        <v>4.4999999999999998E-2</v>
      </c>
      <c r="G2265" s="479">
        <f t="shared" si="36"/>
        <v>2.5026178010471205</v>
      </c>
      <c r="H2265" s="474" t="s">
        <v>1666</v>
      </c>
      <c r="I2265" s="477" t="s">
        <v>1759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4" t="str">
        <f>LEFT(base[[#This Row],[Evento / Mercado]],FIND("/",base[[#This Row],[Evento / Mercado]])-2)</f>
        <v>FC St. Gallen vs FC Thun</v>
      </c>
      <c r="T2265" s="1420">
        <f>base[[#This Row],[Data de liquidação]]</f>
        <v>46159.558657407404</v>
      </c>
    </row>
    <row r="2266" spans="2:22" ht="15" customHeight="1">
      <c r="B2266" s="791" t="s">
        <v>2619</v>
      </c>
      <c r="C2266" s="911" t="s">
        <v>3556</v>
      </c>
      <c r="D2266" s="1354">
        <v>46159.559513888889</v>
      </c>
      <c r="E2266" s="884">
        <v>3.53</v>
      </c>
      <c r="F2266" s="408">
        <v>4.4999999999999998E-2</v>
      </c>
      <c r="G2266" s="479">
        <f t="shared" si="36"/>
        <v>3.6963350785340312</v>
      </c>
      <c r="H2266" s="474" t="s">
        <v>1666</v>
      </c>
      <c r="I2266" s="477" t="s">
        <v>1715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4" t="str">
        <f>LEFT(base[[#This Row],[Evento / Mercado]],FIND("/",base[[#This Row],[Evento / Mercado]])-2)</f>
        <v>BSC Young Boys vs FC Sion</v>
      </c>
      <c r="T2266" s="1420">
        <f>base[[#This Row],[Data de liquidação]]</f>
        <v>46159.559513888889</v>
      </c>
    </row>
    <row r="2267" spans="2:22" ht="15" customHeight="1">
      <c r="B2267" s="791" t="s">
        <v>2618</v>
      </c>
      <c r="C2267" s="911" t="s">
        <v>3556</v>
      </c>
      <c r="D2267" s="1354">
        <v>46159.576099537036</v>
      </c>
      <c r="E2267" s="884">
        <v>3.82</v>
      </c>
      <c r="F2267" s="408">
        <v>4.4999999999999998E-2</v>
      </c>
      <c r="G2267" s="479">
        <f t="shared" si="36"/>
        <v>4</v>
      </c>
      <c r="H2267" s="474" t="s">
        <v>1666</v>
      </c>
      <c r="I2267" s="477" t="s">
        <v>1558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4" t="str">
        <f>LEFT(base[[#This Row],[Evento / Mercado]],FIND("/",base[[#This Row],[Evento / Mercado]])-2)</f>
        <v>Asociacion Deportiva Tarma vs Comerciantes Unidos</v>
      </c>
      <c r="T2267" s="1420">
        <f>base[[#This Row],[Data de liquidação]]</f>
        <v>46159.576099537036</v>
      </c>
    </row>
    <row r="2268" spans="2:22" ht="15" customHeight="1">
      <c r="B2268" s="791" t="s">
        <v>2617</v>
      </c>
      <c r="C2268" s="911" t="s">
        <v>3556</v>
      </c>
      <c r="D2268" s="1354">
        <v>46159.577627314815</v>
      </c>
      <c r="E2268" s="884">
        <v>-0.96</v>
      </c>
      <c r="F2268" s="408">
        <v>4.4999999999999998E-2</v>
      </c>
      <c r="G2268" s="479">
        <f t="shared" si="36"/>
        <v>-0.96</v>
      </c>
      <c r="H2268" s="474" t="s">
        <v>1666</v>
      </c>
      <c r="I2268" s="477" t="s">
        <v>1558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4" t="str">
        <f>LEFT(base[[#This Row],[Evento / Mercado]],FIND("/",base[[#This Row],[Evento / Mercado]])-2)</f>
        <v>Lechia Gdansk vs Legia Warszawa</v>
      </c>
      <c r="T2268" s="1420">
        <f>base[[#This Row],[Data de liquidação]]</f>
        <v>46159.577627314815</v>
      </c>
    </row>
    <row r="2269" spans="2:22" ht="15" customHeight="1">
      <c r="B2269" s="791" t="s">
        <v>2617</v>
      </c>
      <c r="C2269" s="911" t="s">
        <v>3556</v>
      </c>
      <c r="D2269" s="1354">
        <v>46159.577627314815</v>
      </c>
      <c r="E2269" s="884">
        <v>-2</v>
      </c>
      <c r="F2269" s="408">
        <v>4.4999999999999998E-2</v>
      </c>
      <c r="G2269" s="479">
        <f t="shared" si="36"/>
        <v>-2</v>
      </c>
      <c r="H2269" s="474" t="s">
        <v>1666</v>
      </c>
      <c r="I2269" s="477" t="s">
        <v>2363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4" t="str">
        <f>LEFT(base[[#This Row],[Evento / Mercado]],FIND("/",base[[#This Row],[Evento / Mercado]])-2)</f>
        <v>Lechia Gdansk vs Legia Warszawa</v>
      </c>
      <c r="T2269" s="1420">
        <f>base[[#This Row],[Data de liquidação]]</f>
        <v>46159.577627314815</v>
      </c>
    </row>
    <row r="2270" spans="2:22" ht="15" customHeight="1">
      <c r="B2270" s="791" t="s">
        <v>2616</v>
      </c>
      <c r="C2270" s="911" t="s">
        <v>3556</v>
      </c>
      <c r="D2270" s="1354">
        <v>46159.599502314813</v>
      </c>
      <c r="E2270" s="884">
        <v>-5</v>
      </c>
      <c r="F2270" s="408">
        <v>4.4999999999999998E-2</v>
      </c>
      <c r="G2270" s="479">
        <f t="shared" si="36"/>
        <v>-5</v>
      </c>
      <c r="H2270" s="474" t="s">
        <v>1666</v>
      </c>
      <c r="I2270" s="477" t="s">
        <v>1665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4" t="str">
        <f>LEFT(base[[#This Row],[Evento / Mercado]],FIND("/",base[[#This Row],[Evento / Mercado]])-2)</f>
        <v>FC Midtjylland vs Brøndby IF</v>
      </c>
      <c r="T2270" s="1420">
        <f>base[[#This Row],[Data de liquidação]]</f>
        <v>46159.599502314813</v>
      </c>
    </row>
    <row r="2271" spans="2:22" ht="15" customHeight="1">
      <c r="B2271" s="791" t="s">
        <v>2615</v>
      </c>
      <c r="C2271" s="911" t="s">
        <v>3556</v>
      </c>
      <c r="D2271" s="1354">
        <v>46159.608958333331</v>
      </c>
      <c r="E2271" s="884">
        <v>2.1</v>
      </c>
      <c r="F2271" s="408">
        <v>4.4999999999999998E-2</v>
      </c>
      <c r="G2271" s="479">
        <f t="shared" si="36"/>
        <v>2.1989528795811522</v>
      </c>
      <c r="H2271" s="474" t="s">
        <v>1666</v>
      </c>
      <c r="I2271" s="477" t="s">
        <v>1760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4" t="str">
        <f>LEFT(base[[#This Row],[Evento / Mercado]],FIND("/",base[[#This Row],[Evento / Mercado]])-2)</f>
        <v>Atalanta vs Bologna</v>
      </c>
      <c r="T2271" s="1420">
        <f>base[[#This Row],[Data de liquidação]]</f>
        <v>46159.608958333331</v>
      </c>
    </row>
    <row r="2272" spans="2:22" ht="15" customHeight="1">
      <c r="B2272" s="791" t="s">
        <v>2614</v>
      </c>
      <c r="C2272" s="911" t="s">
        <v>3556</v>
      </c>
      <c r="D2272" s="1354">
        <v>46159.610578703701</v>
      </c>
      <c r="E2272" s="884">
        <v>3.82</v>
      </c>
      <c r="F2272" s="408">
        <v>4.4999999999999998E-2</v>
      </c>
      <c r="G2272" s="479">
        <f t="shared" si="36"/>
        <v>4</v>
      </c>
      <c r="H2272" s="474" t="s">
        <v>1666</v>
      </c>
      <c r="I2272" s="477" t="s">
        <v>1558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4" t="str">
        <f>LEFT(base[[#This Row],[Evento / Mercado]],FIND("/",base[[#This Row],[Evento / Mercado]])-2)</f>
        <v>Fenerbahçe SK vs Eyüpspor</v>
      </c>
      <c r="T2272" s="1420">
        <f>base[[#This Row],[Data de liquidação]]</f>
        <v>46159.610578703701</v>
      </c>
    </row>
    <row r="2273" spans="2:20" ht="15" customHeight="1">
      <c r="B2273" s="791" t="s">
        <v>2613</v>
      </c>
      <c r="C2273" s="911" t="s">
        <v>3556</v>
      </c>
      <c r="D2273" s="1354">
        <v>46159.620069444441</v>
      </c>
      <c r="E2273" s="884">
        <v>2.65</v>
      </c>
      <c r="F2273" s="408">
        <v>4.4999999999999998E-2</v>
      </c>
      <c r="G2273" s="479">
        <f t="shared" si="36"/>
        <v>2.7748691099476441</v>
      </c>
      <c r="H2273" s="474" t="s">
        <v>1666</v>
      </c>
      <c r="I2273" s="477" t="s">
        <v>1715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4" t="str">
        <f>LEFT(base[[#This Row],[Evento / Mercado]],FIND("/",base[[#This Row],[Evento / Mercado]])-2)</f>
        <v>Atalanta vs Bologna</v>
      </c>
      <c r="T2273" s="1420">
        <f>base[[#This Row],[Data de liquidação]]</f>
        <v>46159.620069444441</v>
      </c>
    </row>
    <row r="2274" spans="2:20" ht="15" customHeight="1">
      <c r="B2274" s="791" t="s">
        <v>2612</v>
      </c>
      <c r="C2274" s="911" t="s">
        <v>3556</v>
      </c>
      <c r="D2274" s="1354">
        <v>46159.620381944442</v>
      </c>
      <c r="E2274" s="884">
        <v>6.3</v>
      </c>
      <c r="F2274" s="408">
        <v>4.4999999999999998E-2</v>
      </c>
      <c r="G2274" s="479">
        <f t="shared" si="36"/>
        <v>6.5968586387434556</v>
      </c>
      <c r="H2274" s="474" t="s">
        <v>1666</v>
      </c>
      <c r="I2274" s="477" t="s">
        <v>1665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4" t="str">
        <f>LEFT(base[[#This Row],[Evento / Mercado]],FIND("/",base[[#This Row],[Evento / Mercado]])-2)</f>
        <v>Atalanta vs Bologna</v>
      </c>
      <c r="T2274" s="1420">
        <f>base[[#This Row],[Data de liquidação]]</f>
        <v>46159.620381944442</v>
      </c>
    </row>
    <row r="2275" spans="2:20" ht="15" customHeight="1">
      <c r="B2275" s="791" t="s">
        <v>2611</v>
      </c>
      <c r="C2275" s="911" t="s">
        <v>3556</v>
      </c>
      <c r="D2275" s="1354">
        <v>46159.620752314811</v>
      </c>
      <c r="E2275" s="884">
        <v>2.87</v>
      </c>
      <c r="F2275" s="408">
        <v>4.4999999999999998E-2</v>
      </c>
      <c r="G2275" s="479">
        <f t="shared" si="36"/>
        <v>3.005235602094241</v>
      </c>
      <c r="H2275" s="474" t="s">
        <v>1666</v>
      </c>
      <c r="I2275" s="477" t="s">
        <v>2331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4" t="str">
        <f>LEFT(base[[#This Row],[Evento / Mercado]],FIND("/",base[[#This Row],[Evento / Mercado]])-2)</f>
        <v>Asociacion Deportiva Tarma vs Comerciantes Unidos</v>
      </c>
      <c r="T2275" s="1420">
        <f>base[[#This Row],[Data de liquidação]]</f>
        <v>46159.620752314811</v>
      </c>
    </row>
    <row r="2276" spans="2:20" ht="15" customHeight="1">
      <c r="B2276" s="791" t="s">
        <v>2610</v>
      </c>
      <c r="C2276" s="911" t="s">
        <v>3556</v>
      </c>
      <c r="D2276" s="1354">
        <v>46159.622743055559</v>
      </c>
      <c r="E2276" s="884">
        <v>-5</v>
      </c>
      <c r="F2276" s="408">
        <v>4.4999999999999998E-2</v>
      </c>
      <c r="G2276" s="479">
        <f t="shared" si="36"/>
        <v>-5</v>
      </c>
      <c r="H2276" s="474" t="s">
        <v>1666</v>
      </c>
      <c r="I2276" s="477" t="s">
        <v>1665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4" t="str">
        <f>LEFT(base[[#This Row],[Evento / Mercado]],FIND("/",base[[#This Row],[Evento / Mercado]])-2)</f>
        <v>Newcastle United vs West Ham</v>
      </c>
      <c r="T2276" s="1420">
        <f>base[[#This Row],[Data de liquidação]]</f>
        <v>46159.622743055559</v>
      </c>
    </row>
    <row r="2277" spans="2:20" ht="15" customHeight="1">
      <c r="B2277" s="791" t="s">
        <v>2609</v>
      </c>
      <c r="C2277" s="911" t="s">
        <v>3556</v>
      </c>
      <c r="D2277" s="1354">
        <v>46159.662835648145</v>
      </c>
      <c r="E2277" s="884">
        <v>-3.77</v>
      </c>
      <c r="F2277" s="408">
        <v>4.4999999999999998E-2</v>
      </c>
      <c r="G2277" s="479">
        <f t="shared" si="36"/>
        <v>-3.77</v>
      </c>
      <c r="H2277" s="474" t="s">
        <v>1666</v>
      </c>
      <c r="I2277" s="477" t="s">
        <v>1558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4" t="str">
        <f>LEFT(base[[#This Row],[Evento / Mercado]],FIND("/",base[[#This Row],[Evento / Mercado]])-2)</f>
        <v>Atlético de Madrid vs Girona</v>
      </c>
      <c r="T2277" s="1420">
        <f>base[[#This Row],[Data de liquidação]]</f>
        <v>46159.662835648145</v>
      </c>
    </row>
    <row r="2278" spans="2:20" ht="15" customHeight="1">
      <c r="B2278" s="791" t="s">
        <v>2608</v>
      </c>
      <c r="C2278" s="911" t="s">
        <v>3556</v>
      </c>
      <c r="D2278" s="1354">
        <v>46159.664722222224</v>
      </c>
      <c r="E2278" s="884">
        <v>2.87</v>
      </c>
      <c r="F2278" s="408">
        <v>4.4999999999999998E-2</v>
      </c>
      <c r="G2278" s="479">
        <f t="shared" si="36"/>
        <v>3.005235602094241</v>
      </c>
      <c r="H2278" s="474" t="s">
        <v>1666</v>
      </c>
      <c r="I2278" s="477" t="s">
        <v>2331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4" t="str">
        <f>LEFT(base[[#This Row],[Evento / Mercado]],FIND("/",base[[#This Row],[Evento / Mercado]])-2)</f>
        <v>Rayo Vallecano vs Villarreal</v>
      </c>
      <c r="T2278" s="1420">
        <f>base[[#This Row],[Data de liquidação]]</f>
        <v>46159.664722222224</v>
      </c>
    </row>
    <row r="2279" spans="2:20" ht="15" customHeight="1">
      <c r="B2279" s="791" t="s">
        <v>2607</v>
      </c>
      <c r="C2279" s="911" t="s">
        <v>3556</v>
      </c>
      <c r="D2279" s="1354">
        <v>46159.666493055556</v>
      </c>
      <c r="E2279" s="884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4" t="str">
        <f>LEFT(base[[#This Row],[Evento / Mercado]],FIND("/",base[[#This Row],[Evento / Mercado]])-2)</f>
        <v>Levante UD vs Real Mallorca</v>
      </c>
      <c r="T2279" s="1420">
        <f>base[[#This Row],[Data de liquidação]]</f>
        <v>46159.666493055556</v>
      </c>
    </row>
    <row r="2280" spans="2:20" ht="15" customHeight="1">
      <c r="B2280" s="791" t="s">
        <v>2606</v>
      </c>
      <c r="C2280" s="911" t="s">
        <v>3556</v>
      </c>
      <c r="D2280" s="1354">
        <v>46159.666550925926</v>
      </c>
      <c r="E2280" s="884">
        <v>3.86</v>
      </c>
      <c r="F2280" s="408">
        <v>4.4999999999999998E-2</v>
      </c>
      <c r="G2280" s="479">
        <f t="shared" si="36"/>
        <v>4.0418848167539263</v>
      </c>
      <c r="H2280" s="474" t="s">
        <v>1666</v>
      </c>
      <c r="I2280" s="477" t="s">
        <v>1759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4" t="str">
        <f>LEFT(base[[#This Row],[Evento / Mercado]],FIND("/",base[[#This Row],[Evento / Mercado]])-2)</f>
        <v>Kasimpasa SK vs Galatasaray SK</v>
      </c>
      <c r="T2280" s="1420">
        <f>base[[#This Row],[Data de liquidação]]</f>
        <v>46159.666550925926</v>
      </c>
    </row>
    <row r="2281" spans="2:20" ht="15" customHeight="1">
      <c r="B2281" s="791" t="s">
        <v>2605</v>
      </c>
      <c r="C2281" s="911" t="s">
        <v>3556</v>
      </c>
      <c r="D2281" s="1354">
        <v>46159.666817129626</v>
      </c>
      <c r="E2281" s="884">
        <v>1.83</v>
      </c>
      <c r="F2281" s="408">
        <v>4.4999999999999998E-2</v>
      </c>
      <c r="G2281" s="479">
        <f t="shared" si="36"/>
        <v>1.9162303664921467</v>
      </c>
      <c r="H2281" s="474" t="s">
        <v>1666</v>
      </c>
      <c r="I2281" s="477" t="s">
        <v>1715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4" t="str">
        <f>LEFT(base[[#This Row],[Evento / Mercado]],FIND("/",base[[#This Row],[Evento / Mercado]])-2)</f>
        <v>Antalyaspor vs Kocaelispor</v>
      </c>
      <c r="T2281" s="1420">
        <f>base[[#This Row],[Data de liquidação]]</f>
        <v>46159.666817129626</v>
      </c>
    </row>
    <row r="2282" spans="2:20" ht="15" customHeight="1">
      <c r="B2282" s="791" t="s">
        <v>2604</v>
      </c>
      <c r="C2282" s="911" t="s">
        <v>3556</v>
      </c>
      <c r="D2282" s="1354">
        <v>46159.667094907411</v>
      </c>
      <c r="E2282" s="884">
        <v>1.37</v>
      </c>
      <c r="F2282" s="408">
        <v>4.4999999999999998E-2</v>
      </c>
      <c r="G2282" s="479">
        <f t="shared" si="36"/>
        <v>1.4345549738219896</v>
      </c>
      <c r="H2282" s="474" t="s">
        <v>1666</v>
      </c>
      <c r="I2282" s="477" t="s">
        <v>1716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4" t="str">
        <f>LEFT(base[[#This Row],[Evento / Mercado]],FIND("/",base[[#This Row],[Evento / Mercado]])-2)</f>
        <v>Antalyaspor vs Kocaelispor</v>
      </c>
      <c r="T2282" s="1420">
        <f>base[[#This Row],[Data de liquidação]]</f>
        <v>46159.667094907411</v>
      </c>
    </row>
    <row r="2283" spans="2:20" ht="15" customHeight="1">
      <c r="B2283" s="791" t="s">
        <v>2603</v>
      </c>
      <c r="C2283" s="911" t="s">
        <v>3556</v>
      </c>
      <c r="D2283" s="1354">
        <v>46159.675196759257</v>
      </c>
      <c r="E2283" s="884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4" t="str">
        <f>LEFT(base[[#This Row],[Evento / Mercado]],FIND("/",base[[#This Row],[Evento / Mercado]])-2)</f>
        <v>Botafogo FR vs Corinthians</v>
      </c>
      <c r="T2283" s="1420">
        <f>base[[#This Row],[Data de liquidação]]</f>
        <v>46159.675196759257</v>
      </c>
    </row>
    <row r="2284" spans="2:20" ht="15" customHeight="1">
      <c r="B2284" s="791" t="s">
        <v>2602</v>
      </c>
      <c r="C2284" s="911" t="s">
        <v>3556</v>
      </c>
      <c r="D2284" s="1354">
        <v>46159.676817129628</v>
      </c>
      <c r="E2284" s="884">
        <v>0.17</v>
      </c>
      <c r="F2284" s="408">
        <v>4.4999999999999998E-2</v>
      </c>
      <c r="G2284" s="479">
        <f t="shared" si="36"/>
        <v>0.1780104712041885</v>
      </c>
      <c r="H2284" s="474" t="s">
        <v>1666</v>
      </c>
      <c r="I2284" s="477" t="s">
        <v>2362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4" t="str">
        <f>LEFT(base[[#This Row],[Evento / Mercado]],FIND("/",base[[#This Row],[Evento / Mercado]])-2)</f>
        <v>Al-Shabab Riyadh vs Al-Ittihad Jeddah</v>
      </c>
      <c r="T2284" s="1420">
        <f>base[[#This Row],[Data de liquidação]]</f>
        <v>46159.676817129628</v>
      </c>
    </row>
    <row r="2285" spans="2:20" ht="15" customHeight="1">
      <c r="B2285" s="791" t="s">
        <v>2601</v>
      </c>
      <c r="C2285" s="911" t="s">
        <v>3556</v>
      </c>
      <c r="D2285" s="1354">
        <v>46159.699421296296</v>
      </c>
      <c r="E2285" s="884">
        <v>-2</v>
      </c>
      <c r="F2285" s="408">
        <v>4.4999999999999998E-2</v>
      </c>
      <c r="G2285" s="479">
        <f t="shared" si="36"/>
        <v>-2</v>
      </c>
      <c r="H2285" s="474" t="s">
        <v>1666</v>
      </c>
      <c r="I2285" s="477" t="s">
        <v>1795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4" t="str">
        <f>LEFT(base[[#This Row],[Evento / Mercado]],FIND("/",base[[#This Row],[Evento / Mercado]])-2)</f>
        <v>OGC Nice vs FC Metz</v>
      </c>
      <c r="T2285" s="1420">
        <f>base[[#This Row],[Data de liquidação]]</f>
        <v>46159.699421296296</v>
      </c>
    </row>
    <row r="2286" spans="2:20" ht="15" customHeight="1">
      <c r="B2286" s="791" t="s">
        <v>2600</v>
      </c>
      <c r="C2286" s="911" t="s">
        <v>3556</v>
      </c>
      <c r="D2286" s="1354">
        <v>46159.708657407406</v>
      </c>
      <c r="E2286" s="884">
        <v>4.3</v>
      </c>
      <c r="F2286" s="408">
        <v>4.4999999999999998E-2</v>
      </c>
      <c r="G2286" s="479">
        <f t="shared" si="36"/>
        <v>4.5026178010471201</v>
      </c>
      <c r="H2286" s="474" t="s">
        <v>1666</v>
      </c>
      <c r="I2286" s="477" t="s">
        <v>2331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4" t="str">
        <f>LEFT(base[[#This Row],[Evento / Mercado]],FIND("/",base[[#This Row],[Evento / Mercado]])-2)</f>
        <v>Al-Shabab Riyadh vs Al-Ittihad Jeddah</v>
      </c>
      <c r="T2286" s="1420">
        <f>base[[#This Row],[Data de liquidação]]</f>
        <v>46159.708657407406</v>
      </c>
    </row>
    <row r="2287" spans="2:20" ht="15" customHeight="1">
      <c r="B2287" s="791" t="s">
        <v>2599</v>
      </c>
      <c r="C2287" s="911" t="s">
        <v>3556</v>
      </c>
      <c r="D2287" s="1354">
        <v>46159.736747685187</v>
      </c>
      <c r="E2287" s="884">
        <v>-1.81</v>
      </c>
      <c r="F2287" s="408">
        <v>4.4999999999999998E-2</v>
      </c>
      <c r="G2287" s="479">
        <f t="shared" si="36"/>
        <v>-1.81</v>
      </c>
      <c r="H2287" s="474" t="s">
        <v>1666</v>
      </c>
      <c r="I2287" s="477" t="s">
        <v>1558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4" t="str">
        <f>LEFT(base[[#This Row],[Evento / Mercado]],FIND("/",base[[#This Row],[Evento / Mercado]])-2)</f>
        <v>FC Barcelona vs Real Betis</v>
      </c>
      <c r="T2287" s="1420">
        <f>base[[#This Row],[Data de liquidação]]</f>
        <v>46159.736747685187</v>
      </c>
    </row>
    <row r="2288" spans="2:20" ht="15" customHeight="1">
      <c r="B2288" s="791" t="s">
        <v>2598</v>
      </c>
      <c r="C2288" s="911" t="s">
        <v>3556</v>
      </c>
      <c r="D2288" s="1354">
        <v>46159.742326388892</v>
      </c>
      <c r="E2288" s="884">
        <v>-2</v>
      </c>
      <c r="F2288" s="408">
        <v>4.4999999999999998E-2</v>
      </c>
      <c r="G2288" s="479">
        <f t="shared" si="36"/>
        <v>-2</v>
      </c>
      <c r="H2288" s="474" t="s">
        <v>1666</v>
      </c>
      <c r="I2288" s="477" t="s">
        <v>2363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4" t="str">
        <f>LEFT(base[[#This Row],[Evento / Mercado]],FIND("/",base[[#This Row],[Evento / Mercado]])-2)</f>
        <v>Lille OSC vs AJ Auxerre</v>
      </c>
      <c r="T2288" s="1420">
        <f>base[[#This Row],[Data de liquidação]]</f>
        <v>46159.742326388892</v>
      </c>
    </row>
    <row r="2289" spans="2:20" ht="15" customHeight="1">
      <c r="B2289" s="791" t="s">
        <v>2597</v>
      </c>
      <c r="C2289" s="911" t="s">
        <v>3556</v>
      </c>
      <c r="D2289" s="1354">
        <v>46159.744976851849</v>
      </c>
      <c r="E2289" s="884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4" t="str">
        <f>LEFT(base[[#This Row],[Evento / Mercado]],FIND("/",base[[#This Row],[Evento / Mercado]])-2)</f>
        <v>Lille OSC vs AJ Auxerre</v>
      </c>
      <c r="T2289" s="1420">
        <f>base[[#This Row],[Data de liquidação]]</f>
        <v>46159.744976851849</v>
      </c>
    </row>
    <row r="2290" spans="2:20" ht="15" customHeight="1">
      <c r="B2290" s="791" t="s">
        <v>2596</v>
      </c>
      <c r="C2290" s="911" t="s">
        <v>3556</v>
      </c>
      <c r="D2290" s="1354">
        <v>46159.745023148149</v>
      </c>
      <c r="E2290" s="884">
        <v>1.1399999999999999</v>
      </c>
      <c r="F2290" s="408">
        <v>4.4999999999999998E-2</v>
      </c>
      <c r="G2290" s="479">
        <f t="shared" si="36"/>
        <v>1.1937172774869109</v>
      </c>
      <c r="H2290" s="474" t="s">
        <v>1666</v>
      </c>
      <c r="I2290" s="477" t="s">
        <v>2564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4" t="str">
        <f>LEFT(base[[#This Row],[Evento / Mercado]],FIND("/",base[[#This Row],[Evento / Mercado]])-2)</f>
        <v>Paris FC vs Paris Saint-Germain</v>
      </c>
      <c r="T2290" s="1420">
        <f>base[[#This Row],[Data de liquidação]]</f>
        <v>46159.745023148149</v>
      </c>
    </row>
    <row r="2291" spans="2:20" ht="15" customHeight="1">
      <c r="B2291" s="791" t="s">
        <v>2595</v>
      </c>
      <c r="C2291" s="911" t="s">
        <v>3556</v>
      </c>
      <c r="D2291" s="1354">
        <v>46159.745034722226</v>
      </c>
      <c r="E2291" s="884">
        <v>2.0499999999999998</v>
      </c>
      <c r="F2291" s="408">
        <v>4.4999999999999998E-2</v>
      </c>
      <c r="G2291" s="479">
        <f t="shared" si="36"/>
        <v>2.1465968586387434</v>
      </c>
      <c r="H2291" s="474" t="s">
        <v>1666</v>
      </c>
      <c r="I2291" s="477" t="s">
        <v>1663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4" t="str">
        <f>LEFT(base[[#This Row],[Evento / Mercado]],FIND("/",base[[#This Row],[Evento / Mercado]])-2)</f>
        <v>Paris FC vs Paris Saint-Germain</v>
      </c>
      <c r="T2291" s="1420">
        <f>base[[#This Row],[Data de liquidação]]</f>
        <v>46159.745034722226</v>
      </c>
    </row>
    <row r="2292" spans="2:20" ht="15" customHeight="1">
      <c r="B2292" s="791" t="s">
        <v>2594</v>
      </c>
      <c r="C2292" s="911" t="s">
        <v>3556</v>
      </c>
      <c r="D2292" s="1354">
        <v>46159.749826388892</v>
      </c>
      <c r="E2292" s="884">
        <v>-2</v>
      </c>
      <c r="F2292" s="408">
        <v>4.4999999999999998E-2</v>
      </c>
      <c r="G2292" s="479">
        <f t="shared" si="36"/>
        <v>-2</v>
      </c>
      <c r="H2292" s="474" t="s">
        <v>1666</v>
      </c>
      <c r="I2292" s="477" t="s">
        <v>1758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4" t="str">
        <f>LEFT(base[[#This Row],[Evento / Mercado]],FIND("/",base[[#This Row],[Evento / Mercado]])-2)</f>
        <v>Esporte Clube Bahia vs Grêmio FBPA</v>
      </c>
      <c r="T2292" s="1420">
        <f>base[[#This Row],[Data de liquidação]]</f>
        <v>46159.749826388892</v>
      </c>
    </row>
    <row r="2293" spans="2:20" ht="15" customHeight="1">
      <c r="B2293" s="791" t="s">
        <v>2593</v>
      </c>
      <c r="C2293" s="911" t="s">
        <v>3556</v>
      </c>
      <c r="D2293" s="1354">
        <v>46159.757314814815</v>
      </c>
      <c r="E2293" s="884">
        <v>3.5</v>
      </c>
      <c r="F2293" s="408">
        <v>4.4999999999999998E-2</v>
      </c>
      <c r="G2293" s="479">
        <f t="shared" si="36"/>
        <v>3.6649214659685865</v>
      </c>
      <c r="H2293" s="474" t="s">
        <v>1666</v>
      </c>
      <c r="I2293" s="477" t="s">
        <v>1717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4" t="str">
        <f>LEFT(base[[#This Row],[Evento / Mercado]],FIND("/",base[[#This Row],[Evento / Mercado]])-2)</f>
        <v>FC Barcelona vs Real Betis</v>
      </c>
      <c r="T2293" s="1420">
        <f>base[[#This Row],[Data de liquidação]]</f>
        <v>46159.757314814815</v>
      </c>
    </row>
    <row r="2294" spans="2:20" ht="15" customHeight="1">
      <c r="B2294" s="791" t="s">
        <v>2592</v>
      </c>
      <c r="C2294" s="911" t="s">
        <v>3556</v>
      </c>
      <c r="D2294" s="1354">
        <v>46159.810613425929</v>
      </c>
      <c r="E2294" s="884">
        <v>3.5</v>
      </c>
      <c r="F2294" s="408">
        <v>4.4999999999999998E-2</v>
      </c>
      <c r="G2294" s="479">
        <f t="shared" si="36"/>
        <v>3.6649214659685865</v>
      </c>
      <c r="H2294" s="474" t="s">
        <v>1666</v>
      </c>
      <c r="I2294" s="477" t="s">
        <v>1717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4" t="str">
        <f>LEFT(base[[#This Row],[Evento / Mercado]],FIND("/",base[[#This Row],[Evento / Mercado]])-2)</f>
        <v>CD Los Chankas vs Deportivo Moquegua</v>
      </c>
      <c r="T2294" s="1420">
        <f>base[[#This Row],[Data de liquidação]]</f>
        <v>46159.810613425929</v>
      </c>
    </row>
    <row r="2295" spans="2:20" ht="15" customHeight="1">
      <c r="B2295" s="791" t="s">
        <v>2591</v>
      </c>
      <c r="C2295" s="911" t="s">
        <v>3556</v>
      </c>
      <c r="D2295" s="1354">
        <v>46159.828009259261</v>
      </c>
      <c r="E2295" s="884">
        <v>1.05</v>
      </c>
      <c r="F2295" s="408">
        <v>4.4999999999999998E-2</v>
      </c>
      <c r="G2295" s="479">
        <f t="shared" si="36"/>
        <v>1.0994764397905761</v>
      </c>
      <c r="H2295" s="474" t="s">
        <v>1666</v>
      </c>
      <c r="I2295" s="477" t="s">
        <v>2301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4" t="str">
        <f>LEFT(base[[#This Row],[Evento / Mercado]],FIND("/",base[[#This Row],[Evento / Mercado]])-2)</f>
        <v>Criciúma EC vs Atlético Goianiense</v>
      </c>
      <c r="T2295" s="1420">
        <f>base[[#This Row],[Data de liquidação]]</f>
        <v>46159.828009259261</v>
      </c>
    </row>
    <row r="2296" spans="2:20" ht="15" customHeight="1">
      <c r="B2296" s="791" t="s">
        <v>2590</v>
      </c>
      <c r="C2296" s="911" t="s">
        <v>3556</v>
      </c>
      <c r="D2296" s="1354">
        <v>46159.830810185187</v>
      </c>
      <c r="E2296" s="884">
        <v>3.82</v>
      </c>
      <c r="F2296" s="408">
        <v>4.4999999999999998E-2</v>
      </c>
      <c r="G2296" s="479">
        <f t="shared" si="36"/>
        <v>4</v>
      </c>
      <c r="H2296" s="474" t="s">
        <v>1666</v>
      </c>
      <c r="I2296" s="477" t="s">
        <v>1558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4" t="str">
        <f>LEFT(base[[#This Row],[Evento / Mercado]],FIND("/",base[[#This Row],[Evento / Mercado]])-2)</f>
        <v>Inter Miami CF vs Portland Timbers</v>
      </c>
      <c r="T2296" s="1420">
        <f>base[[#This Row],[Data de liquidação]]</f>
        <v>46159.830810185187</v>
      </c>
    </row>
    <row r="2297" spans="2:20" ht="15" customHeight="1">
      <c r="B2297" s="791" t="s">
        <v>2589</v>
      </c>
      <c r="C2297" s="911" t="s">
        <v>3556</v>
      </c>
      <c r="D2297" s="1354">
        <v>46159.831238425926</v>
      </c>
      <c r="E2297" s="884">
        <v>1.47</v>
      </c>
      <c r="F2297" s="408">
        <v>4.4999999999999998E-2</v>
      </c>
      <c r="G2297" s="479">
        <f t="shared" si="36"/>
        <v>1.5392670157068062</v>
      </c>
      <c r="H2297" s="474" t="s">
        <v>1666</v>
      </c>
      <c r="I2297" s="477" t="s">
        <v>2331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4" t="str">
        <f>LEFT(base[[#This Row],[Evento / Mercado]],FIND("/",base[[#This Row],[Evento / Mercado]])-2)</f>
        <v>Vila Nova FC vs Avaí FC</v>
      </c>
      <c r="T2297" s="1420">
        <f>base[[#This Row],[Data de liquidação]]</f>
        <v>46159.831238425926</v>
      </c>
    </row>
    <row r="2298" spans="2:20" ht="15" customHeight="1">
      <c r="B2298" s="791" t="s">
        <v>2588</v>
      </c>
      <c r="C2298" s="911" t="s">
        <v>3556</v>
      </c>
      <c r="D2298" s="1354">
        <v>46159.860312500001</v>
      </c>
      <c r="E2298" s="884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4" t="str">
        <f>LEFT(base[[#This Row],[Evento / Mercado]],FIND("/",base[[#This Row],[Evento / Mercado]])-2)</f>
        <v>Red Bull Bragantino vs EC Vitória</v>
      </c>
      <c r="T2298" s="1420">
        <f>base[[#This Row],[Data de liquidação]]</f>
        <v>46159.860312500001</v>
      </c>
    </row>
    <row r="2299" spans="2:20" ht="15" customHeight="1">
      <c r="B2299" s="791" t="s">
        <v>2587</v>
      </c>
      <c r="C2299" s="911" t="s">
        <v>3556</v>
      </c>
      <c r="D2299" s="1354">
        <v>46159.882395833331</v>
      </c>
      <c r="E2299" s="884">
        <v>1.91</v>
      </c>
      <c r="F2299" s="408">
        <v>4.4999999999999998E-2</v>
      </c>
      <c r="G2299" s="479">
        <f t="shared" si="36"/>
        <v>2</v>
      </c>
      <c r="H2299" s="474" t="s">
        <v>1666</v>
      </c>
      <c r="I2299" s="477" t="s">
        <v>2331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4" t="str">
        <f>LEFT(base[[#This Row],[Evento / Mercado]],FIND("/",base[[#This Row],[Evento / Mercado]])-2)</f>
        <v>Inter Miami CF vs Portland Timbers</v>
      </c>
      <c r="T2299" s="1420">
        <f>base[[#This Row],[Data de liquidação]]</f>
        <v>46159.882395833331</v>
      </c>
    </row>
    <row r="2300" spans="2:20" ht="15" customHeight="1">
      <c r="B2300" s="791" t="s">
        <v>2586</v>
      </c>
      <c r="C2300" s="911" t="s">
        <v>3556</v>
      </c>
      <c r="D2300" s="1354">
        <v>46160.003553240742</v>
      </c>
      <c r="E2300" s="884">
        <v>2.65</v>
      </c>
      <c r="F2300" s="408">
        <v>4.4999999999999998E-2</v>
      </c>
      <c r="G2300" s="479">
        <f t="shared" si="36"/>
        <v>2.7748691099476441</v>
      </c>
      <c r="H2300" s="474" t="s">
        <v>1666</v>
      </c>
      <c r="I2300" s="477" t="s">
        <v>1759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4" t="str">
        <f>LEFT(base[[#This Row],[Evento / Mercado]],FIND("/",base[[#This Row],[Evento / Mercado]])-2)</f>
        <v>Pumas UNAM vs Pachuca</v>
      </c>
      <c r="T2300" s="1420">
        <f>base[[#This Row],[Data de liquidação]]</f>
        <v>46160.003553240742</v>
      </c>
    </row>
    <row r="2301" spans="2:20" ht="15" customHeight="1">
      <c r="B2301" s="792" t="s">
        <v>2672</v>
      </c>
      <c r="C2301" s="911" t="s">
        <v>3556</v>
      </c>
      <c r="D2301" s="1355">
        <v>46160.576215277775</v>
      </c>
      <c r="E2301" s="885">
        <v>-50</v>
      </c>
      <c r="F2301" s="408">
        <v>4.4999999999999998E-2</v>
      </c>
      <c r="G2301" s="484">
        <f t="shared" si="36"/>
        <v>-50</v>
      </c>
      <c r="H2301" s="484" t="s">
        <v>2148</v>
      </c>
      <c r="I2301" s="482" t="s">
        <v>1795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4" t="str">
        <f>LEFT(base[[#This Row],[Evento / Mercado]],FIND("/",base[[#This Row],[Evento / Mercado]])-2)</f>
        <v>Puszcza Niepolomice vs LKS Lódz</v>
      </c>
      <c r="T2301" s="1420">
        <f>base[[#This Row],[Data de liquidação]]</f>
        <v>46160.576215277775</v>
      </c>
    </row>
    <row r="2302" spans="2:20" ht="15" customHeight="1">
      <c r="B2302" s="792" t="s">
        <v>2672</v>
      </c>
      <c r="C2302" s="911" t="s">
        <v>3556</v>
      </c>
      <c r="D2302" s="1355">
        <v>46160.576215277775</v>
      </c>
      <c r="E2302" s="885">
        <v>-20.6</v>
      </c>
      <c r="F2302" s="408">
        <v>4.4999999999999998E-2</v>
      </c>
      <c r="G2302" s="484">
        <f t="shared" si="36"/>
        <v>-20.6</v>
      </c>
      <c r="H2302" s="484" t="s">
        <v>2148</v>
      </c>
      <c r="I2302" s="482" t="s">
        <v>1795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4" t="str">
        <f>LEFT(base[[#This Row],[Evento / Mercado]],FIND("/",base[[#This Row],[Evento / Mercado]])-2)</f>
        <v>Puszcza Niepolomice vs LKS Lódz</v>
      </c>
      <c r="T2302" s="1420">
        <f>base[[#This Row],[Data de liquidação]]</f>
        <v>46160.576215277775</v>
      </c>
    </row>
    <row r="2303" spans="2:20" ht="15" customHeight="1">
      <c r="B2303" s="792" t="s">
        <v>2674</v>
      </c>
      <c r="C2303" s="911" t="s">
        <v>3556</v>
      </c>
      <c r="D2303" s="1355">
        <v>46160.576215277775</v>
      </c>
      <c r="E2303" s="885">
        <v>-50</v>
      </c>
      <c r="F2303" s="408">
        <v>4.4999999999999998E-2</v>
      </c>
      <c r="G2303" s="484">
        <f t="shared" si="36"/>
        <v>-50</v>
      </c>
      <c r="H2303" s="484" t="s">
        <v>2148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4" t="str">
        <f>LEFT(base[[#This Row],[Evento / Mercado]],FIND("/",base[[#This Row],[Evento / Mercado]])-2)</f>
        <v>Puszcza Niepolomice vs LKS Lódz</v>
      </c>
      <c r="T2303" s="1420">
        <f>base[[#This Row],[Data de liquidação]]</f>
        <v>46160.576215277775</v>
      </c>
    </row>
    <row r="2304" spans="2:20" ht="15" customHeight="1">
      <c r="B2304" s="792" t="s">
        <v>2671</v>
      </c>
      <c r="C2304" s="911" t="s">
        <v>3556</v>
      </c>
      <c r="D2304" s="1355">
        <v>46160.597488425927</v>
      </c>
      <c r="E2304" s="885">
        <v>7.7</v>
      </c>
      <c r="F2304" s="408">
        <v>4.4999999999999998E-2</v>
      </c>
      <c r="G2304" s="484">
        <f t="shared" si="36"/>
        <v>8.0628272251308903</v>
      </c>
      <c r="H2304" s="484" t="s">
        <v>2148</v>
      </c>
      <c r="I2304" s="482" t="s">
        <v>2149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4" t="str">
        <f>LEFT(base[[#This Row],[Evento / Mercado]],FIND("/",base[[#This Row],[Evento / Mercado]])-2)</f>
        <v>FC Haka vs Klubi-04</v>
      </c>
      <c r="T2304" s="1420">
        <f>base[[#This Row],[Data de liquidação]]</f>
        <v>46160.597488425927</v>
      </c>
    </row>
    <row r="2305" spans="2:22" ht="15" customHeight="1">
      <c r="B2305" s="792" t="s">
        <v>2670</v>
      </c>
      <c r="C2305" s="911" t="s">
        <v>3556</v>
      </c>
      <c r="D2305" s="1355">
        <v>46160.610682870371</v>
      </c>
      <c r="E2305" s="885">
        <v>26.24</v>
      </c>
      <c r="F2305" s="408">
        <v>4.4999999999999998E-2</v>
      </c>
      <c r="G2305" s="484">
        <f t="shared" si="36"/>
        <v>27.476439790575917</v>
      </c>
      <c r="H2305" s="484" t="s">
        <v>2148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4" t="str">
        <f>LEFT(base[[#This Row],[Evento / Mercado]],FIND("/",base[[#This Row],[Evento / Mercado]])-2)</f>
        <v>Djurgårdens IF vs IK Sirius</v>
      </c>
      <c r="T2305" s="1420">
        <f>base[[#This Row],[Data de liquidação]]</f>
        <v>46160.610682870371</v>
      </c>
    </row>
    <row r="2306" spans="2:22" ht="15" customHeight="1">
      <c r="B2306" s="792" t="s">
        <v>2669</v>
      </c>
      <c r="C2306" s="911" t="s">
        <v>3556</v>
      </c>
      <c r="D2306" s="1355">
        <v>46160.613715277781</v>
      </c>
      <c r="E2306" s="885">
        <v>-5</v>
      </c>
      <c r="F2306" s="408">
        <v>4.4999999999999998E-2</v>
      </c>
      <c r="G2306" s="484">
        <f t="shared" si="36"/>
        <v>-5</v>
      </c>
      <c r="H2306" s="484" t="s">
        <v>1666</v>
      </c>
      <c r="I2306" s="482" t="s">
        <v>1665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4" t="str">
        <f>LEFT(base[[#This Row],[Evento / Mercado]],FIND("/",base[[#This Row],[Evento / Mercado]])-2)</f>
        <v>Djurgårdens IF vs IK Sirius</v>
      </c>
      <c r="T2306" s="1420">
        <f>base[[#This Row],[Data de liquidação]]</f>
        <v>46160.613715277781</v>
      </c>
    </row>
    <row r="2307" spans="2:22" ht="15" customHeight="1">
      <c r="B2307" s="792" t="s">
        <v>2669</v>
      </c>
      <c r="C2307" s="911" t="s">
        <v>3556</v>
      </c>
      <c r="D2307" s="1355">
        <v>46160.613715277781</v>
      </c>
      <c r="E2307" s="885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4" t="str">
        <f>LEFT(base[[#This Row],[Evento / Mercado]],FIND("/",base[[#This Row],[Evento / Mercado]])-2)</f>
        <v>Djurgårdens IF vs IK Sirius</v>
      </c>
      <c r="T2307" s="142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92" t="s">
        <v>2668</v>
      </c>
      <c r="C2308" s="911" t="s">
        <v>3556</v>
      </c>
      <c r="D2308" s="1355">
        <v>46160.641956018517</v>
      </c>
      <c r="E2308" s="885">
        <v>9.5500000000000007</v>
      </c>
      <c r="F2308" s="408">
        <v>4.4999999999999998E-2</v>
      </c>
      <c r="G2308" s="484">
        <f t="shared" si="37"/>
        <v>10.000000000000002</v>
      </c>
      <c r="H2308" s="484" t="s">
        <v>2148</v>
      </c>
      <c r="I2308" s="482" t="s">
        <v>2149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4" t="str">
        <f>LEFT(base[[#This Row],[Evento / Mercado]],FIND("/",base[[#This Row],[Evento / Mercado]])-2)</f>
        <v>Lokomotiv Sofia vs Slavia Sofia</v>
      </c>
      <c r="T2308" s="1420">
        <f>base[[#This Row],[Data de liquidação]]</f>
        <v>46160.641956018517</v>
      </c>
    </row>
    <row r="2309" spans="2:22" ht="15" customHeight="1">
      <c r="B2309" s="792" t="s">
        <v>2667</v>
      </c>
      <c r="C2309" s="911" t="s">
        <v>3556</v>
      </c>
      <c r="D2309" s="1355">
        <v>46160.661041666666</v>
      </c>
      <c r="E2309" s="885">
        <v>-50</v>
      </c>
      <c r="F2309" s="408">
        <v>4.4999999999999998E-2</v>
      </c>
      <c r="G2309" s="484">
        <f t="shared" si="37"/>
        <v>-50</v>
      </c>
      <c r="H2309" s="484" t="s">
        <v>2148</v>
      </c>
      <c r="I2309" s="482" t="s">
        <v>1795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4" t="str">
        <f>LEFT(base[[#This Row],[Evento / Mercado]],FIND("/",base[[#This Row],[Evento / Mercado]])-2)</f>
        <v>Al-Ula FC vs Al Orubah</v>
      </c>
      <c r="T2309" s="1420">
        <f>base[[#This Row],[Data de liquidação]]</f>
        <v>46160.661041666666</v>
      </c>
    </row>
    <row r="2310" spans="2:22" ht="15" customHeight="1">
      <c r="B2310" s="792" t="s">
        <v>2665</v>
      </c>
      <c r="C2310" s="911" t="s">
        <v>3556</v>
      </c>
      <c r="D2310" s="1355">
        <v>46160.662928240738</v>
      </c>
      <c r="E2310" s="885">
        <v>36.29</v>
      </c>
      <c r="F2310" s="408">
        <v>4.4999999999999998E-2</v>
      </c>
      <c r="G2310" s="484">
        <f t="shared" si="37"/>
        <v>38</v>
      </c>
      <c r="H2310" s="484" t="s">
        <v>2148</v>
      </c>
      <c r="I2310" s="482" t="s">
        <v>2149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4" t="str">
        <f>LEFT(base[[#This Row],[Evento / Mercado]],FIND("/",base[[#This Row],[Evento / Mercado]])-2)</f>
        <v>Djurgårdens IF vs IK Sirius</v>
      </c>
      <c r="T2310" s="1420">
        <f>base[[#This Row],[Data de liquidação]]</f>
        <v>46160.662928240738</v>
      </c>
    </row>
    <row r="2311" spans="2:22" ht="15" customHeight="1">
      <c r="B2311" s="792" t="s">
        <v>2666</v>
      </c>
      <c r="C2311" s="911" t="s">
        <v>3556</v>
      </c>
      <c r="D2311" s="1355">
        <v>46160.662928240738</v>
      </c>
      <c r="E2311" s="885">
        <v>14.05</v>
      </c>
      <c r="F2311" s="408">
        <v>4.4999999999999998E-2</v>
      </c>
      <c r="G2311" s="484">
        <f t="shared" si="37"/>
        <v>14.712041884816756</v>
      </c>
      <c r="H2311" s="484" t="s">
        <v>2148</v>
      </c>
      <c r="I2311" s="482" t="s">
        <v>2673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4" t="str">
        <f>LEFT(base[[#This Row],[Evento / Mercado]],FIND("/",base[[#This Row],[Evento / Mercado]])-2)</f>
        <v>IK Oddevold vs Örebro SK</v>
      </c>
      <c r="T2311" s="1420">
        <f>base[[#This Row],[Data de liquidação]]</f>
        <v>46160.662928240738</v>
      </c>
    </row>
    <row r="2312" spans="2:22" ht="15" customHeight="1">
      <c r="B2312" s="792" t="s">
        <v>2664</v>
      </c>
      <c r="C2312" s="911" t="s">
        <v>3556</v>
      </c>
      <c r="D2312" s="1355">
        <v>46160.66741898148</v>
      </c>
      <c r="E2312" s="885">
        <v>3.98</v>
      </c>
      <c r="F2312" s="408">
        <v>4.4999999999999998E-2</v>
      </c>
      <c r="G2312" s="484">
        <f t="shared" si="37"/>
        <v>4.167539267015707</v>
      </c>
      <c r="H2312" s="484" t="s">
        <v>1666</v>
      </c>
      <c r="I2312" s="482" t="s">
        <v>1715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4" t="str">
        <f>LEFT(base[[#This Row],[Evento / Mercado]],FIND("/",base[[#This Row],[Evento / Mercado]])-2)</f>
        <v>Arka Gdynia vs Termalica Bruk-Bet Nieciecza</v>
      </c>
      <c r="T2312" s="1420">
        <f>base[[#This Row],[Data de liquidação]]</f>
        <v>46160.66741898148</v>
      </c>
    </row>
    <row r="2313" spans="2:22" ht="15" customHeight="1">
      <c r="B2313" s="792" t="s">
        <v>2663</v>
      </c>
      <c r="C2313" s="911" t="s">
        <v>3556</v>
      </c>
      <c r="D2313" s="1355">
        <v>46160.687268518515</v>
      </c>
      <c r="E2313" s="885">
        <v>-50</v>
      </c>
      <c r="F2313" s="408">
        <v>4.4999999999999998E-2</v>
      </c>
      <c r="G2313" s="484">
        <f t="shared" si="37"/>
        <v>-50</v>
      </c>
      <c r="H2313" s="484" t="s">
        <v>2148</v>
      </c>
      <c r="I2313" s="482" t="s">
        <v>2149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4" t="str">
        <f>LEFT(base[[#This Row],[Evento / Mercado]],FIND("/",base[[#This Row],[Evento / Mercado]])-2)</f>
        <v>Petrolul Ploiesti vs Otelul Galati</v>
      </c>
      <c r="T2313" s="1420">
        <f>base[[#This Row],[Data de liquidação]]</f>
        <v>46160.687268518515</v>
      </c>
    </row>
    <row r="2314" spans="2:22" ht="15" customHeight="1">
      <c r="B2314" s="792" t="s">
        <v>2662</v>
      </c>
      <c r="C2314" s="911" t="s">
        <v>3556</v>
      </c>
      <c r="D2314" s="1355">
        <v>46160.693472222221</v>
      </c>
      <c r="E2314" s="885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1844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4" t="str">
        <f>LEFT(base[[#This Row],[Evento / Mercado]],FIND("/",base[[#This Row],[Evento / Mercado]])-2)</f>
        <v>Arsenal vs Burnley</v>
      </c>
      <c r="T2314" s="1420">
        <f>base[[#This Row],[Data de liquidação]]</f>
        <v>46160.693472222221</v>
      </c>
    </row>
    <row r="2315" spans="2:22" ht="15" customHeight="1">
      <c r="B2315" s="792" t="s">
        <v>2661</v>
      </c>
      <c r="C2315" s="911" t="s">
        <v>3556</v>
      </c>
      <c r="D2315" s="1355">
        <v>46160.715949074074</v>
      </c>
      <c r="E2315" s="885">
        <v>90.73</v>
      </c>
      <c r="F2315" s="408">
        <v>4.4999999999999998E-2</v>
      </c>
      <c r="G2315" s="484">
        <f t="shared" si="37"/>
        <v>95.005235602094245</v>
      </c>
      <c r="H2315" s="484" t="s">
        <v>2148</v>
      </c>
      <c r="I2315" s="482" t="s">
        <v>2673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4" t="str">
        <f>LEFT(base[[#This Row],[Evento / Mercado]],FIND("/",base[[#This Row],[Evento / Mercado]])-2)</f>
        <v>Al-Ula FC vs Al Orubah</v>
      </c>
      <c r="T2315" s="1420">
        <f>base[[#This Row],[Data de liquidação]]</f>
        <v>46160.715949074074</v>
      </c>
    </row>
    <row r="2316" spans="2:22" ht="15" customHeight="1">
      <c r="B2316" s="792" t="s">
        <v>2660</v>
      </c>
      <c r="C2316" s="911" t="s">
        <v>3556</v>
      </c>
      <c r="D2316" s="1355">
        <v>46160.722500000003</v>
      </c>
      <c r="E2316" s="885">
        <v>-5</v>
      </c>
      <c r="F2316" s="408">
        <v>4.4999999999999998E-2</v>
      </c>
      <c r="G2316" s="484">
        <f t="shared" si="37"/>
        <v>-5</v>
      </c>
      <c r="H2316" s="484" t="s">
        <v>1666</v>
      </c>
      <c r="I2316" s="482" t="s">
        <v>2301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4" t="str">
        <f>LEFT(base[[#This Row],[Evento / Mercado]],FIND("/",base[[#This Row],[Evento / Mercado]])-2)</f>
        <v>Leganés vs Huesca</v>
      </c>
      <c r="T2316" s="1420">
        <f>base[[#This Row],[Data de liquidação]]</f>
        <v>46160.722500000003</v>
      </c>
    </row>
    <row r="2317" spans="2:22" ht="15" customHeight="1">
      <c r="B2317" s="792" t="s">
        <v>2659</v>
      </c>
      <c r="C2317" s="911" t="s">
        <v>3556</v>
      </c>
      <c r="D2317" s="1355">
        <v>46160.74827546296</v>
      </c>
      <c r="E2317" s="885">
        <v>11</v>
      </c>
      <c r="F2317" s="408">
        <v>4.4999999999999998E-2</v>
      </c>
      <c r="G2317" s="484">
        <f t="shared" si="37"/>
        <v>11.518324607329843</v>
      </c>
      <c r="H2317" s="484" t="s">
        <v>179</v>
      </c>
      <c r="I2317" s="482" t="s">
        <v>392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1201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4" t="str">
        <f>LEFT(base[[#This Row],[Evento / Mercado]],FIND("/",base[[#This Row],[Evento / Mercado]])-2)</f>
        <v>Arsenal vs Burnley</v>
      </c>
      <c r="T2317" s="1420">
        <f>base[[#This Row],[Data de liquidação]]</f>
        <v>46160.74827546296</v>
      </c>
    </row>
    <row r="2318" spans="2:22" ht="15" customHeight="1">
      <c r="B2318" s="792" t="s">
        <v>2658</v>
      </c>
      <c r="C2318" s="911" t="s">
        <v>3556</v>
      </c>
      <c r="D2318" s="1355">
        <v>46160.748414351852</v>
      </c>
      <c r="E2318" s="885">
        <v>-7.4</v>
      </c>
      <c r="F2318" s="408">
        <v>4.4999999999999998E-2</v>
      </c>
      <c r="G2318" s="484">
        <f t="shared" si="37"/>
        <v>-7.4</v>
      </c>
      <c r="H2318" s="484" t="s">
        <v>1666</v>
      </c>
      <c r="I2318" s="482" t="s">
        <v>1558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4" t="str">
        <f>LEFT(base[[#This Row],[Evento / Mercado]],FIND("/",base[[#This Row],[Evento / Mercado]])-2)</f>
        <v>Arsenal vs Burnley</v>
      </c>
      <c r="T2318" s="1420">
        <f>base[[#This Row],[Data de liquidação]]</f>
        <v>46160.748414351852</v>
      </c>
    </row>
    <row r="2319" spans="2:22" ht="15" customHeight="1">
      <c r="B2319" s="792" t="s">
        <v>2657</v>
      </c>
      <c r="C2319" s="911" t="s">
        <v>3556</v>
      </c>
      <c r="D2319" s="1355">
        <v>46160.848483796297</v>
      </c>
      <c r="E2319" s="885">
        <v>14.05</v>
      </c>
      <c r="F2319" s="408">
        <v>4.4999999999999998E-2</v>
      </c>
      <c r="G2319" s="484">
        <f t="shared" si="37"/>
        <v>14.712041884816756</v>
      </c>
      <c r="H2319" s="484" t="s">
        <v>2148</v>
      </c>
      <c r="I2319" s="482" t="s">
        <v>2149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4" t="str">
        <f>LEFT(base[[#This Row],[Evento / Mercado]],FIND("/",base[[#This Row],[Evento / Mercado]])-2)</f>
        <v>Deportivo Maldonado vs Danubio</v>
      </c>
      <c r="T2319" s="1420">
        <f>base[[#This Row],[Data de liquidação]]</f>
        <v>46160.848483796297</v>
      </c>
    </row>
    <row r="2320" spans="2:22" ht="15" customHeight="1">
      <c r="B2320" s="793" t="s">
        <v>2723</v>
      </c>
      <c r="C2320" s="911" t="s">
        <v>3556</v>
      </c>
      <c r="D2320" s="1356">
        <v>46161.583078703705</v>
      </c>
      <c r="E2320" s="886">
        <v>20.05</v>
      </c>
      <c r="F2320" s="408">
        <v>4.4999999999999998E-2</v>
      </c>
      <c r="G2320" s="496">
        <f t="shared" si="37"/>
        <v>20.994764397905762</v>
      </c>
      <c r="H2320" s="484" t="s">
        <v>2148</v>
      </c>
      <c r="I2320" s="494" t="s">
        <v>2151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4" t="str">
        <f>LEFT(base[[#This Row],[Evento / Mercado]],FIND("/",base[[#This Row],[Evento / Mercado]])-2)</f>
        <v>ES Ben Aknoun vs ES Mostaganem</v>
      </c>
      <c r="T2320" s="1420">
        <f>base[[#This Row],[Data de liquidação]]</f>
        <v>46161.583078703705</v>
      </c>
    </row>
    <row r="2321" spans="2:22" ht="15" customHeight="1">
      <c r="B2321" s="793" t="s">
        <v>2722</v>
      </c>
      <c r="C2321" s="911" t="s">
        <v>3556</v>
      </c>
      <c r="D2321" s="1356">
        <v>46161.588645833333</v>
      </c>
      <c r="E2321" s="886">
        <v>22.74</v>
      </c>
      <c r="F2321" s="408">
        <v>4.4999999999999998E-2</v>
      </c>
      <c r="G2321" s="496">
        <f t="shared" si="37"/>
        <v>23.811518324607331</v>
      </c>
      <c r="H2321" s="484" t="s">
        <v>2148</v>
      </c>
      <c r="I2321" s="482" t="s">
        <v>1795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4" t="str">
        <f>LEFT(base[[#This Row],[Evento / Mercado]],FIND("/",base[[#This Row],[Evento / Mercado]])-2)</f>
        <v>Helsingborgs IF vs Varbergs BoIS</v>
      </c>
      <c r="T2321" s="1420">
        <f>base[[#This Row],[Data de liquidação]]</f>
        <v>46161.588645833333</v>
      </c>
    </row>
    <row r="2322" spans="2:22" ht="15" customHeight="1">
      <c r="B2322" s="793" t="s">
        <v>2721</v>
      </c>
      <c r="C2322" s="911" t="s">
        <v>3556</v>
      </c>
      <c r="D2322" s="1356">
        <v>46161.617280092592</v>
      </c>
      <c r="E2322" s="886">
        <v>15.28</v>
      </c>
      <c r="F2322" s="408">
        <v>4.4999999999999998E-2</v>
      </c>
      <c r="G2322" s="496">
        <f t="shared" si="37"/>
        <v>16</v>
      </c>
      <c r="H2322" s="484" t="s">
        <v>2148</v>
      </c>
      <c r="I2322" s="482" t="s">
        <v>1795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4" t="str">
        <f>LEFT(base[[#This Row],[Evento / Mercado]],FIND("/",base[[#This Row],[Evento / Mercado]])-2)</f>
        <v>Hapoel Be'er Sheva vs Maccabi Tel Aviv</v>
      </c>
      <c r="T2322" s="1420">
        <f>base[[#This Row],[Data de liquidação]]</f>
        <v>46161.617280092592</v>
      </c>
    </row>
    <row r="2323" spans="2:22" ht="15" customHeight="1">
      <c r="B2323" s="793" t="s">
        <v>2720</v>
      </c>
      <c r="C2323" s="911" t="s">
        <v>3556</v>
      </c>
      <c r="D2323" s="1356">
        <v>46161.70653935185</v>
      </c>
      <c r="E2323" s="886">
        <v>10.16</v>
      </c>
      <c r="F2323" s="408">
        <v>4.4999999999999998E-2</v>
      </c>
      <c r="G2323" s="496">
        <f t="shared" si="37"/>
        <v>10.638743455497384</v>
      </c>
      <c r="H2323" s="484" t="s">
        <v>2148</v>
      </c>
      <c r="I2323" s="482" t="s">
        <v>2149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4" t="str">
        <f>LEFT(base[[#This Row],[Evento / Mercado]],FIND("/",base[[#This Row],[Evento / Mercado]])-2)</f>
        <v>Monza vs Juve Stabia</v>
      </c>
      <c r="T2323" s="1420">
        <f>base[[#This Row],[Data de liquidação]]</f>
        <v>46161.70653935185</v>
      </c>
    </row>
    <row r="2324" spans="2:22" ht="15" customHeight="1">
      <c r="B2324" s="793" t="s">
        <v>2719</v>
      </c>
      <c r="C2324" s="911" t="s">
        <v>3556</v>
      </c>
      <c r="D2324" s="1356">
        <v>46161.724699074075</v>
      </c>
      <c r="E2324" s="886">
        <v>1.49</v>
      </c>
      <c r="F2324" s="408">
        <v>4.4999999999999998E-2</v>
      </c>
      <c r="G2324" s="496">
        <f t="shared" si="37"/>
        <v>1.5602094240837696</v>
      </c>
      <c r="H2324" s="496" t="s">
        <v>1666</v>
      </c>
      <c r="I2324" s="494" t="s">
        <v>2564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4" t="str">
        <f>LEFT(base[[#This Row],[Evento / Mercado]],FIND("/",base[[#This Row],[Evento / Mercado]])-2)</f>
        <v>AFC Bournemouth vs Manchester City</v>
      </c>
      <c r="T2324" s="1420">
        <f>base[[#This Row],[Data de liquidação]]</f>
        <v>46161.724699074075</v>
      </c>
    </row>
    <row r="2325" spans="2:22" ht="15" customHeight="1">
      <c r="B2325" s="793" t="s">
        <v>2718</v>
      </c>
      <c r="C2325" s="911" t="s">
        <v>3556</v>
      </c>
      <c r="D2325" s="1356">
        <v>46161.724710648145</v>
      </c>
      <c r="E2325" s="886">
        <v>-2.5</v>
      </c>
      <c r="F2325" s="408">
        <v>4.4999999999999998E-2</v>
      </c>
      <c r="G2325" s="496">
        <f t="shared" si="37"/>
        <v>-2.5</v>
      </c>
      <c r="H2325" s="496" t="s">
        <v>1666</v>
      </c>
      <c r="I2325" s="494" t="s">
        <v>1558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4" t="str">
        <f>LEFT(base[[#This Row],[Evento / Mercado]],FIND("/",base[[#This Row],[Evento / Mercado]])-2)</f>
        <v>AFC Bournemouth vs Manchester City</v>
      </c>
      <c r="T2325" s="1420">
        <f>base[[#This Row],[Data de liquidação]]</f>
        <v>46161.724710648145</v>
      </c>
    </row>
    <row r="2326" spans="2:22" ht="15" customHeight="1">
      <c r="B2326" s="793" t="s">
        <v>2717</v>
      </c>
      <c r="C2326" s="911" t="s">
        <v>3556</v>
      </c>
      <c r="D2326" s="1356">
        <v>46161.725925925923</v>
      </c>
      <c r="E2326" s="886">
        <v>2.8</v>
      </c>
      <c r="F2326" s="408">
        <v>4.4999999999999998E-2</v>
      </c>
      <c r="G2326" s="496">
        <f t="shared" si="37"/>
        <v>2.9319371727748691</v>
      </c>
      <c r="H2326" s="496" t="s">
        <v>1666</v>
      </c>
      <c r="I2326" s="494" t="s">
        <v>1663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4" t="str">
        <f>LEFT(base[[#This Row],[Evento / Mercado]],FIND("/",base[[#This Row],[Evento / Mercado]])-2)</f>
        <v>AFC Bournemouth vs Manchester City</v>
      </c>
      <c r="T2326" s="1420">
        <f>base[[#This Row],[Data de liquidação]]</f>
        <v>46161.725925925923</v>
      </c>
    </row>
    <row r="2327" spans="2:22" ht="15" customHeight="1">
      <c r="B2327" s="793" t="s">
        <v>2716</v>
      </c>
      <c r="C2327" s="911" t="s">
        <v>3556</v>
      </c>
      <c r="D2327" s="1356">
        <v>46161.756828703707</v>
      </c>
      <c r="E2327" s="886">
        <v>1.91</v>
      </c>
      <c r="F2327" s="408">
        <v>4.4999999999999998E-2</v>
      </c>
      <c r="G2327" s="496">
        <f t="shared" si="37"/>
        <v>2</v>
      </c>
      <c r="H2327" s="496" t="s">
        <v>1666</v>
      </c>
      <c r="I2327" s="494" t="s">
        <v>2331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4" t="str">
        <f>LEFT(base[[#This Row],[Evento / Mercado]],FIND("/",base[[#This Row],[Evento / Mercado]])-2)</f>
        <v>Chelsea vs Tottenham Hotspur</v>
      </c>
      <c r="T2327" s="1420">
        <f>base[[#This Row],[Data de liquidação]]</f>
        <v>46161.756828703707</v>
      </c>
    </row>
    <row r="2328" spans="2:22" ht="15" customHeight="1">
      <c r="B2328" s="793" t="s">
        <v>2715</v>
      </c>
      <c r="C2328" s="911" t="s">
        <v>3556</v>
      </c>
      <c r="D2328" s="1356">
        <v>46161.872187499997</v>
      </c>
      <c r="E2328" s="886">
        <v>4.24</v>
      </c>
      <c r="F2328" s="408">
        <v>4.4999999999999998E-2</v>
      </c>
      <c r="G2328" s="496">
        <f t="shared" si="37"/>
        <v>4.4397905759162306</v>
      </c>
      <c r="H2328" s="494" t="s">
        <v>2724</v>
      </c>
      <c r="I2328" s="494" t="s">
        <v>1555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4" t="str">
        <f>LEFT(base[[#This Row],[Evento / Mercado]],FIND("/",base[[#This Row],[Evento / Mercado]])-2)</f>
        <v>Coquimbo Unido vs Deportes Tolima</v>
      </c>
      <c r="T2328" s="1420">
        <f>base[[#This Row],[Data de liquidação]]</f>
        <v>46161.872187499997</v>
      </c>
    </row>
    <row r="2329" spans="2:22" ht="15" customHeight="1">
      <c r="B2329" s="793" t="s">
        <v>2714</v>
      </c>
      <c r="C2329" s="911" t="s">
        <v>3556</v>
      </c>
      <c r="D2329" s="1356">
        <v>46161.874131944445</v>
      </c>
      <c r="E2329" s="886">
        <v>1.45</v>
      </c>
      <c r="F2329" s="408">
        <v>4.4999999999999998E-2</v>
      </c>
      <c r="G2329" s="496">
        <f t="shared" si="37"/>
        <v>1.5183246073298429</v>
      </c>
      <c r="H2329" s="494" t="s">
        <v>2724</v>
      </c>
      <c r="I2329" s="494" t="s">
        <v>1555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4" t="str">
        <f>LEFT(base[[#This Row],[Evento / Mercado]],FIND("/",base[[#This Row],[Evento / Mercado]])-2)</f>
        <v>Fluminense FC vs Club Bolívar</v>
      </c>
      <c r="T2329" s="1420">
        <f>base[[#This Row],[Data de liquidação]]</f>
        <v>46161.874131944445</v>
      </c>
    </row>
    <row r="2330" spans="2:22" ht="15" customHeight="1">
      <c r="B2330" s="793" t="s">
        <v>2713</v>
      </c>
      <c r="C2330" s="911" t="s">
        <v>3556</v>
      </c>
      <c r="D2330" s="1356">
        <v>46161.939027777778</v>
      </c>
      <c r="E2330" s="886">
        <v>-9.99</v>
      </c>
      <c r="F2330" s="408">
        <v>4.4999999999999998E-2</v>
      </c>
      <c r="G2330" s="496">
        <f t="shared" si="37"/>
        <v>-9.99</v>
      </c>
      <c r="H2330" s="494" t="s">
        <v>2724</v>
      </c>
      <c r="I2330" s="494" t="s">
        <v>1555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4" t="str">
        <f>LEFT(base[[#This Row],[Evento / Mercado]],FIND("/",base[[#This Row],[Evento / Mercado]])-2)</f>
        <v>LDU de Portoviejo vs Libertad FC</v>
      </c>
      <c r="T2330" s="1420">
        <f>base[[#This Row],[Data de liquidação]]</f>
        <v>46161.939027777778</v>
      </c>
    </row>
    <row r="2331" spans="2:22" ht="15" customHeight="1">
      <c r="B2331" s="793" t="s">
        <v>2712</v>
      </c>
      <c r="C2331" s="911" t="s">
        <v>3556</v>
      </c>
      <c r="D2331" s="1356">
        <v>46161.959201388891</v>
      </c>
      <c r="E2331" s="886">
        <v>4.3452500000000001</v>
      </c>
      <c r="F2331" s="408">
        <v>4.4999999999999998E-2</v>
      </c>
      <c r="G2331" s="496">
        <f t="shared" si="37"/>
        <v>4.55</v>
      </c>
      <c r="H2331" s="494" t="s">
        <v>2724</v>
      </c>
      <c r="I2331" s="494" t="s">
        <v>1555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4" t="str">
        <f>LEFT(base[[#This Row],[Evento / Mercado]],FIND("/",base[[#This Row],[Evento / Mercado]])-2)</f>
        <v>Santa Fe vs Platense</v>
      </c>
      <c r="T2331" s="142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93" t="s">
        <v>2712</v>
      </c>
      <c r="C2332" s="911" t="s">
        <v>3556</v>
      </c>
      <c r="D2332" s="1356">
        <v>46161.959201388891</v>
      </c>
      <c r="E2332" s="886">
        <v>16.750699999999998</v>
      </c>
      <c r="F2332" s="408">
        <v>4.4999999999999998E-2</v>
      </c>
      <c r="G2332" s="496">
        <f t="shared" si="37"/>
        <v>17.54</v>
      </c>
      <c r="H2332" s="484" t="s">
        <v>2148</v>
      </c>
      <c r="I2332" s="494" t="s">
        <v>2149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4" t="str">
        <f>LEFT(base[[#This Row],[Evento / Mercado]],FIND("/",base[[#This Row],[Evento / Mercado]])-2)</f>
        <v>Santa Fe vs Platense</v>
      </c>
      <c r="T2332" s="142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93" t="s">
        <v>2711</v>
      </c>
      <c r="C2333" s="911" t="s">
        <v>3556</v>
      </c>
      <c r="D2333" s="1356">
        <v>46161.974560185183</v>
      </c>
      <c r="E2333" s="886">
        <v>8.5299999999999994</v>
      </c>
      <c r="F2333" s="408">
        <v>4.4999999999999998E-2</v>
      </c>
      <c r="G2333" s="496">
        <f t="shared" si="37"/>
        <v>8.9319371727748695</v>
      </c>
      <c r="H2333" s="494" t="s">
        <v>2724</v>
      </c>
      <c r="I2333" s="494" t="s">
        <v>2725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4" t="str">
        <f>LEFT(base[[#This Row],[Evento / Mercado]],FIND("/",base[[#This Row],[Evento / Mercado]])-2)</f>
        <v>Saint Louis City SC vs Houston Dynamo</v>
      </c>
      <c r="T2333" s="1420">
        <f>base[[#This Row],[Data de liquidação]]</f>
        <v>46161.974560185183</v>
      </c>
    </row>
    <row r="2334" spans="2:22" ht="15" customHeight="1">
      <c r="B2334" s="794" t="s">
        <v>2821</v>
      </c>
      <c r="C2334" s="911" t="s">
        <v>3556</v>
      </c>
      <c r="D2334" s="1357">
        <v>46162.337395833332</v>
      </c>
      <c r="E2334" s="886">
        <v>6.21</v>
      </c>
      <c r="F2334" s="408">
        <v>0</v>
      </c>
      <c r="G2334" s="496">
        <f t="shared" si="37"/>
        <v>6.21</v>
      </c>
      <c r="H2334" s="526" t="s">
        <v>2148</v>
      </c>
      <c r="I2334" s="524" t="s">
        <v>2149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4" t="e">
        <f>LEFT(base[[#This Row],[Evento / Mercado]],FIND("/",base[[#This Row],[Evento / Mercado]])-2)</f>
        <v>#VALUE!</v>
      </c>
      <c r="T2334" s="1420">
        <f>base[[#This Row],[Data de liquidação]]</f>
        <v>46162.337395833332</v>
      </c>
    </row>
    <row r="2335" spans="2:22" ht="15" customHeight="1">
      <c r="B2335" s="794" t="s">
        <v>2814</v>
      </c>
      <c r="C2335" s="911" t="s">
        <v>3556</v>
      </c>
      <c r="D2335" s="1357">
        <v>46162.385312500002</v>
      </c>
      <c r="E2335" s="887">
        <v>9.5500000000000007</v>
      </c>
      <c r="F2335" s="408">
        <v>4.4999999999999998E-2</v>
      </c>
      <c r="G2335" s="526">
        <f t="shared" si="37"/>
        <v>10.000000000000002</v>
      </c>
      <c r="H2335" s="526" t="s">
        <v>1666</v>
      </c>
      <c r="I2335" s="524" t="s">
        <v>1558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4" t="str">
        <f>LEFT(base[[#This Row],[Evento / Mercado]],FIND("/",base[[#This Row],[Evento / Mercado]])-2)</f>
        <v>Shanghai Shenhua vs Wuhan Three Towns</v>
      </c>
      <c r="T2335" s="1420">
        <f>base[[#This Row],[Data de liquidação]]</f>
        <v>46162.385312500002</v>
      </c>
    </row>
    <row r="2336" spans="2:22" ht="15" customHeight="1">
      <c r="B2336" s="794" t="s">
        <v>2813</v>
      </c>
      <c r="C2336" s="911" t="s">
        <v>3556</v>
      </c>
      <c r="D2336" s="1357">
        <v>46162.389490740738</v>
      </c>
      <c r="E2336" s="887">
        <v>-5.51</v>
      </c>
      <c r="F2336" s="408">
        <v>4.4999999999999998E-2</v>
      </c>
      <c r="G2336" s="526">
        <f t="shared" si="37"/>
        <v>-5.51</v>
      </c>
      <c r="H2336" s="526" t="s">
        <v>1666</v>
      </c>
      <c r="I2336" s="524" t="s">
        <v>1558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4" t="str">
        <f>LEFT(base[[#This Row],[Evento / Mercado]],FIND("/",base[[#This Row],[Evento / Mercado]])-2)</f>
        <v>Liaoning Tieren F.C. vs Qingdao Hainiu</v>
      </c>
      <c r="T2336" s="1420">
        <f>base[[#This Row],[Data de liquidação]]</f>
        <v>46162.389490740738</v>
      </c>
    </row>
    <row r="2337" spans="2:20" ht="15" customHeight="1">
      <c r="B2337" s="794" t="s">
        <v>2812</v>
      </c>
      <c r="C2337" s="911" t="s">
        <v>3556</v>
      </c>
      <c r="D2337" s="1357">
        <v>46162.445162037038</v>
      </c>
      <c r="E2337" s="887">
        <v>8.23</v>
      </c>
      <c r="F2337" s="408">
        <v>4.4999999999999998E-2</v>
      </c>
      <c r="G2337" s="526">
        <f t="shared" si="37"/>
        <v>8.6178010471204196</v>
      </c>
      <c r="H2337" s="526" t="s">
        <v>2148</v>
      </c>
      <c r="I2337" s="524" t="s">
        <v>2149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4" t="str">
        <f>LEFT(base[[#This Row],[Evento / Mercado]],FIND("/",base[[#This Row],[Evento / Mercado]])-2)</f>
        <v>Shanghai Shenhua vs Wuhan Three Towns</v>
      </c>
      <c r="T2337" s="1420">
        <f>base[[#This Row],[Data de liquidação]]</f>
        <v>46162.445162037038</v>
      </c>
    </row>
    <row r="2338" spans="2:20" ht="15" customHeight="1">
      <c r="B2338" s="794" t="s">
        <v>2811</v>
      </c>
      <c r="C2338" s="911" t="s">
        <v>3556</v>
      </c>
      <c r="D2338" s="1357">
        <v>46162.454062500001</v>
      </c>
      <c r="E2338" s="887">
        <v>-9.9499999999999993</v>
      </c>
      <c r="F2338" s="408">
        <v>4.4999999999999998E-2</v>
      </c>
      <c r="G2338" s="526">
        <f t="shared" si="37"/>
        <v>-9.9499999999999993</v>
      </c>
      <c r="H2338" s="494" t="s">
        <v>2724</v>
      </c>
      <c r="I2338" s="494" t="s">
        <v>1555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4" t="str">
        <f>LEFT(base[[#This Row],[Evento / Mercado]],FIND("/",base[[#This Row],[Evento / Mercado]])-2)</f>
        <v>Chongqing Tonglianglong vs Yunnan Yukun</v>
      </c>
      <c r="T2338" s="1420">
        <f>base[[#This Row],[Data de liquidação]]</f>
        <v>46162.454062500001</v>
      </c>
    </row>
    <row r="2339" spans="2:20" ht="15" customHeight="1">
      <c r="B2339" s="794" t="s">
        <v>2810</v>
      </c>
      <c r="C2339" s="911" t="s">
        <v>3556</v>
      </c>
      <c r="D2339" s="1357">
        <v>46162.45412037037</v>
      </c>
      <c r="E2339" s="887">
        <v>-50</v>
      </c>
      <c r="F2339" s="408">
        <v>4.4999999999999998E-2</v>
      </c>
      <c r="G2339" s="526">
        <f t="shared" si="37"/>
        <v>-50</v>
      </c>
      <c r="H2339" s="526" t="s">
        <v>2148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4" t="str">
        <f>LEFT(base[[#This Row],[Evento / Mercado]],FIND("/",base[[#This Row],[Evento / Mercado]])-2)</f>
        <v>Chongqing Tonglianglong vs Yunnan Yukun</v>
      </c>
      <c r="T2339" s="1420">
        <f>base[[#This Row],[Data de liquidação]]</f>
        <v>46162.45412037037</v>
      </c>
    </row>
    <row r="2340" spans="2:20" ht="15" customHeight="1">
      <c r="B2340" s="794" t="s">
        <v>2809</v>
      </c>
      <c r="C2340" s="911" t="s">
        <v>3556</v>
      </c>
      <c r="D2340" s="1357">
        <v>46162.501805555556</v>
      </c>
      <c r="E2340" s="887">
        <v>19.899999999999999</v>
      </c>
      <c r="F2340" s="408">
        <v>4.4999999999999998E-2</v>
      </c>
      <c r="G2340" s="526">
        <f t="shared" si="37"/>
        <v>20.837696335078533</v>
      </c>
      <c r="H2340" s="526" t="s">
        <v>2148</v>
      </c>
      <c r="I2340" s="524" t="s">
        <v>1795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4" t="str">
        <f>LEFT(base[[#This Row],[Evento / Mercado]],FIND("/",base[[#This Row],[Evento / Mercado]])-2)</f>
        <v>Ilves vs FC Inter Turku</v>
      </c>
      <c r="T2340" s="1420">
        <f>base[[#This Row],[Data de liquidação]]</f>
        <v>46162.501805555556</v>
      </c>
    </row>
    <row r="2341" spans="2:20" ht="15" customHeight="1">
      <c r="B2341" s="794" t="s">
        <v>2808</v>
      </c>
      <c r="C2341" s="911" t="s">
        <v>3556</v>
      </c>
      <c r="D2341" s="1357">
        <v>46162.512650462966</v>
      </c>
      <c r="E2341" s="887">
        <v>10.51</v>
      </c>
      <c r="F2341" s="408">
        <v>4.4999999999999998E-2</v>
      </c>
      <c r="G2341" s="526">
        <f t="shared" si="37"/>
        <v>11.005235602094242</v>
      </c>
      <c r="H2341" s="526" t="s">
        <v>2148</v>
      </c>
      <c r="I2341" s="524" t="s">
        <v>1795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4" t="str">
        <f>LEFT(base[[#This Row],[Evento / Mercado]],FIND("/",base[[#This Row],[Evento / Mercado]])-2)</f>
        <v>FK Tukums 2000 vs Riga FC</v>
      </c>
      <c r="T2341" s="1420">
        <f>base[[#This Row],[Data de liquidação]]</f>
        <v>46162.512650462966</v>
      </c>
    </row>
    <row r="2342" spans="2:20" ht="15" customHeight="1">
      <c r="B2342" s="794" t="s">
        <v>2807</v>
      </c>
      <c r="C2342" s="911" t="s">
        <v>3556</v>
      </c>
      <c r="D2342" s="1357">
        <v>46162.512800925928</v>
      </c>
      <c r="E2342" s="887">
        <v>37.25</v>
      </c>
      <c r="F2342" s="408">
        <v>4.4999999999999998E-2</v>
      </c>
      <c r="G2342" s="526">
        <f t="shared" si="37"/>
        <v>39.005235602094245</v>
      </c>
      <c r="H2342" s="526" t="s">
        <v>2148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4" t="str">
        <f>LEFT(base[[#This Row],[Evento / Mercado]],FIND("/",base[[#This Row],[Evento / Mercado]])-2)</f>
        <v>Ilves vs FC Inter Turku</v>
      </c>
      <c r="T2342" s="1420">
        <f>base[[#This Row],[Data de liquidação]]</f>
        <v>46162.512800925928</v>
      </c>
    </row>
    <row r="2343" spans="2:20" ht="15" customHeight="1">
      <c r="B2343" s="794" t="s">
        <v>2806</v>
      </c>
      <c r="C2343" s="911" t="s">
        <v>3556</v>
      </c>
      <c r="D2343" s="1357">
        <v>46162.529108796298</v>
      </c>
      <c r="E2343" s="887">
        <v>38.68</v>
      </c>
      <c r="F2343" s="408">
        <v>4.4999999999999998E-2</v>
      </c>
      <c r="G2343" s="526">
        <f t="shared" si="37"/>
        <v>40.502617801047123</v>
      </c>
      <c r="H2343" s="526" t="s">
        <v>2148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4" t="str">
        <f>LEFT(base[[#This Row],[Evento / Mercado]],FIND("/",base[[#This Row],[Evento / Mercado]])-2)</f>
        <v>FK Tukums 2000 vs Riga FC</v>
      </c>
      <c r="T2343" s="1420">
        <f>base[[#This Row],[Data de liquidação]]</f>
        <v>46162.529108796298</v>
      </c>
    </row>
    <row r="2344" spans="2:20" ht="15" customHeight="1">
      <c r="B2344" s="794" t="s">
        <v>2805</v>
      </c>
      <c r="C2344" s="911" t="s">
        <v>3556</v>
      </c>
      <c r="D2344" s="1357">
        <v>46162.531898148147</v>
      </c>
      <c r="E2344" s="887">
        <v>3.29</v>
      </c>
      <c r="F2344" s="408">
        <v>4.4999999999999998E-2</v>
      </c>
      <c r="G2344" s="526">
        <f t="shared" si="37"/>
        <v>3.4450261780104712</v>
      </c>
      <c r="H2344" s="526" t="s">
        <v>2724</v>
      </c>
      <c r="I2344" s="524" t="s">
        <v>2815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4" t="str">
        <f>LEFT(base[[#This Row],[Evento / Mercado]],FIND("/",base[[#This Row],[Evento / Mercado]])-2)</f>
        <v>Ilves vs FC Inter Turku</v>
      </c>
      <c r="T2344" s="1420">
        <f>base[[#This Row],[Data de liquidação]]</f>
        <v>46162.531898148147</v>
      </c>
    </row>
    <row r="2345" spans="2:20" ht="15" customHeight="1">
      <c r="B2345" s="794" t="s">
        <v>2804</v>
      </c>
      <c r="C2345" s="911" t="s">
        <v>3556</v>
      </c>
      <c r="D2345" s="1357">
        <v>46162.57309027778</v>
      </c>
      <c r="E2345" s="887">
        <v>-10.01</v>
      </c>
      <c r="F2345" s="408">
        <v>4.4999999999999998E-2</v>
      </c>
      <c r="G2345" s="526">
        <f t="shared" si="37"/>
        <v>-10.01</v>
      </c>
      <c r="H2345" s="526" t="s">
        <v>2724</v>
      </c>
      <c r="I2345" s="524" t="s">
        <v>2815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4" t="str">
        <f>LEFT(base[[#This Row],[Evento / Mercado]],FIND("/",base[[#This Row],[Evento / Mercado]])-2)</f>
        <v>FC Kuressaare vs FC Nõmme United</v>
      </c>
      <c r="T2345" s="1420">
        <f>base[[#This Row],[Data de liquidação]]</f>
        <v>46162.57309027778</v>
      </c>
    </row>
    <row r="2346" spans="2:20" ht="15" customHeight="1">
      <c r="B2346" s="794" t="s">
        <v>2803</v>
      </c>
      <c r="C2346" s="911" t="s">
        <v>3556</v>
      </c>
      <c r="D2346" s="1357">
        <v>46162.574282407404</v>
      </c>
      <c r="E2346" s="887">
        <v>-50</v>
      </c>
      <c r="F2346" s="408">
        <v>4.4999999999999998E-2</v>
      </c>
      <c r="G2346" s="526">
        <f t="shared" si="37"/>
        <v>-50</v>
      </c>
      <c r="H2346" s="526" t="s">
        <v>2148</v>
      </c>
      <c r="I2346" s="524" t="s">
        <v>1795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4" t="str">
        <f>LEFT(base[[#This Row],[Evento / Mercado]],FIND("/",base[[#This Row],[Evento / Mercado]])-2)</f>
        <v>Narva Trans vs Paide Linnameeskond</v>
      </c>
      <c r="T2346" s="1420">
        <f>base[[#This Row],[Data de liquidação]]</f>
        <v>46162.574282407404</v>
      </c>
    </row>
    <row r="2347" spans="2:20" ht="15" customHeight="1">
      <c r="B2347" s="794" t="s">
        <v>2802</v>
      </c>
      <c r="C2347" s="911" t="s">
        <v>3556</v>
      </c>
      <c r="D2347" s="1357">
        <v>46162.577835648146</v>
      </c>
      <c r="E2347" s="887">
        <v>1.77</v>
      </c>
      <c r="F2347" s="408">
        <v>4.4999999999999998E-2</v>
      </c>
      <c r="G2347" s="526">
        <f t="shared" si="37"/>
        <v>1.8534031413612566</v>
      </c>
      <c r="H2347" s="494" t="s">
        <v>2724</v>
      </c>
      <c r="I2347" s="494" t="s">
        <v>1555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4" t="str">
        <f>LEFT(base[[#This Row],[Evento / Mercado]],FIND("/",base[[#This Row],[Evento / Mercado]])-2)</f>
        <v>FK Tukums 2000 vs Riga FC</v>
      </c>
      <c r="T2347" s="1420">
        <f>base[[#This Row],[Data de liquidação]]</f>
        <v>46162.577835648146</v>
      </c>
    </row>
    <row r="2348" spans="2:20" ht="15" customHeight="1">
      <c r="B2348" s="794" t="s">
        <v>2801</v>
      </c>
      <c r="C2348" s="911" t="s">
        <v>3556</v>
      </c>
      <c r="D2348" s="1357">
        <v>46162.62027777778</v>
      </c>
      <c r="E2348" s="887">
        <v>7.74</v>
      </c>
      <c r="F2348" s="408">
        <v>4.4999999999999998E-2</v>
      </c>
      <c r="G2348" s="526">
        <f t="shared" si="37"/>
        <v>8.1047120418848166</v>
      </c>
      <c r="H2348" s="494" t="s">
        <v>2724</v>
      </c>
      <c r="I2348" s="524" t="s">
        <v>2816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4" t="str">
        <f>LEFT(base[[#This Row],[Evento / Mercado]],FIND("/",base[[#This Row],[Evento / Mercado]])-2)</f>
        <v>FC Kuressaare vs FC Nõmme United</v>
      </c>
      <c r="T2348" s="1420">
        <f>base[[#This Row],[Data de liquidação]]</f>
        <v>46162.62027777778</v>
      </c>
    </row>
    <row r="2349" spans="2:20" ht="15" customHeight="1">
      <c r="B2349" s="794" t="s">
        <v>2800</v>
      </c>
      <c r="C2349" s="911" t="s">
        <v>3556</v>
      </c>
      <c r="D2349" s="1357">
        <v>46162.621331018519</v>
      </c>
      <c r="E2349" s="887">
        <v>-10</v>
      </c>
      <c r="F2349" s="408">
        <v>4.4999999999999998E-2</v>
      </c>
      <c r="G2349" s="526">
        <f t="shared" si="37"/>
        <v>-10</v>
      </c>
      <c r="H2349" s="494" t="s">
        <v>2724</v>
      </c>
      <c r="I2349" s="524" t="s">
        <v>2818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4" t="str">
        <f>LEFT(base[[#This Row],[Evento / Mercado]],FIND("/",base[[#This Row],[Evento / Mercado]])-2)</f>
        <v>Narva Trans vs Paide Linnameeskond</v>
      </c>
      <c r="T2349" s="1420">
        <f>base[[#This Row],[Data de liquidação]]</f>
        <v>46162.621331018519</v>
      </c>
    </row>
    <row r="2350" spans="2:20" ht="15" customHeight="1">
      <c r="B2350" s="794" t="s">
        <v>2799</v>
      </c>
      <c r="C2350" s="911" t="s">
        <v>3556</v>
      </c>
      <c r="D2350" s="1357">
        <v>46162.627743055556</v>
      </c>
      <c r="E2350" s="887">
        <v>-10</v>
      </c>
      <c r="F2350" s="408">
        <v>4.4999999999999998E-2</v>
      </c>
      <c r="G2350" s="526">
        <f t="shared" si="37"/>
        <v>-10</v>
      </c>
      <c r="H2350" s="494" t="s">
        <v>2724</v>
      </c>
      <c r="I2350" s="524" t="s">
        <v>2817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4" t="str">
        <f>LEFT(base[[#This Row],[Evento / Mercado]],FIND("/",base[[#This Row],[Evento / Mercado]])-2)</f>
        <v>Lokomotiv Plovdiv vs CSKA Sofia</v>
      </c>
      <c r="T2350" s="1420">
        <f>base[[#This Row],[Data de liquidação]]</f>
        <v>46162.627743055556</v>
      </c>
    </row>
    <row r="2351" spans="2:20" ht="15" customHeight="1">
      <c r="B2351" s="794" t="s">
        <v>2798</v>
      </c>
      <c r="C2351" s="911" t="s">
        <v>3556</v>
      </c>
      <c r="D2351" s="1357">
        <v>46162.63</v>
      </c>
      <c r="E2351" s="887">
        <v>17.36</v>
      </c>
      <c r="F2351" s="408">
        <v>4.4999999999999998E-2</v>
      </c>
      <c r="G2351" s="526">
        <f t="shared" si="37"/>
        <v>18.178010471204189</v>
      </c>
      <c r="H2351" s="526" t="s">
        <v>2148</v>
      </c>
      <c r="I2351" s="524" t="s">
        <v>1795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4" t="str">
        <f>LEFT(base[[#This Row],[Evento / Mercado]],FIND("/",base[[#This Row],[Evento / Mercado]])-2)</f>
        <v>Palermo vs Catanzaro</v>
      </c>
      <c r="T2351" s="1420">
        <f>base[[#This Row],[Data de liquidação]]</f>
        <v>46162.63</v>
      </c>
    </row>
    <row r="2352" spans="2:20" ht="15" customHeight="1">
      <c r="B2352" s="794" t="s">
        <v>2797</v>
      </c>
      <c r="C2352" s="911" t="s">
        <v>3556</v>
      </c>
      <c r="D2352" s="1357">
        <v>46162.63076388889</v>
      </c>
      <c r="E2352" s="887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4" t="str">
        <f>LEFT(base[[#This Row],[Evento / Mercado]],FIND("/",base[[#This Row],[Evento / Mercado]])-2)</f>
        <v>Ranheim vs Hødd</v>
      </c>
      <c r="T2352" s="1420">
        <f>base[[#This Row],[Data de liquidação]]</f>
        <v>46162.63076388889</v>
      </c>
    </row>
    <row r="2353" spans="2:22" ht="15" customHeight="1">
      <c r="B2353" s="794" t="s">
        <v>2796</v>
      </c>
      <c r="C2353" s="911" t="s">
        <v>3556</v>
      </c>
      <c r="D2353" s="1357">
        <v>46162.644490740742</v>
      </c>
      <c r="E2353" s="887">
        <v>12.24</v>
      </c>
      <c r="F2353" s="408">
        <v>4.4999999999999998E-2</v>
      </c>
      <c r="G2353" s="526">
        <f t="shared" si="37"/>
        <v>12.816753926701571</v>
      </c>
      <c r="H2353" s="526" t="s">
        <v>2148</v>
      </c>
      <c r="I2353" s="524" t="s">
        <v>1795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4" t="str">
        <f>LEFT(base[[#This Row],[Evento / Mercado]],FIND("/",base[[#This Row],[Evento / Mercado]])-2)</f>
        <v>Aalesunds FK vs Brann</v>
      </c>
      <c r="T2353" s="1420">
        <f>base[[#This Row],[Data de liquidação]]</f>
        <v>46162.644490740742</v>
      </c>
    </row>
    <row r="2354" spans="2:22" ht="15" customHeight="1">
      <c r="B2354" s="794" t="s">
        <v>2795</v>
      </c>
      <c r="C2354" s="911" t="s">
        <v>3556</v>
      </c>
      <c r="D2354" s="1357">
        <v>46162.65185185185</v>
      </c>
      <c r="E2354" s="887">
        <v>-10</v>
      </c>
      <c r="F2354" s="408">
        <v>4.4999999999999998E-2</v>
      </c>
      <c r="G2354" s="526">
        <f t="shared" si="37"/>
        <v>-10</v>
      </c>
      <c r="H2354" s="494" t="s">
        <v>2724</v>
      </c>
      <c r="I2354" s="524" t="s">
        <v>2818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4" t="str">
        <f>LEFT(base[[#This Row],[Evento / Mercado]],FIND("/",base[[#This Row],[Evento / Mercado]])-2)</f>
        <v>Willem II vs FC Volendam</v>
      </c>
      <c r="T2354" s="1420">
        <f>base[[#This Row],[Data de liquidação]]</f>
        <v>46162.65185185185</v>
      </c>
    </row>
    <row r="2355" spans="2:22" ht="15" customHeight="1">
      <c r="B2355" s="794" t="s">
        <v>2794</v>
      </c>
      <c r="C2355" s="911" t="s">
        <v>3556</v>
      </c>
      <c r="D2355" s="1357">
        <v>46162.656898148147</v>
      </c>
      <c r="E2355" s="887">
        <v>13.64</v>
      </c>
      <c r="F2355" s="408">
        <v>4.4999999999999998E-2</v>
      </c>
      <c r="G2355" s="526">
        <f t="shared" si="37"/>
        <v>14.282722513089006</v>
      </c>
      <c r="H2355" s="526" t="s">
        <v>2148</v>
      </c>
      <c r="I2355" s="524" t="s">
        <v>1795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4" t="str">
        <f>LEFT(base[[#This Row],[Evento / Mercado]],FIND("/",base[[#This Row],[Evento / Mercado]])-2)</f>
        <v>Al Najma Club vs Al-Shabab Riyadh</v>
      </c>
      <c r="T2355" s="1420">
        <f>base[[#This Row],[Data de liquidação]]</f>
        <v>46162.656898148147</v>
      </c>
    </row>
    <row r="2356" spans="2:22" ht="15" customHeight="1">
      <c r="B2356" s="794" t="s">
        <v>2793</v>
      </c>
      <c r="C2356" s="911" t="s">
        <v>3556</v>
      </c>
      <c r="D2356" s="1357">
        <v>46162.661527777775</v>
      </c>
      <c r="E2356" s="887">
        <v>3.5335000000000001</v>
      </c>
      <c r="F2356" s="408">
        <v>4.4999999999999998E-2</v>
      </c>
      <c r="G2356" s="526">
        <f t="shared" si="37"/>
        <v>3.7</v>
      </c>
      <c r="H2356" s="494" t="s">
        <v>2724</v>
      </c>
      <c r="I2356" s="494" t="s">
        <v>1555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4" t="str">
        <f>LEFT(base[[#This Row],[Evento / Mercado]],FIND("/",base[[#This Row],[Evento / Mercado]])-2)</f>
        <v>GAIS vs Hammarby IF</v>
      </c>
      <c r="T2356" s="142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94" t="s">
        <v>2793</v>
      </c>
      <c r="C2357" s="911" t="s">
        <v>3556</v>
      </c>
      <c r="D2357" s="1357">
        <v>46162.661527777775</v>
      </c>
      <c r="E2357" s="887">
        <v>6.3698499999999996</v>
      </c>
      <c r="F2357" s="408">
        <v>4.4999999999999998E-2</v>
      </c>
      <c r="G2357" s="526">
        <f t="shared" si="37"/>
        <v>6.67</v>
      </c>
      <c r="H2357" s="526" t="s">
        <v>1666</v>
      </c>
      <c r="I2357" s="524" t="s">
        <v>1759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4" t="str">
        <f>LEFT(base[[#This Row],[Evento / Mercado]],FIND("/",base[[#This Row],[Evento / Mercado]])-2)</f>
        <v>GAIS vs Hammarby IF</v>
      </c>
      <c r="T2357" s="142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94" t="s">
        <v>2792</v>
      </c>
      <c r="C2358" s="911" t="s">
        <v>3556</v>
      </c>
      <c r="D2358" s="1357">
        <v>46162.662106481483</v>
      </c>
      <c r="E2358" s="887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4" t="str">
        <f>LEFT(base[[#This Row],[Evento / Mercado]],FIND("/",base[[#This Row],[Evento / Mercado]])-2)</f>
        <v>Åsane vs Sandnes Ulf</v>
      </c>
      <c r="T2358" s="1420">
        <f>base[[#This Row],[Data de liquidação]]</f>
        <v>46162.662106481483</v>
      </c>
    </row>
    <row r="2359" spans="2:22" ht="15" customHeight="1">
      <c r="B2359" s="794" t="s">
        <v>2791</v>
      </c>
      <c r="C2359" s="911" t="s">
        <v>3556</v>
      </c>
      <c r="D2359" s="1357">
        <v>46162.662476851852</v>
      </c>
      <c r="E2359" s="887">
        <v>31.99</v>
      </c>
      <c r="F2359" s="408">
        <v>4.4999999999999998E-2</v>
      </c>
      <c r="G2359" s="526">
        <f t="shared" si="37"/>
        <v>33.497382198952877</v>
      </c>
      <c r="H2359" s="526" t="s">
        <v>2148</v>
      </c>
      <c r="I2359" s="524" t="s">
        <v>2151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4" t="str">
        <f>LEFT(base[[#This Row],[Evento / Mercado]],FIND("/",base[[#This Row],[Evento / Mercado]])-2)</f>
        <v>Ranheim vs Hødd</v>
      </c>
      <c r="T2359" s="1420">
        <f>base[[#This Row],[Data de liquidação]]</f>
        <v>46162.662476851852</v>
      </c>
    </row>
    <row r="2360" spans="2:22" ht="15" customHeight="1">
      <c r="B2360" s="794" t="s">
        <v>2790</v>
      </c>
      <c r="C2360" s="911" t="s">
        <v>3556</v>
      </c>
      <c r="D2360" s="1357">
        <v>46162.679282407407</v>
      </c>
      <c r="E2360" s="887">
        <v>-10</v>
      </c>
      <c r="F2360" s="408">
        <v>4.4999999999999998E-2</v>
      </c>
      <c r="G2360" s="526">
        <f t="shared" si="37"/>
        <v>-10</v>
      </c>
      <c r="H2360" s="494" t="s">
        <v>2724</v>
      </c>
      <c r="I2360" s="524" t="s">
        <v>2725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4" t="str">
        <f>LEFT(base[[#This Row],[Evento / Mercado]],FIND("/",base[[#This Row],[Evento / Mercado]])-2)</f>
        <v>SC União Torreense vs Casa Pia</v>
      </c>
      <c r="T2360" s="142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94" t="s">
        <v>2790</v>
      </c>
      <c r="C2361" s="911" t="s">
        <v>3556</v>
      </c>
      <c r="D2361" s="1357">
        <v>46162.679282407407</v>
      </c>
      <c r="E2361" s="887">
        <v>6.1</v>
      </c>
      <c r="F2361" s="408">
        <v>0</v>
      </c>
      <c r="G2361" s="526">
        <f t="shared" si="37"/>
        <v>6.1</v>
      </c>
      <c r="H2361" s="494" t="s">
        <v>2724</v>
      </c>
      <c r="I2361" s="524" t="s">
        <v>1555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4" t="str">
        <f>LEFT(base[[#This Row],[Evento / Mercado]],FIND("/",base[[#This Row],[Evento / Mercado]])-2)</f>
        <v>SC União Torreense vs Casa Pia</v>
      </c>
      <c r="T2361" s="142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94" t="s">
        <v>2789</v>
      </c>
      <c r="C2362" s="911" t="s">
        <v>3556</v>
      </c>
      <c r="D2362" s="1357">
        <v>46162.687430555554</v>
      </c>
      <c r="E2362" s="887">
        <v>-6.25</v>
      </c>
      <c r="F2362" s="408">
        <v>4.4999999999999998E-2</v>
      </c>
      <c r="G2362" s="526">
        <f t="shared" si="37"/>
        <v>-6.25</v>
      </c>
      <c r="H2362" s="526" t="s">
        <v>1666</v>
      </c>
      <c r="I2362" s="524" t="s">
        <v>1558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4" t="str">
        <f>LEFT(base[[#This Row],[Evento / Mercado]],FIND("/",base[[#This Row],[Evento / Mercado]])-2)</f>
        <v>Aalesunds FK vs Brann</v>
      </c>
      <c r="T2362" s="1420">
        <f>base[[#This Row],[Data de liquidação]]</f>
        <v>46162.687430555554</v>
      </c>
    </row>
    <row r="2363" spans="2:22" ht="15" customHeight="1">
      <c r="B2363" s="794" t="s">
        <v>2788</v>
      </c>
      <c r="C2363" s="911" t="s">
        <v>3556</v>
      </c>
      <c r="D2363" s="1357">
        <v>46162.691574074073</v>
      </c>
      <c r="E2363" s="887">
        <v>22.44</v>
      </c>
      <c r="F2363" s="408">
        <v>4.4999999999999998E-2</v>
      </c>
      <c r="G2363" s="526">
        <f t="shared" si="37"/>
        <v>23.497382198952881</v>
      </c>
      <c r="H2363" s="526" t="s">
        <v>2148</v>
      </c>
      <c r="I2363" s="524" t="s">
        <v>1795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4" t="str">
        <f>LEFT(base[[#This Row],[Evento / Mercado]],FIND("/",base[[#This Row],[Evento / Mercado]])-2)</f>
        <v>CR Belouizdad vs MC Oran</v>
      </c>
      <c r="T2363" s="1420">
        <f>base[[#This Row],[Data de liquidação]]</f>
        <v>46162.691574074073</v>
      </c>
    </row>
    <row r="2364" spans="2:22" ht="15" customHeight="1">
      <c r="B2364" s="794" t="s">
        <v>2787</v>
      </c>
      <c r="C2364" s="911" t="s">
        <v>3556</v>
      </c>
      <c r="D2364" s="1357">
        <v>46162.69630787037</v>
      </c>
      <c r="E2364" s="887">
        <v>22.21</v>
      </c>
      <c r="F2364" s="408">
        <v>4.4999999999999998E-2</v>
      </c>
      <c r="G2364" s="526">
        <f t="shared" si="37"/>
        <v>23.256544502617803</v>
      </c>
      <c r="H2364" s="526" t="s">
        <v>2148</v>
      </c>
      <c r="I2364" s="524" t="s">
        <v>1795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4" t="str">
        <f>LEFT(base[[#This Row],[Evento / Mercado]],FIND("/",base[[#This Row],[Evento / Mercado]])-2)</f>
        <v>SC Freiburg vs Aston Villa</v>
      </c>
      <c r="T2364" s="1420">
        <f>base[[#This Row],[Data de liquidação]]</f>
        <v>46162.69630787037</v>
      </c>
    </row>
    <row r="2365" spans="2:22" ht="15" customHeight="1">
      <c r="B2365" s="794" t="s">
        <v>2786</v>
      </c>
      <c r="C2365" s="911" t="s">
        <v>3556</v>
      </c>
      <c r="D2365" s="1357">
        <v>46162.698680555557</v>
      </c>
      <c r="E2365" s="887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392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2032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4" t="str">
        <f>LEFT(base[[#This Row],[Evento / Mercado]],FIND("/",base[[#This Row],[Evento / Mercado]])-2)</f>
        <v>Lillestrøm SK vs Kristiansund BK</v>
      </c>
      <c r="T2365" s="1420">
        <f>base[[#This Row],[Data de liquidação]]</f>
        <v>46162.698680555557</v>
      </c>
    </row>
    <row r="2366" spans="2:22" ht="15" customHeight="1">
      <c r="B2366" s="794" t="s">
        <v>2786</v>
      </c>
      <c r="C2366" s="911" t="s">
        <v>3556</v>
      </c>
      <c r="D2366" s="1357">
        <v>46162.698680555557</v>
      </c>
      <c r="E2366" s="887">
        <v>-50</v>
      </c>
      <c r="F2366" s="408">
        <v>4.4999999999999998E-2</v>
      </c>
      <c r="G2366" s="526">
        <f t="shared" si="37"/>
        <v>-50</v>
      </c>
      <c r="H2366" s="526" t="s">
        <v>2148</v>
      </c>
      <c r="I2366" s="524" t="s">
        <v>2151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4" t="str">
        <f>LEFT(base[[#This Row],[Evento / Mercado]],FIND("/",base[[#This Row],[Evento / Mercado]])-2)</f>
        <v>Lillestrøm SK vs Kristiansund BK</v>
      </c>
      <c r="T2366" s="1420">
        <f>base[[#This Row],[Data de liquidação]]</f>
        <v>46162.698680555557</v>
      </c>
    </row>
    <row r="2367" spans="2:22" ht="15" customHeight="1">
      <c r="B2367" s="794" t="s">
        <v>2785</v>
      </c>
      <c r="C2367" s="911" t="s">
        <v>3556</v>
      </c>
      <c r="D2367" s="1357">
        <v>46162.704282407409</v>
      </c>
      <c r="E2367" s="887">
        <v>-9.4</v>
      </c>
      <c r="F2367" s="408">
        <v>4.4999999999999998E-2</v>
      </c>
      <c r="G2367" s="526">
        <f t="shared" si="37"/>
        <v>-9.4</v>
      </c>
      <c r="H2367" s="526" t="s">
        <v>1666</v>
      </c>
      <c r="I2367" s="524" t="s">
        <v>1558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4" t="str">
        <f>LEFT(base[[#This Row],[Evento / Mercado]],FIND("/",base[[#This Row],[Evento / Mercado]])-2)</f>
        <v>Palermo vs Catanzaro</v>
      </c>
      <c r="T2367" s="1420">
        <f>base[[#This Row],[Data de liquidação]]</f>
        <v>46162.704282407409</v>
      </c>
    </row>
    <row r="2368" spans="2:22" ht="15" customHeight="1">
      <c r="B2368" s="794" t="s">
        <v>2784</v>
      </c>
      <c r="C2368" s="911" t="s">
        <v>3556</v>
      </c>
      <c r="D2368" s="1357">
        <v>46162.706944444442</v>
      </c>
      <c r="E2368" s="887">
        <v>45.36</v>
      </c>
      <c r="F2368" s="408">
        <v>4.4999999999999998E-2</v>
      </c>
      <c r="G2368" s="526">
        <f t="shared" si="37"/>
        <v>47.497382198952884</v>
      </c>
      <c r="H2368" s="526" t="s">
        <v>2148</v>
      </c>
      <c r="I2368" s="524" t="s">
        <v>2816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4" t="str">
        <f>LEFT(base[[#This Row],[Evento / Mercado]],FIND("/",base[[#This Row],[Evento / Mercado]])-2)</f>
        <v>Aalesunds FK vs Brann</v>
      </c>
      <c r="T2368" s="1420">
        <f>base[[#This Row],[Data de liquidação]]</f>
        <v>46162.706944444442</v>
      </c>
    </row>
    <row r="2369" spans="2:20" ht="15" customHeight="1">
      <c r="B2369" s="794" t="s">
        <v>2783</v>
      </c>
      <c r="C2369" s="911" t="s">
        <v>3556</v>
      </c>
      <c r="D2369" s="1357">
        <v>46162.707974537036</v>
      </c>
      <c r="E2369" s="887">
        <v>9.2799999999999994</v>
      </c>
      <c r="F2369" s="408">
        <v>4.4999999999999998E-2</v>
      </c>
      <c r="G2369" s="526">
        <f t="shared" si="37"/>
        <v>9.7172774869109944</v>
      </c>
      <c r="H2369" s="526" t="s">
        <v>1666</v>
      </c>
      <c r="I2369" s="524" t="s">
        <v>1759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4" t="str">
        <f>LEFT(base[[#This Row],[Evento / Mercado]],FIND("/",base[[#This Row],[Evento / Mercado]])-2)</f>
        <v>Al Najma Club vs Al-Shabab Riyadh</v>
      </c>
      <c r="T2369" s="1420">
        <f>base[[#This Row],[Data de liquidação]]</f>
        <v>46162.707974537036</v>
      </c>
    </row>
    <row r="2370" spans="2:20" ht="15" customHeight="1">
      <c r="B2370" s="794" t="s">
        <v>2782</v>
      </c>
      <c r="C2370" s="911" t="s">
        <v>3556</v>
      </c>
      <c r="D2370" s="1357">
        <v>46162.708020833335</v>
      </c>
      <c r="E2370" s="887">
        <v>6.49</v>
      </c>
      <c r="F2370" s="408">
        <v>4.4999999999999998E-2</v>
      </c>
      <c r="G2370" s="526">
        <f t="shared" si="37"/>
        <v>6.7958115183246077</v>
      </c>
      <c r="H2370" s="526" t="s">
        <v>1666</v>
      </c>
      <c r="I2370" s="524" t="s">
        <v>1665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4" t="str">
        <f>LEFT(base[[#This Row],[Evento / Mercado]],FIND("/",base[[#This Row],[Evento / Mercado]])-2)</f>
        <v>Al Najma Club vs Al-Shabab Riyadh</v>
      </c>
      <c r="T2370" s="1420">
        <f>base[[#This Row],[Data de liquidação]]</f>
        <v>46162.708020833335</v>
      </c>
    </row>
    <row r="2371" spans="2:20" ht="15" customHeight="1">
      <c r="B2371" s="794" t="s">
        <v>1949</v>
      </c>
      <c r="C2371" s="911" t="s">
        <v>3556</v>
      </c>
      <c r="D2371" s="1357">
        <v>46162.718449074076</v>
      </c>
      <c r="E2371" s="887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2148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4" t="str">
        <f>LEFT(base[[#This Row],[Evento / Mercado]],FIND("/",base[[#This Row],[Evento / Mercado]])-2)</f>
        <v>Palermo vs Catanzaro</v>
      </c>
      <c r="T2371" s="1420">
        <f>base[[#This Row],[Data de liquidação]]</f>
        <v>46162.718449074076</v>
      </c>
    </row>
    <row r="2372" spans="2:20" ht="15" customHeight="1">
      <c r="B2372" s="794" t="s">
        <v>2781</v>
      </c>
      <c r="C2372" s="911" t="s">
        <v>3556</v>
      </c>
      <c r="D2372" s="1357">
        <v>46162.744513888887</v>
      </c>
      <c r="E2372" s="887">
        <v>-50</v>
      </c>
      <c r="F2372" s="408">
        <v>4.4999999999999998E-2</v>
      </c>
      <c r="G2372" s="526">
        <f t="shared" si="38"/>
        <v>-50</v>
      </c>
      <c r="H2372" s="526" t="s">
        <v>2148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4" t="str">
        <f>LEFT(base[[#This Row],[Evento / Mercado]],FIND("/",base[[#This Row],[Evento / Mercado]])-2)</f>
        <v>SC Freiburg vs Aston Villa</v>
      </c>
      <c r="T2372" s="1420">
        <f>base[[#This Row],[Data de liquidação]]</f>
        <v>46162.744513888887</v>
      </c>
    </row>
    <row r="2373" spans="2:20" ht="15" customHeight="1">
      <c r="B2373" s="794" t="s">
        <v>2780</v>
      </c>
      <c r="C2373" s="911" t="s">
        <v>3556</v>
      </c>
      <c r="D2373" s="1357">
        <v>46162.78565972222</v>
      </c>
      <c r="E2373" s="887">
        <v>-10</v>
      </c>
      <c r="F2373" s="408">
        <v>4.4999999999999998E-2</v>
      </c>
      <c r="G2373" s="526">
        <f t="shared" si="38"/>
        <v>-10</v>
      </c>
      <c r="H2373" s="494" t="s">
        <v>2724</v>
      </c>
      <c r="I2373" s="524" t="s">
        <v>2149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4" t="str">
        <f>LEFT(base[[#This Row],[Evento / Mercado]],FIND("/",base[[#This Row],[Evento / Mercado]])-2)</f>
        <v>Talleres de Córdoba vs Atlético Tucumán</v>
      </c>
      <c r="T2373" s="1420">
        <f>base[[#This Row],[Data de liquidação]]</f>
        <v>46162.78565972222</v>
      </c>
    </row>
    <row r="2374" spans="2:20" ht="15" customHeight="1">
      <c r="B2374" s="794" t="s">
        <v>2779</v>
      </c>
      <c r="C2374" s="911" t="s">
        <v>3556</v>
      </c>
      <c r="D2374" s="1357">
        <v>46162.789525462962</v>
      </c>
      <c r="E2374" s="887">
        <v>-9.99</v>
      </c>
      <c r="F2374" s="408">
        <v>4.4999999999999998E-2</v>
      </c>
      <c r="G2374" s="526">
        <f t="shared" si="38"/>
        <v>-9.99</v>
      </c>
      <c r="H2374" s="494" t="s">
        <v>2724</v>
      </c>
      <c r="I2374" s="524" t="s">
        <v>1555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4" t="str">
        <f>LEFT(base[[#This Row],[Evento / Mercado]],FIND("/",base[[#This Row],[Evento / Mercado]])-2)</f>
        <v>Fortaleza FC vs Orsomarso SC</v>
      </c>
      <c r="T2374" s="1420">
        <f>base[[#This Row],[Data de liquidação]]</f>
        <v>46162.789525462962</v>
      </c>
    </row>
    <row r="2375" spans="2:20" ht="15" customHeight="1">
      <c r="B2375" s="794" t="s">
        <v>2778</v>
      </c>
      <c r="C2375" s="911" t="s">
        <v>3556</v>
      </c>
      <c r="D2375" s="1357">
        <v>46162.871724537035</v>
      </c>
      <c r="E2375" s="887">
        <v>4.4400000000000004</v>
      </c>
      <c r="F2375" s="408">
        <v>4.4999999999999998E-2</v>
      </c>
      <c r="G2375" s="526">
        <f t="shared" si="38"/>
        <v>4.6492146596858648</v>
      </c>
      <c r="H2375" s="494" t="s">
        <v>2724</v>
      </c>
      <c r="I2375" s="524" t="s">
        <v>1555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4" t="str">
        <f>LEFT(base[[#This Row],[Evento / Mercado]],FIND("/",base[[#This Row],[Evento / Mercado]])-2)</f>
        <v>Gremio Novorizontino vs Chapecoense</v>
      </c>
      <c r="T2375" s="1420">
        <f>base[[#This Row],[Data de liquidação]]</f>
        <v>46162.871724537035</v>
      </c>
    </row>
    <row r="2376" spans="2:20" ht="15" customHeight="1">
      <c r="B2376" s="794" t="s">
        <v>2777</v>
      </c>
      <c r="C2376" s="911" t="s">
        <v>3556</v>
      </c>
      <c r="D2376" s="1357">
        <v>46162.977384259262</v>
      </c>
      <c r="E2376" s="887">
        <v>5.55</v>
      </c>
      <c r="F2376" s="408">
        <v>4.4999999999999998E-2</v>
      </c>
      <c r="G2376" s="526">
        <f t="shared" si="38"/>
        <v>5.8115183246073299</v>
      </c>
      <c r="H2376" s="526" t="s">
        <v>2148</v>
      </c>
      <c r="I2376" s="524" t="s">
        <v>2149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4" t="str">
        <f>LEFT(base[[#This Row],[Evento / Mercado]],FIND("/",base[[#This Row],[Evento / Mercado]])-2)</f>
        <v>Flamengo vs Estudiantes de La Plata</v>
      </c>
      <c r="T2376" s="1420">
        <f>base[[#This Row],[Data de liquidação]]</f>
        <v>46162.977384259262</v>
      </c>
    </row>
    <row r="2377" spans="2:20" ht="15" customHeight="1">
      <c r="B2377" s="794" t="s">
        <v>2776</v>
      </c>
      <c r="C2377" s="911" t="s">
        <v>3556</v>
      </c>
      <c r="D2377" s="1357">
        <v>46162.980358796296</v>
      </c>
      <c r="E2377" s="887">
        <v>-379.99</v>
      </c>
      <c r="F2377" s="408">
        <v>4.4999999999999998E-2</v>
      </c>
      <c r="G2377" s="526">
        <f t="shared" si="38"/>
        <v>-379.99</v>
      </c>
      <c r="H2377" s="526" t="s">
        <v>179</v>
      </c>
      <c r="I2377" s="524" t="s">
        <v>392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2819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4" t="str">
        <f>LEFT(base[[#This Row],[Evento / Mercado]],FIND("/",base[[#This Row],[Evento / Mercado]])-2)</f>
        <v>Palmeiras vs Cerro Porteño</v>
      </c>
      <c r="T2377" s="1420">
        <f>base[[#This Row],[Data de liquidação]]</f>
        <v>46162.980358796296</v>
      </c>
    </row>
    <row r="2378" spans="2:20" ht="15" customHeight="1">
      <c r="B2378" s="794" t="s">
        <v>2775</v>
      </c>
      <c r="C2378" s="911" t="s">
        <v>3556</v>
      </c>
      <c r="D2378" s="1357">
        <v>46162.980451388888</v>
      </c>
      <c r="E2378" s="887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4" t="str">
        <f>LEFT(base[[#This Row],[Evento / Mercado]],FIND("/",base[[#This Row],[Evento / Mercado]])-2)</f>
        <v>Palmeiras vs Cerro Porteño</v>
      </c>
      <c r="T2378" s="1420">
        <f>base[[#This Row],[Data de liquidação]]</f>
        <v>46162.980451388888</v>
      </c>
    </row>
    <row r="2379" spans="2:20" ht="15" customHeight="1">
      <c r="B2379" s="795" t="s">
        <v>2868</v>
      </c>
      <c r="C2379" s="911" t="s">
        <v>3556</v>
      </c>
      <c r="D2379" s="1358">
        <v>46163.399062500001</v>
      </c>
      <c r="E2379" s="887">
        <v>14.14</v>
      </c>
      <c r="F2379" s="408">
        <v>0</v>
      </c>
      <c r="G2379" s="526">
        <f t="shared" si="38"/>
        <v>14.14</v>
      </c>
      <c r="H2379" s="526" t="s">
        <v>2148</v>
      </c>
      <c r="I2379" s="524" t="s">
        <v>2149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4" t="e">
        <f>LEFT(base[[#This Row],[Evento / Mercado]],FIND("/",base[[#This Row],[Evento / Mercado]])-2)</f>
        <v>#VALUE!</v>
      </c>
      <c r="T2379" s="1420">
        <f>base[[#This Row],[Data de liquidação]]</f>
        <v>46163.399062500001</v>
      </c>
    </row>
    <row r="2380" spans="2:20" ht="15" customHeight="1">
      <c r="B2380" s="795" t="s">
        <v>2867</v>
      </c>
      <c r="C2380" s="911" t="s">
        <v>3556</v>
      </c>
      <c r="D2380" s="1358">
        <v>46163.47892361111</v>
      </c>
      <c r="E2380" s="888">
        <v>-10</v>
      </c>
      <c r="F2380" s="408">
        <v>4.4999999999999998E-2</v>
      </c>
      <c r="G2380" s="541">
        <f t="shared" si="38"/>
        <v>-10</v>
      </c>
      <c r="H2380" s="541" t="s">
        <v>1666</v>
      </c>
      <c r="I2380" s="539" t="s">
        <v>1777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4" t="str">
        <f>LEFT(base[[#This Row],[Evento / Mercado]],FIND("/",base[[#This Row],[Evento / Mercado]])-2)</f>
        <v>Shakhtar Donetsk vs Kolos Kovalyovka</v>
      </c>
      <c r="T2380" s="1420">
        <f>base[[#This Row],[Data de liquidação]]</f>
        <v>46163.47892361111</v>
      </c>
    </row>
    <row r="2381" spans="2:20" ht="15" customHeight="1">
      <c r="B2381" s="795" t="s">
        <v>2866</v>
      </c>
      <c r="C2381" s="911" t="s">
        <v>3556</v>
      </c>
      <c r="D2381" s="1358">
        <v>46163.573842592596</v>
      </c>
      <c r="E2381" s="888">
        <v>8.5299999999999994</v>
      </c>
      <c r="F2381" s="408">
        <v>4.4999999999999998E-2</v>
      </c>
      <c r="G2381" s="541">
        <f t="shared" si="38"/>
        <v>8.9319371727748695</v>
      </c>
      <c r="H2381" s="526" t="s">
        <v>2148</v>
      </c>
      <c r="I2381" s="524" t="s">
        <v>2149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4" t="str">
        <f>LEFT(base[[#This Row],[Evento / Mercado]],FIND("/",base[[#This Row],[Evento / Mercado]])-2)</f>
        <v>Atromitos Athens vs Panserraikos</v>
      </c>
      <c r="T2381" s="1420">
        <f>base[[#This Row],[Data de liquidação]]</f>
        <v>46163.573842592596</v>
      </c>
    </row>
    <row r="2382" spans="2:20" ht="15" customHeight="1">
      <c r="B2382" s="795" t="s">
        <v>2865</v>
      </c>
      <c r="C2382" s="911" t="s">
        <v>3556</v>
      </c>
      <c r="D2382" s="1358">
        <v>46163.590370370373</v>
      </c>
      <c r="E2382" s="888">
        <v>14.8</v>
      </c>
      <c r="F2382" s="408">
        <v>4.4999999999999998E-2</v>
      </c>
      <c r="G2382" s="541">
        <f t="shared" si="38"/>
        <v>15.497382198952881</v>
      </c>
      <c r="H2382" s="526" t="s">
        <v>2148</v>
      </c>
      <c r="I2382" s="539" t="s">
        <v>1795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4" t="str">
        <f>LEFT(base[[#This Row],[Evento / Mercado]],FIND("/",base[[#This Row],[Evento / Mercado]])-2)</f>
        <v>Ajax vs FC Groningen</v>
      </c>
      <c r="T2382" s="1420">
        <f>base[[#This Row],[Data de liquidação]]</f>
        <v>46163.590370370373</v>
      </c>
    </row>
    <row r="2383" spans="2:20" ht="15" customHeight="1">
      <c r="B2383" s="795" t="s">
        <v>2864</v>
      </c>
      <c r="C2383" s="911" t="s">
        <v>3556</v>
      </c>
      <c r="D2383" s="1358">
        <v>46163.628495370373</v>
      </c>
      <c r="E2383" s="888">
        <v>11.46</v>
      </c>
      <c r="F2383" s="408">
        <v>4.4999999999999998E-2</v>
      </c>
      <c r="G2383" s="541">
        <f t="shared" si="38"/>
        <v>12.000000000000002</v>
      </c>
      <c r="H2383" s="526" t="s">
        <v>2148</v>
      </c>
      <c r="I2383" s="539" t="s">
        <v>1795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4" t="str">
        <f>LEFT(base[[#This Row],[Evento / Mercado]],FIND("/",base[[#This Row],[Evento / Mercado]])-2)</f>
        <v>Al-Fayha FC vs Al-Hilal Riyadh</v>
      </c>
      <c r="T2383" s="1420">
        <f>base[[#This Row],[Data de liquidação]]</f>
        <v>46163.628495370373</v>
      </c>
    </row>
    <row r="2384" spans="2:20" ht="15" customHeight="1">
      <c r="B2384" s="795" t="s">
        <v>2863</v>
      </c>
      <c r="C2384" s="911" t="s">
        <v>3556</v>
      </c>
      <c r="D2384" s="1358">
        <v>46163.652627314812</v>
      </c>
      <c r="E2384" s="888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4" t="str">
        <f>LEFT(base[[#This Row],[Evento / Mercado]],FIND("/",base[[#This Row],[Evento / Mercado]])-2)</f>
        <v>Ajax vs FC Groningen</v>
      </c>
      <c r="T2384" s="1420">
        <f>base[[#This Row],[Data de liquidação]]</f>
        <v>46163.652627314812</v>
      </c>
    </row>
    <row r="2385" spans="2:20" ht="15" customHeight="1">
      <c r="B2385" s="795" t="s">
        <v>2862</v>
      </c>
      <c r="C2385" s="911" t="s">
        <v>3556</v>
      </c>
      <c r="D2385" s="1358">
        <v>46163.659687500003</v>
      </c>
      <c r="E2385" s="888">
        <v>11.37</v>
      </c>
      <c r="F2385" s="408">
        <v>4.4999999999999998E-2</v>
      </c>
      <c r="G2385" s="541">
        <f t="shared" si="38"/>
        <v>11.905759162303665</v>
      </c>
      <c r="H2385" s="526" t="s">
        <v>2148</v>
      </c>
      <c r="I2385" s="539" t="s">
        <v>1795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4" t="str">
        <f>LEFT(base[[#This Row],[Evento / Mercado]],FIND("/",base[[#This Row],[Evento / Mercado]])-2)</f>
        <v>KV Mechelen vs Club Brugge</v>
      </c>
      <c r="T2385" s="1420">
        <f>base[[#This Row],[Data de liquidação]]</f>
        <v>46163.659687500003</v>
      </c>
    </row>
    <row r="2386" spans="2:20" ht="15" customHeight="1">
      <c r="B2386" s="795" t="s">
        <v>2861</v>
      </c>
      <c r="C2386" s="911" t="s">
        <v>3556</v>
      </c>
      <c r="D2386" s="1358">
        <v>46163.677071759259</v>
      </c>
      <c r="E2386" s="888">
        <v>-8.42</v>
      </c>
      <c r="F2386" s="408">
        <v>4.4999999999999998E-2</v>
      </c>
      <c r="G2386" s="541">
        <f t="shared" si="38"/>
        <v>-8.42</v>
      </c>
      <c r="H2386" s="526" t="s">
        <v>1666</v>
      </c>
      <c r="I2386" s="524" t="s">
        <v>1558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4" t="str">
        <f>LEFT(base[[#This Row],[Evento / Mercado]],FIND("/",base[[#This Row],[Evento / Mercado]])-2)</f>
        <v>Al-Nassr Riyadh vs Dhamk</v>
      </c>
      <c r="T2386" s="1420">
        <f>base[[#This Row],[Data de liquidação]]</f>
        <v>46163.677071759259</v>
      </c>
    </row>
    <row r="2387" spans="2:20" ht="15" customHeight="1">
      <c r="B2387" s="795" t="s">
        <v>2860</v>
      </c>
      <c r="C2387" s="911" t="s">
        <v>3556</v>
      </c>
      <c r="D2387" s="1358">
        <v>46163.694016203706</v>
      </c>
      <c r="E2387" s="888">
        <v>9.5500000000000007</v>
      </c>
      <c r="F2387" s="408">
        <v>4.4999999999999998E-2</v>
      </c>
      <c r="G2387" s="541">
        <f t="shared" si="38"/>
        <v>10.000000000000002</v>
      </c>
      <c r="H2387" s="526" t="s">
        <v>1666</v>
      </c>
      <c r="I2387" s="524" t="s">
        <v>1558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4" t="str">
        <f>LEFT(base[[#This Row],[Evento / Mercado]],FIND("/",base[[#This Row],[Evento / Mercado]])-2)</f>
        <v>KV Mechelen vs Club Brugge</v>
      </c>
      <c r="T2387" s="1420">
        <f>base[[#This Row],[Data de liquidação]]</f>
        <v>46163.694016203706</v>
      </c>
    </row>
    <row r="2388" spans="2:20" ht="15" customHeight="1">
      <c r="B2388" s="795" t="s">
        <v>2859</v>
      </c>
      <c r="C2388" s="911" t="s">
        <v>3556</v>
      </c>
      <c r="D2388" s="1358">
        <v>46163.697291666664</v>
      </c>
      <c r="E2388" s="888">
        <v>-2</v>
      </c>
      <c r="F2388" s="408">
        <v>4.4999999999999998E-2</v>
      </c>
      <c r="G2388" s="541">
        <f t="shared" si="38"/>
        <v>-2</v>
      </c>
      <c r="H2388" s="526" t="s">
        <v>1666</v>
      </c>
      <c r="I2388" s="539" t="s">
        <v>2363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4" t="str">
        <f>LEFT(base[[#This Row],[Evento / Mercado]],FIND("/",base[[#This Row],[Evento / Mercado]])-2)</f>
        <v>Neom SC vs Al-Ettifaq</v>
      </c>
      <c r="T2388" s="1420">
        <f>base[[#This Row],[Data de liquidação]]</f>
        <v>46163.697291666664</v>
      </c>
    </row>
    <row r="2389" spans="2:20" ht="15" customHeight="1">
      <c r="B2389" s="795" t="s">
        <v>2858</v>
      </c>
      <c r="C2389" s="911" t="s">
        <v>3556</v>
      </c>
      <c r="D2389" s="1358">
        <v>46163.701666666668</v>
      </c>
      <c r="E2389" s="888">
        <v>-50</v>
      </c>
      <c r="F2389" s="408">
        <v>4.4999999999999998E-2</v>
      </c>
      <c r="G2389" s="541">
        <f t="shared" si="38"/>
        <v>-50</v>
      </c>
      <c r="H2389" s="526" t="s">
        <v>2148</v>
      </c>
      <c r="I2389" s="539" t="s">
        <v>1795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4" t="str">
        <f>LEFT(base[[#This Row],[Evento / Mercado]],FIND("/",base[[#This Row],[Evento / Mercado]])-2)</f>
        <v>FC Utrecht vs Heerenveen</v>
      </c>
      <c r="T2389" s="1420">
        <f>base[[#This Row],[Data de liquidação]]</f>
        <v>46163.701666666668</v>
      </c>
    </row>
    <row r="2390" spans="2:20" ht="15" customHeight="1">
      <c r="B2390" s="795" t="s">
        <v>2857</v>
      </c>
      <c r="C2390" s="911" t="s">
        <v>3556</v>
      </c>
      <c r="D2390" s="1358">
        <v>46163.705682870372</v>
      </c>
      <c r="E2390" s="888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628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1211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4" t="str">
        <f>LEFT(base[[#This Row],[Evento / Mercado]],FIND("/",base[[#This Row],[Evento / Mercado]])-2)</f>
        <v>Al-Nassr Riyadh vs Dhamk</v>
      </c>
      <c r="T2390" s="1420">
        <f>base[[#This Row],[Data de liquidação]]</f>
        <v>46163.705682870372</v>
      </c>
    </row>
    <row r="2391" spans="2:20" ht="15" customHeight="1">
      <c r="B2391" s="795" t="s">
        <v>2856</v>
      </c>
      <c r="C2391" s="911" t="s">
        <v>3556</v>
      </c>
      <c r="D2391" s="1358">
        <v>46163.70579861111</v>
      </c>
      <c r="E2391" s="888">
        <v>20.16</v>
      </c>
      <c r="F2391" s="408">
        <v>4.4999999999999998E-2</v>
      </c>
      <c r="G2391" s="541">
        <f t="shared" si="38"/>
        <v>21.109947643979059</v>
      </c>
      <c r="H2391" s="541" t="s">
        <v>179</v>
      </c>
      <c r="I2391" s="539" t="s">
        <v>392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1211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4" t="str">
        <f>LEFT(base[[#This Row],[Evento / Mercado]],FIND("/",base[[#This Row],[Evento / Mercado]])-2)</f>
        <v>Al-Nassr Riyadh vs Dhamk</v>
      </c>
      <c r="T2391" s="1420">
        <f>base[[#This Row],[Data de liquidação]]</f>
        <v>46163.70579861111</v>
      </c>
    </row>
    <row r="2392" spans="2:20" ht="15" customHeight="1">
      <c r="B2392" s="795" t="s">
        <v>2855</v>
      </c>
      <c r="C2392" s="911" t="s">
        <v>3556</v>
      </c>
      <c r="D2392" s="1358">
        <v>46163.705995370372</v>
      </c>
      <c r="E2392" s="888">
        <v>4.6100000000000003</v>
      </c>
      <c r="F2392" s="408">
        <v>4.4999999999999998E-2</v>
      </c>
      <c r="G2392" s="541">
        <f t="shared" si="38"/>
        <v>4.8272251308900529</v>
      </c>
      <c r="H2392" s="526" t="s">
        <v>1666</v>
      </c>
      <c r="I2392" s="539" t="s">
        <v>1715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4" t="str">
        <f>LEFT(base[[#This Row],[Evento / Mercado]],FIND("/",base[[#This Row],[Evento / Mercado]])-2)</f>
        <v>Neom SC vs Al-Ettifaq</v>
      </c>
      <c r="T2392" s="1420">
        <f>base[[#This Row],[Data de liquidação]]</f>
        <v>46163.705995370372</v>
      </c>
    </row>
    <row r="2393" spans="2:20" ht="15" customHeight="1">
      <c r="B2393" s="795" t="s">
        <v>2854</v>
      </c>
      <c r="C2393" s="911" t="s">
        <v>3556</v>
      </c>
      <c r="D2393" s="1358">
        <v>46163.706064814818</v>
      </c>
      <c r="E2393" s="888">
        <v>27.91</v>
      </c>
      <c r="F2393" s="408">
        <v>4.4999999999999998E-2</v>
      </c>
      <c r="G2393" s="541">
        <f t="shared" si="38"/>
        <v>29.225130890052359</v>
      </c>
      <c r="H2393" s="541" t="s">
        <v>179</v>
      </c>
      <c r="I2393" s="539" t="s">
        <v>391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1211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4" t="str">
        <f>LEFT(base[[#This Row],[Evento / Mercado]],FIND("/",base[[#This Row],[Evento / Mercado]])-2)</f>
        <v>Al-Fayha FC vs Al-Hilal Riyadh</v>
      </c>
      <c r="T2393" s="1420">
        <f>base[[#This Row],[Data de liquidação]]</f>
        <v>46163.706064814818</v>
      </c>
    </row>
    <row r="2394" spans="2:20" ht="15" customHeight="1">
      <c r="B2394" s="795" t="s">
        <v>2853</v>
      </c>
      <c r="C2394" s="911" t="s">
        <v>3556</v>
      </c>
      <c r="D2394" s="1358">
        <v>46163.725949074076</v>
      </c>
      <c r="E2394" s="888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4" t="str">
        <f>LEFT(base[[#This Row],[Evento / Mercado]],FIND("/",base[[#This Row],[Evento / Mercado]])-2)</f>
        <v>VfL Wolfsburg vs SC Paderborn 07</v>
      </c>
      <c r="T2394" s="1420">
        <f>base[[#This Row],[Data de liquidação]]</f>
        <v>46163.725949074076</v>
      </c>
    </row>
    <row r="2395" spans="2:20" ht="15" customHeight="1">
      <c r="B2395" s="795" t="s">
        <v>2852</v>
      </c>
      <c r="C2395" s="911" t="s">
        <v>3556</v>
      </c>
      <c r="D2395" s="1358">
        <v>46163.726990740739</v>
      </c>
      <c r="E2395" s="888">
        <v>2.65</v>
      </c>
      <c r="F2395" s="408">
        <v>4.4999999999999998E-2</v>
      </c>
      <c r="G2395" s="541">
        <f t="shared" si="38"/>
        <v>2.7748691099476441</v>
      </c>
      <c r="H2395" s="526" t="s">
        <v>1666</v>
      </c>
      <c r="I2395" s="539" t="s">
        <v>1663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4" t="str">
        <f>LEFT(base[[#This Row],[Evento / Mercado]],FIND("/",base[[#This Row],[Evento / Mercado]])-2)</f>
        <v>Anderlecht vs Sint-Truidense VV</v>
      </c>
      <c r="T2395" s="1420">
        <f>base[[#This Row],[Data de liquidação]]</f>
        <v>46163.726990740739</v>
      </c>
    </row>
    <row r="2396" spans="2:20" ht="15" customHeight="1">
      <c r="B2396" s="795" t="s">
        <v>2851</v>
      </c>
      <c r="C2396" s="911" t="s">
        <v>3556</v>
      </c>
      <c r="D2396" s="1358">
        <v>46163.747488425928</v>
      </c>
      <c r="E2396" s="888">
        <v>3.61</v>
      </c>
      <c r="F2396" s="408">
        <v>4.4999999999999998E-2</v>
      </c>
      <c r="G2396" s="541">
        <f t="shared" si="38"/>
        <v>3.7801047120418847</v>
      </c>
      <c r="H2396" s="526" t="s">
        <v>1666</v>
      </c>
      <c r="I2396" s="539" t="s">
        <v>1715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4" t="str">
        <f>LEFT(base[[#This Row],[Evento / Mercado]],FIND("/",base[[#This Row],[Evento / Mercado]])-2)</f>
        <v>FC Utrecht vs Heerenveen</v>
      </c>
      <c r="T2396" s="1420">
        <f>base[[#This Row],[Data de liquidação]]</f>
        <v>46163.747488425928</v>
      </c>
    </row>
    <row r="2397" spans="2:20" ht="15" customHeight="1">
      <c r="B2397" s="795" t="s">
        <v>2850</v>
      </c>
      <c r="C2397" s="911" t="s">
        <v>3556</v>
      </c>
      <c r="D2397" s="1358">
        <v>46163.747627314813</v>
      </c>
      <c r="E2397" s="888">
        <v>14.47</v>
      </c>
      <c r="F2397" s="408">
        <v>4.4999999999999998E-2</v>
      </c>
      <c r="G2397" s="541">
        <f t="shared" si="38"/>
        <v>15.151832460732985</v>
      </c>
      <c r="H2397" s="526" t="s">
        <v>2148</v>
      </c>
      <c r="I2397" s="524" t="s">
        <v>2149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4" t="str">
        <f>LEFT(base[[#This Row],[Evento / Mercado]],FIND("/",base[[#This Row],[Evento / Mercado]])-2)</f>
        <v>FC Utrecht vs Heerenveen</v>
      </c>
      <c r="T2397" s="1420">
        <f>base[[#This Row],[Data de liquidação]]</f>
        <v>46163.747627314813</v>
      </c>
    </row>
    <row r="2398" spans="2:20" ht="15" customHeight="1">
      <c r="B2398" s="795" t="s">
        <v>2849</v>
      </c>
      <c r="C2398" s="911" t="s">
        <v>3556</v>
      </c>
      <c r="D2398" s="1358">
        <v>46163.810567129629</v>
      </c>
      <c r="E2398" s="888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4" t="str">
        <f>LEFT(base[[#This Row],[Evento / Mercado]],FIND("/",base[[#This Row],[Evento / Mercado]])-2)</f>
        <v>Academia Puerto Cabello vs Juventud de Las Piedras</v>
      </c>
      <c r="T2398" s="1420">
        <f>base[[#This Row],[Data de liquidação]]</f>
        <v>46163.810567129629</v>
      </c>
    </row>
    <row r="2399" spans="2:20" ht="15" customHeight="1">
      <c r="B2399" s="795" t="s">
        <v>2848</v>
      </c>
      <c r="C2399" s="911" t="s">
        <v>3556</v>
      </c>
      <c r="D2399" s="1358">
        <v>46163.97587962963</v>
      </c>
      <c r="E2399" s="888">
        <v>10.38</v>
      </c>
      <c r="F2399" s="408">
        <v>4.4999999999999998E-2</v>
      </c>
      <c r="G2399" s="541">
        <f t="shared" si="38"/>
        <v>10.869109947643981</v>
      </c>
      <c r="H2399" s="526" t="s">
        <v>2148</v>
      </c>
      <c r="I2399" s="524" t="s">
        <v>2149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4" t="str">
        <f>LEFT(base[[#This Row],[Evento / Mercado]],FIND("/",base[[#This Row],[Evento / Mercado]])-2)</f>
        <v>Universidad Católica vs Barcelona SC</v>
      </c>
      <c r="T2399" s="1420">
        <f>base[[#This Row],[Data de liquidação]]</f>
        <v>46163.97587962963</v>
      </c>
    </row>
    <row r="2400" spans="2:20" ht="15" customHeight="1">
      <c r="B2400" s="795" t="s">
        <v>2847</v>
      </c>
      <c r="C2400" s="911" t="s">
        <v>3556</v>
      </c>
      <c r="D2400" s="1358">
        <v>46163.998020833336</v>
      </c>
      <c r="E2400" s="888">
        <v>-50</v>
      </c>
      <c r="F2400" s="408">
        <v>4.4999999999999998E-2</v>
      </c>
      <c r="G2400" s="541">
        <f t="shared" si="38"/>
        <v>-50</v>
      </c>
      <c r="H2400" s="526" t="s">
        <v>2148</v>
      </c>
      <c r="I2400" s="539" t="s">
        <v>1795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4" t="str">
        <f>LEFT(base[[#This Row],[Evento / Mercado]],FIND("/",base[[#This Row],[Evento / Mercado]])-2)</f>
        <v>Cruz Azul vs Pumas UNAM</v>
      </c>
      <c r="T2400" s="1420">
        <f>base[[#This Row],[Data de liquidação]]</f>
        <v>46163.998020833336</v>
      </c>
    </row>
    <row r="2401" spans="2:20" ht="15" customHeight="1">
      <c r="B2401" s="795" t="s">
        <v>2881</v>
      </c>
      <c r="C2401" s="911" t="s">
        <v>3556</v>
      </c>
      <c r="D2401" s="1358">
        <v>46164.046990740739</v>
      </c>
      <c r="E2401" s="888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4" t="str">
        <f>LEFT(base[[#This Row],[Evento / Mercado]],FIND("/",base[[#This Row],[Evento / Mercado]])-2)</f>
        <v>Cruz Azul vs Pumas UNAM</v>
      </c>
      <c r="T2401" s="1420">
        <f>base[[#This Row],[Data de liquidação]]</f>
        <v>46164.046990740739</v>
      </c>
    </row>
    <row r="2402" spans="2:20" ht="15" customHeight="1">
      <c r="B2402" s="795" t="s">
        <v>2880</v>
      </c>
      <c r="C2402" s="911" t="s">
        <v>3556</v>
      </c>
      <c r="D2402" s="1358">
        <v>46164.470983796295</v>
      </c>
      <c r="E2402" s="888">
        <v>5.83</v>
      </c>
      <c r="F2402" s="408">
        <v>4.4999999999999998E-2</v>
      </c>
      <c r="G2402" s="541">
        <f t="shared" si="38"/>
        <v>6.1047120418848166</v>
      </c>
      <c r="H2402" s="526" t="s">
        <v>1666</v>
      </c>
      <c r="I2402" s="539" t="s">
        <v>1777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4" t="str">
        <f>LEFT(base[[#This Row],[Evento / Mercado]],FIND("/",base[[#This Row],[Evento / Mercado]])-2)</f>
        <v>Viettel vs PVF-Cong An Nhan Dan FC</v>
      </c>
      <c r="T2402" s="1420">
        <f>base[[#This Row],[Data de liquidação]]</f>
        <v>46164.470983796295</v>
      </c>
    </row>
    <row r="2403" spans="2:20" ht="15" customHeight="1">
      <c r="B2403" s="795" t="s">
        <v>2879</v>
      </c>
      <c r="C2403" s="911" t="s">
        <v>3556</v>
      </c>
      <c r="D2403" s="1358">
        <v>46164.534421296295</v>
      </c>
      <c r="E2403" s="888">
        <v>1.91</v>
      </c>
      <c r="F2403" s="408">
        <v>4.4999999999999998E-2</v>
      </c>
      <c r="G2403" s="541">
        <f t="shared" si="38"/>
        <v>2</v>
      </c>
      <c r="H2403" s="526" t="s">
        <v>1666</v>
      </c>
      <c r="I2403" s="539" t="s">
        <v>2331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4" t="str">
        <f>LEFT(base[[#This Row],[Evento / Mercado]],FIND("/",base[[#This Row],[Evento / Mercado]])-2)</f>
        <v>NK Osijek vs NK Slaven Belupo</v>
      </c>
      <c r="T2403" s="1420">
        <f>base[[#This Row],[Data de liquidação]]</f>
        <v>46164.534421296295</v>
      </c>
    </row>
    <row r="2404" spans="2:20" ht="15" customHeight="1">
      <c r="B2404" s="795" t="s">
        <v>2878</v>
      </c>
      <c r="C2404" s="911" t="s">
        <v>3556</v>
      </c>
      <c r="D2404" s="1358">
        <v>46164.676921296297</v>
      </c>
      <c r="E2404" s="888">
        <v>2.6</v>
      </c>
      <c r="F2404" s="408">
        <v>4.4999999999999998E-2</v>
      </c>
      <c r="G2404" s="541">
        <f t="shared" si="38"/>
        <v>2.7225130890052358</v>
      </c>
      <c r="H2404" s="526" t="s">
        <v>1666</v>
      </c>
      <c r="I2404" s="539" t="s">
        <v>2301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4" t="str">
        <f>LEFT(base[[#This Row],[Evento / Mercado]],FIND("/",base[[#This Row],[Evento / Mercado]])-2)</f>
        <v>CFR Cluj vs FC Arges Pitesti</v>
      </c>
      <c r="T2404" s="1420">
        <f>base[[#This Row],[Data de liquidação]]</f>
        <v>46164.676921296297</v>
      </c>
    </row>
    <row r="2405" spans="2:20" ht="15" customHeight="1">
      <c r="B2405" s="795" t="s">
        <v>2877</v>
      </c>
      <c r="C2405" s="911" t="s">
        <v>3556</v>
      </c>
      <c r="D2405" s="1358">
        <v>46164.700312499997</v>
      </c>
      <c r="E2405" s="888">
        <v>9.5500000000000007</v>
      </c>
      <c r="F2405" s="408">
        <v>4.4999999999999998E-2</v>
      </c>
      <c r="G2405" s="541">
        <f t="shared" si="38"/>
        <v>10.000000000000002</v>
      </c>
      <c r="H2405" s="526" t="s">
        <v>1666</v>
      </c>
      <c r="I2405" s="539" t="s">
        <v>1558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4" t="str">
        <f>LEFT(base[[#This Row],[Evento / Mercado]],FIND("/",base[[#This Row],[Evento / Mercado]])-2)</f>
        <v>RC Lens vs OGC Nice</v>
      </c>
      <c r="T2405" s="1420">
        <f>base[[#This Row],[Data de liquidação]]</f>
        <v>46164.700312499997</v>
      </c>
    </row>
    <row r="2406" spans="2:20" ht="15" customHeight="1">
      <c r="B2406" s="795" t="s">
        <v>2876</v>
      </c>
      <c r="C2406" s="911" t="s">
        <v>3556</v>
      </c>
      <c r="D2406" s="1358">
        <v>46164.721006944441</v>
      </c>
      <c r="E2406" s="888">
        <v>2.46</v>
      </c>
      <c r="F2406" s="408">
        <v>4.4999999999999998E-2</v>
      </c>
      <c r="G2406" s="541">
        <f t="shared" si="38"/>
        <v>2.5759162303664924</v>
      </c>
      <c r="H2406" s="526" t="s">
        <v>1666</v>
      </c>
      <c r="I2406" s="539" t="s">
        <v>2301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4" t="str">
        <f>LEFT(base[[#This Row],[Evento / Mercado]],FIND("/",base[[#This Row],[Evento / Mercado]])-2)</f>
        <v>Everton de Viña del Mar vs Coquimbo Unido</v>
      </c>
      <c r="T2406" s="1420">
        <f>base[[#This Row],[Data de liquidação]]</f>
        <v>46164.721006944441</v>
      </c>
    </row>
    <row r="2407" spans="2:20" ht="15" customHeight="1">
      <c r="B2407" s="795" t="s">
        <v>2875</v>
      </c>
      <c r="C2407" s="911" t="s">
        <v>3556</v>
      </c>
      <c r="D2407" s="1358">
        <v>46164.726354166669</v>
      </c>
      <c r="E2407" s="888">
        <v>-1.86</v>
      </c>
      <c r="F2407" s="408">
        <v>4.4999999999999998E-2</v>
      </c>
      <c r="G2407" s="541">
        <f t="shared" si="38"/>
        <v>-1.86</v>
      </c>
      <c r="H2407" s="526" t="s">
        <v>1666</v>
      </c>
      <c r="I2407" s="539" t="s">
        <v>1558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4" t="str">
        <f>LEFT(base[[#This Row],[Evento / Mercado]],FIND("/",base[[#This Row],[Evento / Mercado]])-2)</f>
        <v>Fiorentina vs Atalanta</v>
      </c>
      <c r="T2407" s="1420">
        <f>base[[#This Row],[Data de liquidação]]</f>
        <v>46164.726354166669</v>
      </c>
    </row>
    <row r="2408" spans="2:20" ht="15" customHeight="1">
      <c r="B2408" s="795" t="s">
        <v>2874</v>
      </c>
      <c r="C2408" s="911" t="s">
        <v>3556</v>
      </c>
      <c r="D2408" s="1358">
        <v>46164.733819444446</v>
      </c>
      <c r="E2408" s="888">
        <v>9.2799999999999994</v>
      </c>
      <c r="F2408" s="408">
        <v>4.4999999999999998E-2</v>
      </c>
      <c r="G2408" s="541">
        <f t="shared" si="38"/>
        <v>9.7172774869109944</v>
      </c>
      <c r="H2408" s="526" t="s">
        <v>1666</v>
      </c>
      <c r="I2408" s="539" t="s">
        <v>1759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4" t="str">
        <f>LEFT(base[[#This Row],[Evento / Mercado]],FIND("/",base[[#This Row],[Evento / Mercado]])-2)</f>
        <v>Fiorentina vs Atalanta</v>
      </c>
      <c r="T2408" s="1420">
        <f>base[[#This Row],[Data de liquidação]]</f>
        <v>46164.733819444446</v>
      </c>
    </row>
    <row r="2409" spans="2:20" ht="15" customHeight="1">
      <c r="B2409" s="795" t="s">
        <v>2873</v>
      </c>
      <c r="C2409" s="911" t="s">
        <v>3556</v>
      </c>
      <c r="D2409" s="1358">
        <v>46164.733935185184</v>
      </c>
      <c r="E2409" s="888">
        <v>2.5499999999999998</v>
      </c>
      <c r="F2409" s="408">
        <v>4.4999999999999998E-2</v>
      </c>
      <c r="G2409" s="541">
        <f t="shared" si="38"/>
        <v>2.670157068062827</v>
      </c>
      <c r="H2409" s="526" t="s">
        <v>1666</v>
      </c>
      <c r="I2409" s="539" t="s">
        <v>1663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4" t="str">
        <f>LEFT(base[[#This Row],[Evento / Mercado]],FIND("/",base[[#This Row],[Evento / Mercado]])-2)</f>
        <v>Fiorentina vs Atalanta</v>
      </c>
      <c r="T2409" s="1420">
        <f>base[[#This Row],[Data de liquidação]]</f>
        <v>46164.733935185184</v>
      </c>
    </row>
    <row r="2410" spans="2:20" ht="15" customHeight="1">
      <c r="B2410" s="795" t="s">
        <v>2872</v>
      </c>
      <c r="C2410" s="911" t="s">
        <v>3556</v>
      </c>
      <c r="D2410" s="1358">
        <v>46164.74722222222</v>
      </c>
      <c r="E2410" s="888">
        <v>-425.04</v>
      </c>
      <c r="F2410" s="408">
        <v>4.4999999999999998E-2</v>
      </c>
      <c r="G2410" s="541">
        <f t="shared" si="38"/>
        <v>-425.04</v>
      </c>
      <c r="H2410" s="541" t="s">
        <v>179</v>
      </c>
      <c r="I2410" s="539" t="s">
        <v>392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2152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4" t="str">
        <f>LEFT(base[[#This Row],[Evento / Mercado]],FIND("/",base[[#This Row],[Evento / Mercado]])-2)</f>
        <v>Shamrock Rovers vs Sligo Rovers</v>
      </c>
      <c r="T2410" s="1420">
        <f>base[[#This Row],[Data de liquidação]]</f>
        <v>46164.74722222222</v>
      </c>
    </row>
    <row r="2411" spans="2:20" ht="15" customHeight="1">
      <c r="B2411" s="795" t="s">
        <v>2871</v>
      </c>
      <c r="C2411" s="911" t="s">
        <v>3556</v>
      </c>
      <c r="D2411" s="1358">
        <v>46164.75277777778</v>
      </c>
      <c r="E2411" s="888">
        <v>-44.87</v>
      </c>
      <c r="F2411" s="408">
        <v>4.4999999999999998E-2</v>
      </c>
      <c r="G2411" s="541">
        <f t="shared" si="38"/>
        <v>-44.87</v>
      </c>
      <c r="H2411" s="541" t="s">
        <v>2882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4" t="str">
        <f>LEFT(base[[#This Row],[Evento / Mercado]],FIND("/",base[[#This Row],[Evento / Mercado]])-2)</f>
        <v>RC Lens vs OGC Nice</v>
      </c>
      <c r="T2411" s="1420">
        <f>base[[#This Row],[Data de liquidação]]</f>
        <v>46164.75277777778</v>
      </c>
    </row>
    <row r="2412" spans="2:20" ht="15" customHeight="1">
      <c r="B2412" s="795" t="s">
        <v>2870</v>
      </c>
      <c r="C2412" s="911" t="s">
        <v>3556</v>
      </c>
      <c r="D2412" s="1358">
        <v>46164.760439814818</v>
      </c>
      <c r="E2412" s="888">
        <v>1.43</v>
      </c>
      <c r="F2412" s="408">
        <v>4.4999999999999998E-2</v>
      </c>
      <c r="G2412" s="541">
        <f t="shared" si="38"/>
        <v>1.4973821989528795</v>
      </c>
      <c r="H2412" s="526" t="s">
        <v>1666</v>
      </c>
      <c r="I2412" s="539" t="s">
        <v>2883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4" t="str">
        <f>LEFT(base[[#This Row],[Evento / Mercado]],FIND("/",base[[#This Row],[Evento / Mercado]])-2)</f>
        <v>Juan Pablo II College vs FBC Melgar</v>
      </c>
      <c r="T2412" s="1420">
        <f>base[[#This Row],[Data de liquidação]]</f>
        <v>46164.760439814818</v>
      </c>
    </row>
    <row r="2413" spans="2:20" ht="15" customHeight="1">
      <c r="B2413" s="795" t="s">
        <v>2869</v>
      </c>
      <c r="C2413" s="911" t="s">
        <v>3556</v>
      </c>
      <c r="D2413" s="1358">
        <v>46164.761053240742</v>
      </c>
      <c r="E2413" s="888">
        <v>27.06</v>
      </c>
      <c r="F2413" s="408">
        <v>4.4999999999999998E-2</v>
      </c>
      <c r="G2413" s="541">
        <f t="shared" si="38"/>
        <v>28.335078534031414</v>
      </c>
      <c r="H2413" s="541" t="s">
        <v>179</v>
      </c>
      <c r="I2413" s="539" t="s">
        <v>392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2032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4" t="str">
        <f>LEFT(base[[#This Row],[Evento / Mercado]],FIND("/",base[[#This Row],[Evento / Mercado]])-2)</f>
        <v>Víkingur vs FH Hafnarfjördur</v>
      </c>
      <c r="T2413" s="1420">
        <f>base[[#This Row],[Data de liquidação]]</f>
        <v>46164.761053240742</v>
      </c>
    </row>
    <row r="2414" spans="2:20" ht="15" customHeight="1">
      <c r="B2414" s="795" t="s">
        <v>2947</v>
      </c>
      <c r="C2414" s="911" t="s">
        <v>3556</v>
      </c>
      <c r="D2414" s="1358">
        <v>46165.372025462966</v>
      </c>
      <c r="E2414" s="888">
        <v>3.04</v>
      </c>
      <c r="F2414" s="408">
        <v>4.4999999999999998E-2</v>
      </c>
      <c r="G2414" s="541">
        <f t="shared" si="38"/>
        <v>3.1832460732984296</v>
      </c>
      <c r="H2414" s="526" t="s">
        <v>1666</v>
      </c>
      <c r="I2414" s="539" t="s">
        <v>1759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4" t="str">
        <f>LEFT(base[[#This Row],[Evento / Mercado]],FIND("/",base[[#This Row],[Evento / Mercado]])-2)</f>
        <v>Kyoto Sanga vs V-Varen Nagasaki</v>
      </c>
      <c r="T2414" s="1420">
        <f>base[[#This Row],[Data de liquidação]]</f>
        <v>46165.372025462966</v>
      </c>
    </row>
    <row r="2415" spans="2:20" ht="15" customHeight="1">
      <c r="B2415" s="795" t="s">
        <v>2946</v>
      </c>
      <c r="C2415" s="911" t="s">
        <v>3556</v>
      </c>
      <c r="D2415" s="1358">
        <v>46165.372037037036</v>
      </c>
      <c r="E2415" s="888">
        <v>2.81</v>
      </c>
      <c r="F2415" s="408">
        <v>4.4999999999999998E-2</v>
      </c>
      <c r="G2415" s="541">
        <f t="shared" si="38"/>
        <v>2.9424083769633511</v>
      </c>
      <c r="H2415" s="526" t="s">
        <v>1666</v>
      </c>
      <c r="I2415" s="539" t="s">
        <v>1716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4" t="str">
        <f>LEFT(base[[#This Row],[Evento / Mercado]],FIND("/",base[[#This Row],[Evento / Mercado]])-2)</f>
        <v>Kyoto Sanga vs V-Varen Nagasaki</v>
      </c>
      <c r="T2415" s="1420">
        <f>base[[#This Row],[Data de liquidação]]</f>
        <v>46165.372037037036</v>
      </c>
    </row>
    <row r="2416" spans="2:20" ht="15" customHeight="1">
      <c r="B2416" s="795" t="s">
        <v>2945</v>
      </c>
      <c r="C2416" s="911" t="s">
        <v>3556</v>
      </c>
      <c r="D2416" s="1358">
        <v>46165.373749999999</v>
      </c>
      <c r="E2416" s="888">
        <v>6.82</v>
      </c>
      <c r="F2416" s="408">
        <v>4.4999999999999998E-2</v>
      </c>
      <c r="G2416" s="541">
        <f t="shared" si="38"/>
        <v>7.1413612565445028</v>
      </c>
      <c r="H2416" s="526" t="s">
        <v>1666</v>
      </c>
      <c r="I2416" s="539" t="s">
        <v>2950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4" t="str">
        <f>LEFT(base[[#This Row],[Evento / Mercado]],FIND("/",base[[#This Row],[Evento / Mercado]])-2)</f>
        <v>PFC Oleksandria vs Kryvbas Kryvyi Rih</v>
      </c>
      <c r="T2416" s="1420">
        <f>base[[#This Row],[Data de liquidação]]</f>
        <v>46165.373749999999</v>
      </c>
    </row>
    <row r="2417" spans="2:22" ht="15" customHeight="1">
      <c r="B2417" s="795" t="s">
        <v>2944</v>
      </c>
      <c r="C2417" s="911" t="s">
        <v>3556</v>
      </c>
      <c r="D2417" s="1358">
        <v>46165.41547453704</v>
      </c>
      <c r="E2417" s="888">
        <v>5.31</v>
      </c>
      <c r="F2417" s="408">
        <v>4.4999999999999998E-2</v>
      </c>
      <c r="G2417" s="541">
        <f t="shared" si="38"/>
        <v>5.5602094240837694</v>
      </c>
      <c r="H2417" s="526" t="s">
        <v>1666</v>
      </c>
      <c r="I2417" s="539" t="s">
        <v>2951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4" t="str">
        <f>LEFT(base[[#This Row],[Evento / Mercado]],FIND("/",base[[#This Row],[Evento / Mercado]])-2)</f>
        <v>Shanghai Port vs Tianjin Jinmenhu</v>
      </c>
      <c r="T2417" s="1420">
        <f>base[[#This Row],[Data de liquidação]]</f>
        <v>46165.41547453704</v>
      </c>
    </row>
    <row r="2418" spans="2:22" ht="15" customHeight="1">
      <c r="B2418" s="795" t="s">
        <v>2943</v>
      </c>
      <c r="C2418" s="911" t="s">
        <v>3556</v>
      </c>
      <c r="D2418" s="1358">
        <v>46165.427847222221</v>
      </c>
      <c r="E2418" s="888">
        <v>-6.8</v>
      </c>
      <c r="F2418" s="408">
        <v>4.4999999999999998E-2</v>
      </c>
      <c r="G2418" s="541">
        <f t="shared" si="38"/>
        <v>-6.8</v>
      </c>
      <c r="H2418" s="526" t="s">
        <v>1666</v>
      </c>
      <c r="I2418" s="539" t="s">
        <v>1558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4" t="str">
        <f>LEFT(base[[#This Row],[Evento / Mercado]],FIND("/",base[[#This Row],[Evento / Mercado]])-2)</f>
        <v>Beijing Guoan vs Henan Songshan Longmen</v>
      </c>
      <c r="T2418" s="1420">
        <f>base[[#This Row],[Data de liquidação]]</f>
        <v>46165.427847222221</v>
      </c>
    </row>
    <row r="2419" spans="2:22" ht="15" customHeight="1">
      <c r="B2419" s="795" t="s">
        <v>2942</v>
      </c>
      <c r="C2419" s="911" t="s">
        <v>3556</v>
      </c>
      <c r="D2419" s="1358">
        <v>46165.455057870371</v>
      </c>
      <c r="E2419" s="888">
        <v>3.0369000000000002</v>
      </c>
      <c r="F2419" s="408">
        <v>4.4999999999999998E-2</v>
      </c>
      <c r="G2419" s="541">
        <f t="shared" si="38"/>
        <v>3.18</v>
      </c>
      <c r="H2419" s="526" t="s">
        <v>1666</v>
      </c>
      <c r="I2419" s="539" t="s">
        <v>1715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4" t="str">
        <f>LEFT(base[[#This Row],[Evento / Mercado]],FIND("/",base[[#This Row],[Evento / Mercado]])-2)</f>
        <v>Dalian Yingbo vs Chengdu Rongcheng</v>
      </c>
      <c r="T2419" s="142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95" t="s">
        <v>2942</v>
      </c>
      <c r="C2420" s="911" t="s">
        <v>3556</v>
      </c>
      <c r="D2420" s="1358">
        <v>46165.455057870371</v>
      </c>
      <c r="E2420" s="888">
        <v>6.8186999999999998</v>
      </c>
      <c r="F2420" s="408">
        <v>4.4999999999999998E-2</v>
      </c>
      <c r="G2420" s="541">
        <f t="shared" si="38"/>
        <v>7.14</v>
      </c>
      <c r="H2420" s="526" t="s">
        <v>1666</v>
      </c>
      <c r="I2420" s="539" t="s">
        <v>2951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4" t="str">
        <f>LEFT(base[[#This Row],[Evento / Mercado]],FIND("/",base[[#This Row],[Evento / Mercado]])-2)</f>
        <v>Dalian Yingbo vs Chengdu Rongcheng</v>
      </c>
      <c r="T2420" s="142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95" t="s">
        <v>2941</v>
      </c>
      <c r="C2421" s="911" t="s">
        <v>3556</v>
      </c>
      <c r="D2421" s="1358">
        <v>46165.466458333336</v>
      </c>
      <c r="E2421" s="888">
        <v>-6.19</v>
      </c>
      <c r="F2421" s="408">
        <v>4.4999999999999998E-2</v>
      </c>
      <c r="G2421" s="541">
        <f t="shared" si="38"/>
        <v>-6.19</v>
      </c>
      <c r="H2421" s="526" t="s">
        <v>1666</v>
      </c>
      <c r="I2421" s="539" t="s">
        <v>1558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4" t="str">
        <f>LEFT(base[[#This Row],[Evento / Mercado]],FIND("/",base[[#This Row],[Evento / Mercado]])-2)</f>
        <v>Halmstads BK vs Örgryte IS</v>
      </c>
      <c r="T2421" s="1420">
        <f>base[[#This Row],[Data de liquidação]]</f>
        <v>46165.466458333336</v>
      </c>
    </row>
    <row r="2422" spans="2:22" ht="15" customHeight="1">
      <c r="B2422" s="795" t="s">
        <v>2940</v>
      </c>
      <c r="C2422" s="911" t="s">
        <v>3556</v>
      </c>
      <c r="D2422" s="1358">
        <v>46165.495000000003</v>
      </c>
      <c r="E2422" s="888">
        <v>1.91</v>
      </c>
      <c r="F2422" s="408">
        <v>4.4999999999999998E-2</v>
      </c>
      <c r="G2422" s="541">
        <f t="shared" si="38"/>
        <v>2</v>
      </c>
      <c r="H2422" s="526" t="s">
        <v>1666</v>
      </c>
      <c r="I2422" s="539" t="s">
        <v>2331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4" t="str">
        <f>LEFT(base[[#This Row],[Evento / Mercado]],FIND("/",base[[#This Row],[Evento / Mercado]])-2)</f>
        <v>Halmstads BK vs Örgryte IS</v>
      </c>
      <c r="T2422" s="1420">
        <f>base[[#This Row],[Data de liquidação]]</f>
        <v>46165.495000000003</v>
      </c>
    </row>
    <row r="2423" spans="2:22" ht="15" customHeight="1">
      <c r="B2423" s="795" t="s">
        <v>2939</v>
      </c>
      <c r="C2423" s="911" t="s">
        <v>3556</v>
      </c>
      <c r="D2423" s="1358">
        <v>46165.495081018518</v>
      </c>
      <c r="E2423" s="888">
        <v>-2</v>
      </c>
      <c r="F2423" s="408">
        <v>4.4999999999999998E-2</v>
      </c>
      <c r="G2423" s="541">
        <f t="shared" si="38"/>
        <v>-2</v>
      </c>
      <c r="H2423" s="526" t="s">
        <v>1666</v>
      </c>
      <c r="I2423" s="539" t="s">
        <v>2883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4" t="str">
        <f>LEFT(base[[#This Row],[Evento / Mercado]],FIND("/",base[[#This Row],[Evento / Mercado]])-2)</f>
        <v>IK Oddevold vs Östersunds FK</v>
      </c>
      <c r="T2423" s="1420">
        <f>base[[#This Row],[Data de liquidação]]</f>
        <v>46165.495081018518</v>
      </c>
    </row>
    <row r="2424" spans="2:22" ht="15" customHeight="1">
      <c r="B2424" s="795" t="s">
        <v>2938</v>
      </c>
      <c r="C2424" s="911" t="s">
        <v>3556</v>
      </c>
      <c r="D2424" s="1358">
        <v>46165.495127314818</v>
      </c>
      <c r="E2424" s="888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4" t="str">
        <f>LEFT(base[[#This Row],[Evento / Mercado]],FIND("/",base[[#This Row],[Evento / Mercado]])-2)</f>
        <v>IK Oddevold vs Östersunds FK</v>
      </c>
      <c r="T2424" s="1420">
        <f>base[[#This Row],[Data de liquidação]]</f>
        <v>46165.495127314818</v>
      </c>
    </row>
    <row r="2425" spans="2:22" ht="15" customHeight="1">
      <c r="B2425" s="795" t="s">
        <v>2937</v>
      </c>
      <c r="C2425" s="911" t="s">
        <v>3556</v>
      </c>
      <c r="D2425" s="1358">
        <v>46165.496759259258</v>
      </c>
      <c r="E2425" s="888">
        <v>1.43</v>
      </c>
      <c r="F2425" s="408">
        <v>4.4999999999999998E-2</v>
      </c>
      <c r="G2425" s="541">
        <f t="shared" si="38"/>
        <v>1.4973821989528795</v>
      </c>
      <c r="H2425" s="526" t="s">
        <v>1666</v>
      </c>
      <c r="I2425" s="539" t="s">
        <v>2331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4" t="str">
        <f>LEFT(base[[#This Row],[Evento / Mercado]],FIND("/",base[[#This Row],[Evento / Mercado]])-2)</f>
        <v>Kalmar FF vs Degerfors IF</v>
      </c>
      <c r="T2425" s="1420">
        <f>base[[#This Row],[Data de liquidação]]</f>
        <v>46165.496759259258</v>
      </c>
    </row>
    <row r="2426" spans="2:22" ht="15" customHeight="1">
      <c r="B2426" s="795" t="s">
        <v>2936</v>
      </c>
      <c r="C2426" s="911" t="s">
        <v>3556</v>
      </c>
      <c r="D2426" s="1358">
        <v>46165.53765046296</v>
      </c>
      <c r="E2426" s="888">
        <v>1.43</v>
      </c>
      <c r="F2426" s="408">
        <v>4.4999999999999998E-2</v>
      </c>
      <c r="G2426" s="541">
        <f t="shared" si="38"/>
        <v>1.4973821989528795</v>
      </c>
      <c r="H2426" s="526" t="s">
        <v>1666</v>
      </c>
      <c r="I2426" s="539" t="s">
        <v>2331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4" t="str">
        <f>LEFT(base[[#This Row],[Evento / Mercado]],FIND("/",base[[#This Row],[Evento / Mercado]])-2)</f>
        <v>NK Varaždin vs Istra 1961</v>
      </c>
      <c r="T2426" s="1420">
        <f>base[[#This Row],[Data de liquidação]]</f>
        <v>46165.53765046296</v>
      </c>
    </row>
    <row r="2427" spans="2:22" ht="15" customHeight="1">
      <c r="B2427" s="795" t="s">
        <v>2935</v>
      </c>
      <c r="C2427" s="911" t="s">
        <v>3556</v>
      </c>
      <c r="D2427" s="1358">
        <v>46165.538553240738</v>
      </c>
      <c r="E2427" s="888">
        <v>4.82</v>
      </c>
      <c r="F2427" s="408">
        <v>4.4999999999999998E-2</v>
      </c>
      <c r="G2427" s="541">
        <f t="shared" si="38"/>
        <v>5.0471204188481682</v>
      </c>
      <c r="H2427" s="526" t="s">
        <v>1666</v>
      </c>
      <c r="I2427" s="539" t="s">
        <v>1777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4" t="str">
        <f>LEFT(base[[#This Row],[Evento / Mercado]],FIND("/",base[[#This Row],[Evento / Mercado]])-2)</f>
        <v>KuPS vs FC Lahti</v>
      </c>
      <c r="T2427" s="1420">
        <f>base[[#This Row],[Data de liquidação]]</f>
        <v>46165.538553240738</v>
      </c>
    </row>
    <row r="2428" spans="2:22" ht="15" customHeight="1">
      <c r="B2428" s="795" t="s">
        <v>2934</v>
      </c>
      <c r="C2428" s="911" t="s">
        <v>3556</v>
      </c>
      <c r="D2428" s="1358">
        <v>46165.549293981479</v>
      </c>
      <c r="E2428" s="888">
        <v>9.5500000000000007</v>
      </c>
      <c r="F2428" s="408">
        <v>4.4999999999999998E-2</v>
      </c>
      <c r="G2428" s="541">
        <f t="shared" si="38"/>
        <v>10.000000000000002</v>
      </c>
      <c r="H2428" s="526" t="s">
        <v>1666</v>
      </c>
      <c r="I2428" s="539" t="s">
        <v>1558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4" t="str">
        <f>LEFT(base[[#This Row],[Evento / Mercado]],FIND("/",base[[#This Row],[Evento / Mercado]])-2)</f>
        <v>Legia Warszawa vs Motor Lublin</v>
      </c>
      <c r="T2428" s="1420">
        <f>base[[#This Row],[Data de liquidação]]</f>
        <v>46165.549293981479</v>
      </c>
    </row>
    <row r="2429" spans="2:22" ht="15" customHeight="1">
      <c r="B2429" s="795" t="s">
        <v>2933</v>
      </c>
      <c r="C2429" s="911" t="s">
        <v>3556</v>
      </c>
      <c r="D2429" s="1358">
        <v>46165.576203703706</v>
      </c>
      <c r="E2429" s="888">
        <v>-15</v>
      </c>
      <c r="F2429" s="408">
        <v>4.4999999999999998E-2</v>
      </c>
      <c r="G2429" s="541">
        <f t="shared" si="38"/>
        <v>-15</v>
      </c>
      <c r="H2429" s="526" t="s">
        <v>1666</v>
      </c>
      <c r="I2429" s="539" t="s">
        <v>1663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4" t="str">
        <f>LEFT(base[[#This Row],[Evento / Mercado]],FIND("/",base[[#This Row],[Evento / Mercado]])-2)</f>
        <v>Termalica Bruk-Bet Nieciecza vs Lechia Gdansk</v>
      </c>
      <c r="T2429" s="1420">
        <f>base[[#This Row],[Data de liquidação]]</f>
        <v>46165.576203703706</v>
      </c>
    </row>
    <row r="2430" spans="2:22" ht="15" customHeight="1">
      <c r="B2430" s="795" t="s">
        <v>2932</v>
      </c>
      <c r="C2430" s="911" t="s">
        <v>3556</v>
      </c>
      <c r="D2430" s="1358">
        <v>46165.586168981485</v>
      </c>
      <c r="E2430" s="888">
        <v>-2.44</v>
      </c>
      <c r="F2430" s="408">
        <v>4.4999999999999998E-2</v>
      </c>
      <c r="G2430" s="541">
        <f t="shared" si="38"/>
        <v>-2.44</v>
      </c>
      <c r="H2430" s="526" t="s">
        <v>1666</v>
      </c>
      <c r="I2430" s="539" t="s">
        <v>1558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4" t="str">
        <f>LEFT(base[[#This Row],[Evento / Mercado]],FIND("/",base[[#This Row],[Evento / Mercado]])-2)</f>
        <v>Rakow Czestochowa vs Arka Gdynia</v>
      </c>
      <c r="T2430" s="1420">
        <f>base[[#This Row],[Data de liquidação]]</f>
        <v>46165.586168981485</v>
      </c>
    </row>
    <row r="2431" spans="2:22" ht="15" customHeight="1">
      <c r="B2431" s="795" t="s">
        <v>2931</v>
      </c>
      <c r="C2431" s="911" t="s">
        <v>3556</v>
      </c>
      <c r="D2431" s="1358">
        <v>46165.601157407407</v>
      </c>
      <c r="E2431" s="888">
        <v>-6.58</v>
      </c>
      <c r="F2431" s="408">
        <v>4.4999999999999998E-2</v>
      </c>
      <c r="G2431" s="541">
        <f t="shared" si="38"/>
        <v>-6.58</v>
      </c>
      <c r="H2431" s="526" t="s">
        <v>1666</v>
      </c>
      <c r="I2431" s="539" t="s">
        <v>1558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4" t="str">
        <f>LEFT(base[[#This Row],[Evento / Mercado]],FIND("/",base[[#This Row],[Evento / Mercado]])-2)</f>
        <v>Jagiellonia Bialystok vs Zaglebie Lubin</v>
      </c>
      <c r="T2431" s="1420">
        <f>base[[#This Row],[Data de liquidação]]</f>
        <v>46165.601157407407</v>
      </c>
    </row>
    <row r="2432" spans="2:22" ht="15" customHeight="1">
      <c r="B2432" s="795" t="s">
        <v>2930</v>
      </c>
      <c r="C2432" s="911" t="s">
        <v>3556</v>
      </c>
      <c r="D2432" s="1358">
        <v>46165.605439814812</v>
      </c>
      <c r="E2432" s="888">
        <v>-2</v>
      </c>
      <c r="F2432" s="408">
        <v>4.4999999999999998E-2</v>
      </c>
      <c r="G2432" s="541">
        <f t="shared" si="38"/>
        <v>-2</v>
      </c>
      <c r="H2432" s="526" t="s">
        <v>1666</v>
      </c>
      <c r="I2432" s="539" t="s">
        <v>1795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4" t="str">
        <f>LEFT(base[[#This Row],[Evento / Mercado]],FIND("/",base[[#This Row],[Evento / Mercado]])-2)</f>
        <v>Dinamo Zagreb vs NK Lokomotiva</v>
      </c>
      <c r="T2432" s="1420">
        <f>base[[#This Row],[Data de liquidação]]</f>
        <v>46165.605439814812</v>
      </c>
    </row>
    <row r="2433" spans="2:22" ht="15" customHeight="1">
      <c r="B2433" s="795" t="s">
        <v>2929</v>
      </c>
      <c r="C2433" s="911" t="s">
        <v>3556</v>
      </c>
      <c r="D2433" s="1358">
        <v>46165.60696759259</v>
      </c>
      <c r="E2433" s="888">
        <v>2.79</v>
      </c>
      <c r="F2433" s="408">
        <v>4.4999999999999998E-2</v>
      </c>
      <c r="G2433" s="541">
        <f t="shared" si="38"/>
        <v>2.9214659685863875</v>
      </c>
      <c r="H2433" s="526" t="s">
        <v>1666</v>
      </c>
      <c r="I2433" s="539" t="s">
        <v>1715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4" t="str">
        <f>LEFT(base[[#This Row],[Evento / Mercado]],FIND("/",base[[#This Row],[Evento / Mercado]])-2)</f>
        <v>Pogon Szczecin vs GKS Katowice</v>
      </c>
      <c r="T2433" s="1420">
        <f>base[[#This Row],[Data de liquidação]]</f>
        <v>46165.60696759259</v>
      </c>
    </row>
    <row r="2434" spans="2:22" ht="15" customHeight="1">
      <c r="B2434" s="795" t="s">
        <v>2928</v>
      </c>
      <c r="C2434" s="911" t="s">
        <v>3556</v>
      </c>
      <c r="D2434" s="1358">
        <v>46165.607071759259</v>
      </c>
      <c r="E2434" s="888">
        <v>4.6100000000000003</v>
      </c>
      <c r="F2434" s="408">
        <v>4.4999999999999998E-2</v>
      </c>
      <c r="G2434" s="541">
        <f t="shared" si="38"/>
        <v>4.8272251308900529</v>
      </c>
      <c r="H2434" s="526" t="s">
        <v>1666</v>
      </c>
      <c r="I2434" s="539" t="s">
        <v>1759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4" t="str">
        <f>LEFT(base[[#This Row],[Evento / Mercado]],FIND("/",base[[#This Row],[Evento / Mercado]])-2)</f>
        <v>Pogon Szczecin vs GKS Katowice</v>
      </c>
      <c r="T2434" s="1420">
        <f>base[[#This Row],[Data de liquidação]]</f>
        <v>46165.607071759259</v>
      </c>
    </row>
    <row r="2435" spans="2:22" ht="15" customHeight="1">
      <c r="B2435" s="795" t="s">
        <v>2927</v>
      </c>
      <c r="C2435" s="911" t="s">
        <v>3556</v>
      </c>
      <c r="D2435" s="1358">
        <v>46165.683599537035</v>
      </c>
      <c r="E2435" s="888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1666</v>
      </c>
      <c r="I2435" s="539" t="s">
        <v>1759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4" t="str">
        <f>LEFT(base[[#This Row],[Evento / Mercado]],FIND("/",base[[#This Row],[Evento / Mercado]])-2)</f>
        <v>Universitatea Cluj vs Dinamo Bucuresti</v>
      </c>
      <c r="T2435" s="1420">
        <f>base[[#This Row],[Data de liquidação]]</f>
        <v>46165.683599537035</v>
      </c>
    </row>
    <row r="2436" spans="2:22" ht="15" customHeight="1">
      <c r="B2436" s="795" t="s">
        <v>2926</v>
      </c>
      <c r="C2436" s="911" t="s">
        <v>3556</v>
      </c>
      <c r="D2436" s="1358">
        <v>46165.695960648147</v>
      </c>
      <c r="E2436" s="888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1844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4" t="str">
        <f>LEFT(base[[#This Row],[Evento / Mercado]],FIND("/",base[[#This Row],[Evento / Mercado]])-2)</f>
        <v>FC Bayern München vs VfB Stuttgart</v>
      </c>
      <c r="T2436" s="1420">
        <f>base[[#This Row],[Data de liquidação]]</f>
        <v>46165.695960648147</v>
      </c>
    </row>
    <row r="2437" spans="2:22" ht="15" customHeight="1">
      <c r="B2437" s="795" t="s">
        <v>2925</v>
      </c>
      <c r="C2437" s="911" t="s">
        <v>3556</v>
      </c>
      <c r="D2437" s="1358">
        <v>46165.69734953704</v>
      </c>
      <c r="E2437" s="888">
        <v>0.18</v>
      </c>
      <c r="F2437" s="408">
        <v>4.4999999999999998E-2</v>
      </c>
      <c r="G2437" s="541">
        <f t="shared" si="39"/>
        <v>0.18848167539267016</v>
      </c>
      <c r="H2437" s="526" t="s">
        <v>1666</v>
      </c>
      <c r="I2437" s="539" t="s">
        <v>2362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4" t="str">
        <f>LEFT(base[[#This Row],[Evento / Mercado]],FIND("/",base[[#This Row],[Evento / Mercado]])-2)</f>
        <v>Real Mallorca vs Real Oviedo</v>
      </c>
      <c r="T2437" s="1420">
        <f>base[[#This Row],[Data de liquidação]]</f>
        <v>46165.69734953704</v>
      </c>
    </row>
    <row r="2438" spans="2:22" ht="15" customHeight="1">
      <c r="B2438" s="795" t="s">
        <v>2924</v>
      </c>
      <c r="C2438" s="911" t="s">
        <v>3556</v>
      </c>
      <c r="D2438" s="1358">
        <v>46165.697453703702</v>
      </c>
      <c r="E2438" s="888">
        <v>6.82</v>
      </c>
      <c r="F2438" s="408">
        <v>4.4999999999999998E-2</v>
      </c>
      <c r="G2438" s="541">
        <f t="shared" si="39"/>
        <v>7.1413612565445028</v>
      </c>
      <c r="H2438" s="526" t="s">
        <v>1666</v>
      </c>
      <c r="I2438" s="539" t="s">
        <v>2950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4" t="str">
        <f>LEFT(base[[#This Row],[Evento / Mercado]],FIND("/",base[[#This Row],[Evento / Mercado]])-2)</f>
        <v>Deportivo Moquegua vs Universitario de Deportes</v>
      </c>
      <c r="T2438" s="1420">
        <f>base[[#This Row],[Data de liquidação]]</f>
        <v>46165.697453703702</v>
      </c>
    </row>
    <row r="2439" spans="2:22" ht="15" customHeight="1">
      <c r="B2439" s="795" t="s">
        <v>2923</v>
      </c>
      <c r="C2439" s="911" t="s">
        <v>3556</v>
      </c>
      <c r="D2439" s="1358">
        <v>46165.698449074072</v>
      </c>
      <c r="E2439" s="888">
        <v>-2</v>
      </c>
      <c r="F2439" s="408">
        <v>4.4999999999999998E-2</v>
      </c>
      <c r="G2439" s="541">
        <f t="shared" si="39"/>
        <v>-2</v>
      </c>
      <c r="H2439" s="526" t="s">
        <v>1666</v>
      </c>
      <c r="I2439" s="539" t="s">
        <v>2883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4" t="str">
        <f>LEFT(base[[#This Row],[Evento / Mercado]],FIND("/",base[[#This Row],[Evento / Mercado]])-2)</f>
        <v>Deportivo Moquegua vs Universitario de Deportes</v>
      </c>
      <c r="T2439" s="1420">
        <f>base[[#This Row],[Data de liquidação]]</f>
        <v>46165.698449074072</v>
      </c>
    </row>
    <row r="2440" spans="2:22" ht="15" customHeight="1">
      <c r="B2440" s="795" t="s">
        <v>2922</v>
      </c>
      <c r="C2440" s="911" t="s">
        <v>3556</v>
      </c>
      <c r="D2440" s="1358">
        <v>46165.69939814815</v>
      </c>
      <c r="E2440" s="888">
        <v>1.0900000000000001</v>
      </c>
      <c r="F2440" s="408">
        <v>4.4999999999999998E-2</v>
      </c>
      <c r="G2440" s="541">
        <f t="shared" si="39"/>
        <v>1.1413612565445028</v>
      </c>
      <c r="H2440" s="526" t="s">
        <v>1666</v>
      </c>
      <c r="I2440" s="539" t="s">
        <v>2883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4" t="str">
        <f>LEFT(base[[#This Row],[Evento / Mercado]],FIND("/",base[[#This Row],[Evento / Mercado]])-2)</f>
        <v>Real Madrid vs Athletic Bilbao</v>
      </c>
      <c r="T2440" s="1420">
        <f>base[[#This Row],[Data de liquidação]]</f>
        <v>46165.69939814815</v>
      </c>
    </row>
    <row r="2441" spans="2:22" ht="15" customHeight="1">
      <c r="B2441" s="795" t="s">
        <v>1585</v>
      </c>
      <c r="C2441" s="911" t="s">
        <v>3556</v>
      </c>
      <c r="D2441" s="1358">
        <v>46165.706828703704</v>
      </c>
      <c r="E2441" s="888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628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1200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4" t="str">
        <f>LEFT(base[[#This Row],[Evento / Mercado]],FIND("/",base[[#This Row],[Evento / Mercado]])-2)</f>
        <v>FC Bayern München vs VfB Stuttgart</v>
      </c>
      <c r="T2441" s="1420">
        <f>base[[#This Row],[Data de liquidação]]</f>
        <v>46165.706828703704</v>
      </c>
    </row>
    <row r="2442" spans="2:22" ht="15" customHeight="1">
      <c r="B2442" s="795" t="s">
        <v>1584</v>
      </c>
      <c r="C2442" s="911" t="s">
        <v>3556</v>
      </c>
      <c r="D2442" s="1358">
        <v>46165.706979166665</v>
      </c>
      <c r="E2442" s="888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392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1200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4" t="str">
        <f>LEFT(base[[#This Row],[Evento / Mercado]],FIND("/",base[[#This Row],[Evento / Mercado]])-2)</f>
        <v>FC Bayern München vs VfB Stuttgart</v>
      </c>
      <c r="T2442" s="142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95" t="s">
        <v>1584</v>
      </c>
      <c r="C2443" s="911" t="s">
        <v>3556</v>
      </c>
      <c r="D2443" s="1358">
        <v>46165.706979166665</v>
      </c>
      <c r="E2443" s="888">
        <v>18.364650000000001</v>
      </c>
      <c r="F2443" s="408">
        <v>4.4999999999999998E-2</v>
      </c>
      <c r="G2443" s="541">
        <f t="shared" si="39"/>
        <v>19.23</v>
      </c>
      <c r="H2443" s="541" t="s">
        <v>1555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4" t="str">
        <f>LEFT(base[[#This Row],[Evento / Mercado]],FIND("/",base[[#This Row],[Evento / Mercado]])-2)</f>
        <v>FC Bayern München vs VfB Stuttgart</v>
      </c>
      <c r="T2443" s="142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95" t="s">
        <v>2921</v>
      </c>
      <c r="C2444" s="911" t="s">
        <v>3556</v>
      </c>
      <c r="D2444" s="1358">
        <v>46165.715648148151</v>
      </c>
      <c r="E2444" s="888">
        <v>9.5500000000000007</v>
      </c>
      <c r="F2444" s="408">
        <v>4.4999999999999998E-2</v>
      </c>
      <c r="G2444" s="541">
        <f t="shared" si="39"/>
        <v>10.000000000000002</v>
      </c>
      <c r="H2444" s="526" t="s">
        <v>1666</v>
      </c>
      <c r="I2444" s="539" t="s">
        <v>1558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4" t="str">
        <f>LEFT(base[[#This Row],[Evento / Mercado]],FIND("/",base[[#This Row],[Evento / Mercado]])-2)</f>
        <v>Saint Louis City SC vs Austin FC</v>
      </c>
      <c r="T2444" s="1420">
        <f>base[[#This Row],[Data de liquidação]]</f>
        <v>46165.715648148151</v>
      </c>
    </row>
    <row r="2445" spans="2:22" ht="15" customHeight="1">
      <c r="B2445" s="795" t="s">
        <v>2920</v>
      </c>
      <c r="C2445" s="911" t="s">
        <v>3556</v>
      </c>
      <c r="D2445" s="1358">
        <v>46165.716550925928</v>
      </c>
      <c r="E2445" s="888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4" t="str">
        <f>LEFT(base[[#This Row],[Evento / Mercado]],FIND("/",base[[#This Row],[Evento / Mercado]])-2)</f>
        <v>Girona vs Elche CF</v>
      </c>
      <c r="T2445" s="1420">
        <f>base[[#This Row],[Data de liquidação]]</f>
        <v>46165.716550925928</v>
      </c>
    </row>
    <row r="2446" spans="2:22" ht="15" customHeight="1">
      <c r="B2446" s="795" t="s">
        <v>2919</v>
      </c>
      <c r="C2446" s="911" t="s">
        <v>3556</v>
      </c>
      <c r="D2446" s="1358">
        <v>46165.72446759259</v>
      </c>
      <c r="E2446" s="888">
        <v>0.55000000000000004</v>
      </c>
      <c r="F2446" s="408">
        <v>4.4999999999999998E-2</v>
      </c>
      <c r="G2446" s="541">
        <f t="shared" si="39"/>
        <v>0.5759162303664922</v>
      </c>
      <c r="H2446" s="526" t="s">
        <v>1666</v>
      </c>
      <c r="I2446" s="539" t="s">
        <v>2362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4" t="str">
        <f>LEFT(base[[#This Row],[Evento / Mercado]],FIND("/",base[[#This Row],[Evento / Mercado]])-2)</f>
        <v>Getafe vs Osasuna</v>
      </c>
      <c r="T2446" s="1420">
        <f>base[[#This Row],[Data de liquidação]]</f>
        <v>46165.72446759259</v>
      </c>
    </row>
    <row r="2447" spans="2:22" ht="15" customHeight="1">
      <c r="B2447" s="795" t="s">
        <v>2918</v>
      </c>
      <c r="C2447" s="911" t="s">
        <v>3556</v>
      </c>
      <c r="D2447" s="1358">
        <v>46165.729467592595</v>
      </c>
      <c r="E2447" s="888">
        <v>-8.52</v>
      </c>
      <c r="F2447" s="408">
        <v>4.4999999999999998E-2</v>
      </c>
      <c r="G2447" s="541">
        <f t="shared" si="39"/>
        <v>-8.52</v>
      </c>
      <c r="H2447" s="526" t="s">
        <v>1666</v>
      </c>
      <c r="I2447" s="539" t="s">
        <v>1558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4" t="str">
        <f>LEFT(base[[#This Row],[Evento / Mercado]],FIND("/",base[[#This Row],[Evento / Mercado]])-2)</f>
        <v>Espanyol vs Real Sociedad</v>
      </c>
      <c r="T2447" s="1420">
        <f>base[[#This Row],[Data de liquidação]]</f>
        <v>46165.729467592595</v>
      </c>
    </row>
    <row r="2448" spans="2:22" ht="15" customHeight="1">
      <c r="B2448" s="795" t="s">
        <v>2917</v>
      </c>
      <c r="C2448" s="911" t="s">
        <v>3556</v>
      </c>
      <c r="D2448" s="1358">
        <v>46165.733067129629</v>
      </c>
      <c r="E2448" s="888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4" t="str">
        <f>LEFT(base[[#This Row],[Evento / Mercado]],FIND("/",base[[#This Row],[Evento / Mercado]])-2)</f>
        <v>Real Betis vs Levante UD</v>
      </c>
      <c r="T2448" s="1420">
        <f>base[[#This Row],[Data de liquidação]]</f>
        <v>46165.733067129629</v>
      </c>
    </row>
    <row r="2449" spans="2:20" ht="15" customHeight="1">
      <c r="B2449" s="795" t="s">
        <v>2916</v>
      </c>
      <c r="C2449" s="911" t="s">
        <v>3556</v>
      </c>
      <c r="D2449" s="1358">
        <v>46165.737233796295</v>
      </c>
      <c r="E2449" s="888">
        <v>5.14</v>
      </c>
      <c r="F2449" s="408">
        <v>4.4999999999999998E-2</v>
      </c>
      <c r="G2449" s="541">
        <f t="shared" si="39"/>
        <v>5.3821989528795813</v>
      </c>
      <c r="H2449" s="526" t="s">
        <v>1666</v>
      </c>
      <c r="I2449" s="539" t="s">
        <v>1715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4" t="str">
        <f>LEFT(base[[#This Row],[Evento / Mercado]],FIND("/",base[[#This Row],[Evento / Mercado]])-2)</f>
        <v>Royal Antwerp vs Westerlo</v>
      </c>
      <c r="T2449" s="1420">
        <f>base[[#This Row],[Data de liquidação]]</f>
        <v>46165.737233796295</v>
      </c>
    </row>
    <row r="2450" spans="2:20" ht="15" customHeight="1">
      <c r="B2450" s="795" t="s">
        <v>2915</v>
      </c>
      <c r="C2450" s="911" t="s">
        <v>3556</v>
      </c>
      <c r="D2450" s="1358">
        <v>46165.737430555557</v>
      </c>
      <c r="E2450" s="888">
        <v>0.2</v>
      </c>
      <c r="F2450" s="408">
        <v>4.4999999999999998E-2</v>
      </c>
      <c r="G2450" s="541">
        <f t="shared" si="39"/>
        <v>0.20942408376963353</v>
      </c>
      <c r="H2450" s="526" t="s">
        <v>1666</v>
      </c>
      <c r="I2450" s="539" t="s">
        <v>2952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4" t="str">
        <f>LEFT(base[[#This Row],[Evento / Mercado]],FIND("/",base[[#This Row],[Evento / Mercado]])-2)</f>
        <v>Royal Antwerp vs Westerlo</v>
      </c>
      <c r="T2450" s="1420">
        <f>base[[#This Row],[Data de liquidação]]</f>
        <v>46165.737430555557</v>
      </c>
    </row>
    <row r="2451" spans="2:20" ht="15" customHeight="1">
      <c r="B2451" s="795" t="s">
        <v>2914</v>
      </c>
      <c r="C2451" s="911" t="s">
        <v>3556</v>
      </c>
      <c r="D2451" s="1358">
        <v>46165.741909722223</v>
      </c>
      <c r="E2451" s="888">
        <v>3.18</v>
      </c>
      <c r="F2451" s="408">
        <v>4.4999999999999998E-2</v>
      </c>
      <c r="G2451" s="541">
        <f t="shared" si="39"/>
        <v>3.329842931937173</v>
      </c>
      <c r="H2451" s="526" t="s">
        <v>1666</v>
      </c>
      <c r="I2451" s="539" t="s">
        <v>1715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4" t="str">
        <f>LEFT(base[[#This Row],[Evento / Mercado]],FIND("/",base[[#This Row],[Evento / Mercado]])-2)</f>
        <v>Saint Louis City SC vs Austin FC</v>
      </c>
      <c r="T2451" s="1420">
        <f>base[[#This Row],[Data de liquidação]]</f>
        <v>46165.741909722223</v>
      </c>
    </row>
    <row r="2452" spans="2:20" ht="15" customHeight="1">
      <c r="B2452" s="795" t="s">
        <v>2913</v>
      </c>
      <c r="C2452" s="911" t="s">
        <v>3556</v>
      </c>
      <c r="D2452" s="1358">
        <v>46165.742071759261</v>
      </c>
      <c r="E2452" s="888">
        <v>2.39</v>
      </c>
      <c r="F2452" s="408">
        <v>4.4999999999999998E-2</v>
      </c>
      <c r="G2452" s="541">
        <f t="shared" si="39"/>
        <v>2.5026178010471205</v>
      </c>
      <c r="H2452" s="526" t="s">
        <v>1666</v>
      </c>
      <c r="I2452" s="539" t="s">
        <v>2331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4" t="str">
        <f>LEFT(base[[#This Row],[Evento / Mercado]],FIND("/",base[[#This Row],[Evento / Mercado]])-2)</f>
        <v>Saint Louis City SC vs Austin FC</v>
      </c>
      <c r="T2452" s="1420">
        <f>base[[#This Row],[Data de liquidação]]</f>
        <v>46165.742071759261</v>
      </c>
    </row>
    <row r="2453" spans="2:20" ht="15" customHeight="1">
      <c r="B2453" s="795" t="s">
        <v>2912</v>
      </c>
      <c r="C2453" s="911" t="s">
        <v>3556</v>
      </c>
      <c r="D2453" s="1358">
        <v>46165.742094907408</v>
      </c>
      <c r="E2453" s="888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4" t="str">
        <f>LEFT(base[[#This Row],[Evento / Mercado]],FIND("/",base[[#This Row],[Evento / Mercado]])-2)</f>
        <v>Saint Louis City SC vs Austin FC</v>
      </c>
      <c r="T2453" s="1420">
        <f>base[[#This Row],[Data de liquidação]]</f>
        <v>46165.742094907408</v>
      </c>
    </row>
    <row r="2454" spans="2:20" ht="15" customHeight="1">
      <c r="B2454" s="795" t="s">
        <v>2912</v>
      </c>
      <c r="C2454" s="911" t="s">
        <v>3556</v>
      </c>
      <c r="D2454" s="1358">
        <v>46165.742094907408</v>
      </c>
      <c r="E2454" s="888">
        <v>-2</v>
      </c>
      <c r="F2454" s="408">
        <v>4.4999999999999998E-2</v>
      </c>
      <c r="G2454" s="541">
        <f t="shared" si="39"/>
        <v>-2</v>
      </c>
      <c r="H2454" s="526" t="s">
        <v>1666</v>
      </c>
      <c r="I2454" s="539" t="s">
        <v>2883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4" t="str">
        <f>LEFT(base[[#This Row],[Evento / Mercado]],FIND("/",base[[#This Row],[Evento / Mercado]])-2)</f>
        <v>Saint Louis City SC vs Austin FC</v>
      </c>
      <c r="T2454" s="1420">
        <f>base[[#This Row],[Data de liquidação]]</f>
        <v>46165.742094907408</v>
      </c>
    </row>
    <row r="2455" spans="2:20" ht="15" customHeight="1">
      <c r="B2455" s="795" t="s">
        <v>2911</v>
      </c>
      <c r="C2455" s="911" t="s">
        <v>3556</v>
      </c>
      <c r="D2455" s="1358">
        <v>46165.747141203705</v>
      </c>
      <c r="E2455" s="888">
        <v>6.46</v>
      </c>
      <c r="F2455" s="408">
        <v>4.4999999999999998E-2</v>
      </c>
      <c r="G2455" s="541">
        <f t="shared" si="39"/>
        <v>6.7643979057591626</v>
      </c>
      <c r="H2455" s="526" t="s">
        <v>1666</v>
      </c>
      <c r="I2455" s="539" t="s">
        <v>1717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4" t="str">
        <f>LEFT(base[[#This Row],[Evento / Mercado]],FIND("/",base[[#This Row],[Evento / Mercado]])-2)</f>
        <v>Real Mallorca vs Real Oviedo</v>
      </c>
      <c r="T2455" s="1420">
        <f>base[[#This Row],[Data de liquidação]]</f>
        <v>46165.747141203705</v>
      </c>
    </row>
    <row r="2456" spans="2:20" ht="15" customHeight="1">
      <c r="B2456" s="795" t="s">
        <v>2910</v>
      </c>
      <c r="C2456" s="911" t="s">
        <v>3556</v>
      </c>
      <c r="D2456" s="1358">
        <v>46165.748229166667</v>
      </c>
      <c r="E2456" s="888">
        <v>6.82</v>
      </c>
      <c r="F2456" s="408">
        <v>4.4999999999999998E-2</v>
      </c>
      <c r="G2456" s="541">
        <f t="shared" si="39"/>
        <v>7.1413612565445028</v>
      </c>
      <c r="H2456" s="526" t="s">
        <v>1666</v>
      </c>
      <c r="I2456" s="539" t="s">
        <v>2951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4" t="str">
        <f>LEFT(base[[#This Row],[Evento / Mercado]],FIND("/",base[[#This Row],[Evento / Mercado]])-2)</f>
        <v>Celta de Vigo vs Sevilla</v>
      </c>
      <c r="T2456" s="1420">
        <f>base[[#This Row],[Data de liquidação]]</f>
        <v>46165.748229166667</v>
      </c>
    </row>
    <row r="2457" spans="2:20" ht="15" customHeight="1">
      <c r="B2457" s="795" t="s">
        <v>2909</v>
      </c>
      <c r="C2457" s="911" t="s">
        <v>3556</v>
      </c>
      <c r="D2457" s="1358">
        <v>46165.748379629629</v>
      </c>
      <c r="E2457" s="888">
        <v>0.19</v>
      </c>
      <c r="F2457" s="408">
        <v>4.4999999999999998E-2</v>
      </c>
      <c r="G2457" s="541">
        <f t="shared" si="39"/>
        <v>0.19895287958115185</v>
      </c>
      <c r="H2457" s="526" t="s">
        <v>1666</v>
      </c>
      <c r="I2457" s="539" t="s">
        <v>2952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4" t="str">
        <f>LEFT(base[[#This Row],[Evento / Mercado]],FIND("/",base[[#This Row],[Evento / Mercado]])-2)</f>
        <v>Real Betis vs Levante UD</v>
      </c>
      <c r="T2457" s="1420">
        <f>base[[#This Row],[Data de liquidação]]</f>
        <v>46165.748379629629</v>
      </c>
    </row>
    <row r="2458" spans="2:20" ht="15" customHeight="1">
      <c r="B2458" s="795" t="s">
        <v>2908</v>
      </c>
      <c r="C2458" s="911" t="s">
        <v>3556</v>
      </c>
      <c r="D2458" s="1358">
        <v>46165.748449074075</v>
      </c>
      <c r="E2458" s="888">
        <v>2.06</v>
      </c>
      <c r="F2458" s="408">
        <v>4.4999999999999998E-2</v>
      </c>
      <c r="G2458" s="541">
        <f t="shared" si="39"/>
        <v>2.1570680628272254</v>
      </c>
      <c r="H2458" s="526" t="s">
        <v>1666</v>
      </c>
      <c r="I2458" s="539" t="s">
        <v>1758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4" t="str">
        <f>LEFT(base[[#This Row],[Evento / Mercado]],FIND("/",base[[#This Row],[Evento / Mercado]])-2)</f>
        <v>Celta de Vigo vs Sevilla</v>
      </c>
      <c r="T2458" s="1420">
        <f>base[[#This Row],[Data de liquidação]]</f>
        <v>46165.748449074075</v>
      </c>
    </row>
    <row r="2459" spans="2:20" ht="15" customHeight="1">
      <c r="B2459" s="795" t="s">
        <v>2907</v>
      </c>
      <c r="C2459" s="911" t="s">
        <v>3556</v>
      </c>
      <c r="D2459" s="1358">
        <v>46165.751435185186</v>
      </c>
      <c r="E2459" s="888">
        <v>5.83</v>
      </c>
      <c r="F2459" s="408">
        <v>4.4999999999999998E-2</v>
      </c>
      <c r="G2459" s="541">
        <f t="shared" si="39"/>
        <v>6.1047120418848166</v>
      </c>
      <c r="H2459" s="526" t="s">
        <v>1666</v>
      </c>
      <c r="I2459" s="539" t="s">
        <v>2950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4" t="str">
        <f>LEFT(base[[#This Row],[Evento / Mercado]],FIND("/",base[[#This Row],[Evento / Mercado]])-2)</f>
        <v>Valencia vs FC Barcelona</v>
      </c>
      <c r="T2459" s="1420">
        <f>base[[#This Row],[Data de liquidação]]</f>
        <v>46165.751435185186</v>
      </c>
    </row>
    <row r="2460" spans="2:20" ht="15" customHeight="1">
      <c r="B2460" s="795" t="s">
        <v>2906</v>
      </c>
      <c r="C2460" s="911" t="s">
        <v>3556</v>
      </c>
      <c r="D2460" s="1358">
        <v>46165.751793981479</v>
      </c>
      <c r="E2460" s="888">
        <v>3.17</v>
      </c>
      <c r="F2460" s="408">
        <v>4.4999999999999998E-2</v>
      </c>
      <c r="G2460" s="541">
        <f t="shared" si="39"/>
        <v>3.3193717277486914</v>
      </c>
      <c r="H2460" s="526" t="s">
        <v>1666</v>
      </c>
      <c r="I2460" s="539" t="s">
        <v>1663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4" t="str">
        <f>LEFT(base[[#This Row],[Evento / Mercado]],FIND("/",base[[#This Row],[Evento / Mercado]])-2)</f>
        <v>Valencia vs FC Barcelona</v>
      </c>
      <c r="T2460" s="1420">
        <f>base[[#This Row],[Data de liquidação]]</f>
        <v>46165.751793981479</v>
      </c>
    </row>
    <row r="2461" spans="2:20" ht="15" customHeight="1">
      <c r="B2461" s="795" t="s">
        <v>2905</v>
      </c>
      <c r="C2461" s="911" t="s">
        <v>3556</v>
      </c>
      <c r="D2461" s="1358">
        <v>46165.791307870371</v>
      </c>
      <c r="E2461" s="888">
        <v>-5</v>
      </c>
      <c r="F2461" s="408">
        <v>4.4999999999999998E-2</v>
      </c>
      <c r="G2461" s="541">
        <f t="shared" si="39"/>
        <v>-5</v>
      </c>
      <c r="H2461" s="526" t="s">
        <v>1666</v>
      </c>
      <c r="I2461" s="539" t="s">
        <v>1716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4" t="str">
        <f>LEFT(base[[#This Row],[Evento / Mercado]],FIND("/",base[[#This Row],[Evento / Mercado]])-2)</f>
        <v>São Paulo vs Botafogo FR</v>
      </c>
      <c r="T2461" s="1420">
        <f>base[[#This Row],[Data de liquidação]]</f>
        <v>46165.791307870371</v>
      </c>
    </row>
    <row r="2462" spans="2:20" ht="15" customHeight="1">
      <c r="B2462" s="795" t="s">
        <v>2904</v>
      </c>
      <c r="C2462" s="911" t="s">
        <v>3556</v>
      </c>
      <c r="D2462" s="1358">
        <v>46165.792905092596</v>
      </c>
      <c r="E2462" s="888">
        <v>44.96</v>
      </c>
      <c r="F2462" s="408">
        <v>4.4999999999999998E-2</v>
      </c>
      <c r="G2462" s="541">
        <f t="shared" si="39"/>
        <v>47.078534031413618</v>
      </c>
      <c r="H2462" s="541" t="s">
        <v>179</v>
      </c>
      <c r="I2462" s="539" t="s">
        <v>1594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1370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4" t="str">
        <f>LEFT(base[[#This Row],[Evento / Mercado]],FIND("/",base[[#This Row],[Evento / Mercado]])-2)</f>
        <v>São Paulo vs Botafogo FR</v>
      </c>
      <c r="T2462" s="1420">
        <f>base[[#This Row],[Data de liquidação]]</f>
        <v>46165.792905092596</v>
      </c>
    </row>
    <row r="2463" spans="2:20" ht="15" customHeight="1">
      <c r="B2463" s="795" t="s">
        <v>2903</v>
      </c>
      <c r="C2463" s="911" t="s">
        <v>3556</v>
      </c>
      <c r="D2463" s="1358">
        <v>46165.793506944443</v>
      </c>
      <c r="E2463" s="888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4" t="str">
        <f>LEFT(base[[#This Row],[Evento / Mercado]],FIND("/",base[[#This Row],[Evento / Mercado]])-2)</f>
        <v>EC Vitória vs SC Internacional</v>
      </c>
      <c r="T2463" s="1420">
        <f>base[[#This Row],[Data de liquidação]]</f>
        <v>46165.793506944443</v>
      </c>
    </row>
    <row r="2464" spans="2:20" ht="15" customHeight="1">
      <c r="B2464" s="795" t="s">
        <v>2902</v>
      </c>
      <c r="C2464" s="911" t="s">
        <v>3556</v>
      </c>
      <c r="D2464" s="1358">
        <v>46165.820081018515</v>
      </c>
      <c r="E2464" s="888">
        <v>2.57</v>
      </c>
      <c r="F2464" s="408">
        <v>4.4999999999999998E-2</v>
      </c>
      <c r="G2464" s="541">
        <f t="shared" si="39"/>
        <v>2.6910994764397906</v>
      </c>
      <c r="H2464" s="526" t="s">
        <v>1666</v>
      </c>
      <c r="I2464" s="539" t="s">
        <v>1715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4" t="str">
        <f>LEFT(base[[#This Row],[Evento / Mercado]],FIND("/",base[[#This Row],[Evento / Mercado]])-2)</f>
        <v>Minnesota United vs Real Salt Lake</v>
      </c>
      <c r="T2464" s="1420">
        <f>base[[#This Row],[Data de liquidação]]</f>
        <v>46165.820081018515</v>
      </c>
    </row>
    <row r="2465" spans="2:20" ht="15" customHeight="1">
      <c r="B2465" s="795" t="s">
        <v>2901</v>
      </c>
      <c r="C2465" s="911" t="s">
        <v>3556</v>
      </c>
      <c r="D2465" s="1358">
        <v>46165.855324074073</v>
      </c>
      <c r="E2465" s="888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392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2955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4" t="str">
        <f>LEFT(base[[#This Row],[Evento / Mercado]],FIND("/",base[[#This Row],[Evento / Mercado]])-2)</f>
        <v>Fortaleza EC vs Londrina</v>
      </c>
      <c r="T2465" s="1420">
        <f>base[[#This Row],[Data de liquidação]]</f>
        <v>46165.855324074073</v>
      </c>
    </row>
    <row r="2466" spans="2:20" ht="15" customHeight="1">
      <c r="B2466" s="795" t="s">
        <v>2900</v>
      </c>
      <c r="C2466" s="911" t="s">
        <v>3556</v>
      </c>
      <c r="D2466" s="1358">
        <v>46165.874432870369</v>
      </c>
      <c r="E2466" s="888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1594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1370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4" t="str">
        <f>LEFT(base[[#This Row],[Evento / Mercado]],FIND("/",base[[#This Row],[Evento / Mercado]])-2)</f>
        <v>Grêmio FBPA vs Santos FC</v>
      </c>
      <c r="T2466" s="1420">
        <f>base[[#This Row],[Data de liquidação]]</f>
        <v>46165.874432870369</v>
      </c>
    </row>
    <row r="2467" spans="2:20" ht="15" customHeight="1">
      <c r="B2467" s="795" t="s">
        <v>2899</v>
      </c>
      <c r="C2467" s="911" t="s">
        <v>3556</v>
      </c>
      <c r="D2467" s="1358">
        <v>46165.875694444447</v>
      </c>
      <c r="E2467" s="888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539" t="s">
        <v>75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1370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4" t="str">
        <f>LEFT(base[[#This Row],[Evento / Mercado]],FIND("/",base[[#This Row],[Evento / Mercado]])-2)</f>
        <v>Mirassol FC vs Fluminense FC</v>
      </c>
      <c r="T2467" s="1420">
        <f>base[[#This Row],[Data de liquidação]]</f>
        <v>46165.875694444447</v>
      </c>
    </row>
    <row r="2468" spans="2:20" ht="15" customHeight="1">
      <c r="B2468" s="795" t="s">
        <v>2898</v>
      </c>
      <c r="C2468" s="911" t="s">
        <v>3556</v>
      </c>
      <c r="D2468" s="1358">
        <v>46165.875914351855</v>
      </c>
      <c r="E2468" s="888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4" t="str">
        <f>LEFT(base[[#This Row],[Evento / Mercado]],FIND("/",base[[#This Row],[Evento / Mercado]])-2)</f>
        <v>Mirassol FC vs Fluminense FC</v>
      </c>
      <c r="T2468" s="1420">
        <f>base[[#This Row],[Data de liquidação]]</f>
        <v>46165.875914351855</v>
      </c>
    </row>
    <row r="2469" spans="2:20" ht="15" customHeight="1">
      <c r="B2469" s="795" t="s">
        <v>2897</v>
      </c>
      <c r="C2469" s="911" t="s">
        <v>3556</v>
      </c>
      <c r="D2469" s="1358">
        <v>46165.87945601852</v>
      </c>
      <c r="E2469" s="888">
        <v>2.79</v>
      </c>
      <c r="F2469" s="408">
        <v>4.4999999999999998E-2</v>
      </c>
      <c r="G2469" s="541">
        <f t="shared" si="39"/>
        <v>2.9214659685863875</v>
      </c>
      <c r="H2469" s="526" t="s">
        <v>1666</v>
      </c>
      <c r="I2469" s="539" t="s">
        <v>1715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4" t="str">
        <f>LEFT(base[[#This Row],[Evento / Mercado]],FIND("/",base[[#This Row],[Evento / Mercado]])-2)</f>
        <v>Vancouver FC vs FC Supra du Quebec</v>
      </c>
      <c r="T2469" s="1420">
        <f>base[[#This Row],[Data de liquidação]]</f>
        <v>46165.87945601852</v>
      </c>
    </row>
    <row r="2470" spans="2:20" ht="15" customHeight="1">
      <c r="B2470" s="795" t="s">
        <v>2896</v>
      </c>
      <c r="C2470" s="911" t="s">
        <v>3556</v>
      </c>
      <c r="D2470" s="1358">
        <v>46165.891180555554</v>
      </c>
      <c r="E2470" s="888">
        <v>9.5500000000000007</v>
      </c>
      <c r="F2470" s="408">
        <v>4.4999999999999998E-2</v>
      </c>
      <c r="G2470" s="541">
        <f t="shared" si="39"/>
        <v>10.000000000000002</v>
      </c>
      <c r="H2470" s="526" t="s">
        <v>1666</v>
      </c>
      <c r="I2470" s="539" t="s">
        <v>1558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4" t="str">
        <f>LEFT(base[[#This Row],[Evento / Mercado]],FIND("/",base[[#This Row],[Evento / Mercado]])-2)</f>
        <v>FC Cincinnati vs Orlando City</v>
      </c>
      <c r="T2470" s="1420">
        <f>base[[#This Row],[Data de liquidação]]</f>
        <v>46165.891180555554</v>
      </c>
    </row>
    <row r="2471" spans="2:20" ht="15" customHeight="1">
      <c r="B2471" s="795" t="s">
        <v>2895</v>
      </c>
      <c r="C2471" s="911" t="s">
        <v>3556</v>
      </c>
      <c r="D2471" s="1358">
        <v>46165.893541666665</v>
      </c>
      <c r="E2471" s="888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4" t="str">
        <f>LEFT(base[[#This Row],[Evento / Mercado]],FIND("/",base[[#This Row],[Evento / Mercado]])-2)</f>
        <v>DC United vs CF Montreal</v>
      </c>
      <c r="T2471" s="1420">
        <f>base[[#This Row],[Data de liquidação]]</f>
        <v>46165.893541666665</v>
      </c>
    </row>
    <row r="2472" spans="2:20" ht="15" customHeight="1">
      <c r="B2472" s="795" t="s">
        <v>2894</v>
      </c>
      <c r="C2472" s="911" t="s">
        <v>3556</v>
      </c>
      <c r="D2472" s="1358">
        <v>46165.918611111112</v>
      </c>
      <c r="E2472" s="888">
        <v>1.1399999999999999</v>
      </c>
      <c r="F2472" s="408">
        <v>4.4999999999999998E-2</v>
      </c>
      <c r="G2472" s="541">
        <f t="shared" si="39"/>
        <v>1.1937172774869109</v>
      </c>
      <c r="H2472" s="526" t="s">
        <v>1666</v>
      </c>
      <c r="I2472" s="539" t="s">
        <v>1795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4" t="str">
        <f>LEFT(base[[#This Row],[Evento / Mercado]],FIND("/",base[[#This Row],[Evento / Mercado]])-2)</f>
        <v>Chicago Fire vs Toronto FC</v>
      </c>
      <c r="T2472" s="1420">
        <f>base[[#This Row],[Data de liquidação]]</f>
        <v>46165.918611111112</v>
      </c>
    </row>
    <row r="2473" spans="2:20" ht="15" customHeight="1">
      <c r="B2473" s="795" t="s">
        <v>2892</v>
      </c>
      <c r="C2473" s="911" t="s">
        <v>3556</v>
      </c>
      <c r="D2473" s="1358">
        <v>46165.940104166664</v>
      </c>
      <c r="E2473" s="888">
        <v>1.87</v>
      </c>
      <c r="F2473" s="408">
        <v>4.4999999999999998E-2</v>
      </c>
      <c r="G2473" s="541">
        <f t="shared" si="39"/>
        <v>1.9581151832460735</v>
      </c>
      <c r="H2473" s="526" t="s">
        <v>1666</v>
      </c>
      <c r="I2473" s="539" t="s">
        <v>1758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4" t="str">
        <f>LEFT(base[[#This Row],[Evento / Mercado]],FIND("/",base[[#This Row],[Evento / Mercado]])-2)</f>
        <v>Charlotte FC vs New England Revolution</v>
      </c>
      <c r="T2473" s="1420">
        <f>base[[#This Row],[Data de liquidação]]</f>
        <v>46165.940104166664</v>
      </c>
    </row>
    <row r="2474" spans="2:20" ht="15" customHeight="1">
      <c r="B2474" s="795" t="s">
        <v>2893</v>
      </c>
      <c r="C2474" s="911" t="s">
        <v>3556</v>
      </c>
      <c r="D2474" s="1358">
        <v>46165.940104166664</v>
      </c>
      <c r="E2474" s="888">
        <v>-2</v>
      </c>
      <c r="F2474" s="408">
        <v>4.4999999999999998E-2</v>
      </c>
      <c r="G2474" s="541">
        <f t="shared" si="39"/>
        <v>-2</v>
      </c>
      <c r="H2474" s="526" t="s">
        <v>1666</v>
      </c>
      <c r="I2474" s="539" t="s">
        <v>2883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4" t="str">
        <f>LEFT(base[[#This Row],[Evento / Mercado]],FIND("/",base[[#This Row],[Evento / Mercado]])-2)</f>
        <v>Charlotte FC vs New England Revolution</v>
      </c>
      <c r="T2474" s="1420">
        <f>base[[#This Row],[Data de liquidação]]</f>
        <v>46165.940104166664</v>
      </c>
    </row>
    <row r="2475" spans="2:20" ht="15" customHeight="1">
      <c r="B2475" s="795" t="s">
        <v>2891</v>
      </c>
      <c r="C2475" s="911" t="s">
        <v>3556</v>
      </c>
      <c r="D2475" s="1358">
        <v>46165.940138888887</v>
      </c>
      <c r="E2475" s="888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1666</v>
      </c>
      <c r="I2475" s="539" t="s">
        <v>1558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4" t="str">
        <f>LEFT(base[[#This Row],[Evento / Mercado]],FIND("/",base[[#This Row],[Evento / Mercado]])-2)</f>
        <v>Charlotte FC vs New England Revolution</v>
      </c>
      <c r="T2475" s="1420">
        <f>base[[#This Row],[Data de liquidação]]</f>
        <v>46165.940138888887</v>
      </c>
    </row>
    <row r="2476" spans="2:20" ht="15" customHeight="1">
      <c r="B2476" s="795" t="s">
        <v>2891</v>
      </c>
      <c r="C2476" s="911" t="s">
        <v>3556</v>
      </c>
      <c r="D2476" s="1358">
        <v>46165.940138888887</v>
      </c>
      <c r="E2476" s="888">
        <v>2.33</v>
      </c>
      <c r="F2476" s="408">
        <v>0</v>
      </c>
      <c r="G2476" s="541">
        <f t="shared" si="39"/>
        <v>2.33</v>
      </c>
      <c r="H2476" s="526" t="s">
        <v>1666</v>
      </c>
      <c r="I2476" s="539" t="s">
        <v>1716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4" t="str">
        <f>LEFT(base[[#This Row],[Evento / Mercado]],FIND("/",base[[#This Row],[Evento / Mercado]])-2)</f>
        <v>Charlotte FC vs New England Revolution</v>
      </c>
      <c r="T2476" s="1420">
        <f>base[[#This Row],[Data de liquidação]]</f>
        <v>46165.940138888887</v>
      </c>
    </row>
    <row r="2477" spans="2:20" ht="15" customHeight="1">
      <c r="B2477" s="795" t="s">
        <v>2890</v>
      </c>
      <c r="C2477" s="911" t="s">
        <v>3556</v>
      </c>
      <c r="D2477" s="1358">
        <v>46165.961168981485</v>
      </c>
      <c r="E2477" s="888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1844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4" t="str">
        <f>LEFT(base[[#This Row],[Evento / Mercado]],FIND("/",base[[#This Row],[Evento / Mercado]])-2)</f>
        <v>Chicago Fire vs Toronto FC</v>
      </c>
      <c r="T2477" s="1420">
        <f>base[[#This Row],[Data de liquidação]]</f>
        <v>46165.961168981485</v>
      </c>
    </row>
    <row r="2478" spans="2:20" ht="15" customHeight="1">
      <c r="B2478" s="795" t="s">
        <v>2889</v>
      </c>
      <c r="C2478" s="911" t="s">
        <v>3556</v>
      </c>
      <c r="D2478" s="1358">
        <v>46165.9765625</v>
      </c>
      <c r="E2478" s="888">
        <v>9.5500000000000007</v>
      </c>
      <c r="F2478" s="408">
        <v>4.4999999999999998E-2</v>
      </c>
      <c r="G2478" s="541">
        <f t="shared" si="39"/>
        <v>10.000000000000002</v>
      </c>
      <c r="H2478" s="526" t="s">
        <v>1666</v>
      </c>
      <c r="I2478" s="539" t="s">
        <v>1558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4" t="str">
        <f>LEFT(base[[#This Row],[Evento / Mercado]],FIND("/",base[[#This Row],[Evento / Mercado]])-2)</f>
        <v>San Diego FC vs Vancouver Whitecaps</v>
      </c>
      <c r="T2478" s="1420">
        <f>base[[#This Row],[Data de liquidação]]</f>
        <v>46165.9765625</v>
      </c>
    </row>
    <row r="2479" spans="2:20" ht="15" customHeight="1">
      <c r="B2479" s="795" t="s">
        <v>3020</v>
      </c>
      <c r="C2479" s="911" t="s">
        <v>3556</v>
      </c>
      <c r="D2479" s="1358">
        <v>46166.005254629628</v>
      </c>
      <c r="E2479" s="888">
        <v>-15</v>
      </c>
      <c r="F2479" s="408">
        <v>4.4999999999999998E-2</v>
      </c>
      <c r="G2479" s="541">
        <f t="shared" si="39"/>
        <v>-15</v>
      </c>
      <c r="H2479" s="526" t="s">
        <v>1666</v>
      </c>
      <c r="I2479" s="539" t="s">
        <v>1663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4" t="str">
        <f>LEFT(base[[#This Row],[Evento / Mercado]],FIND("/",base[[#This Row],[Evento / Mercado]])-2)</f>
        <v>San Diego FC vs Vancouver Whitecaps</v>
      </c>
      <c r="T2479" s="1420">
        <f>base[[#This Row],[Data de liquidação]]</f>
        <v>46166.005254629628</v>
      </c>
    </row>
    <row r="2480" spans="2:20" ht="15" customHeight="1">
      <c r="B2480" s="795" t="s">
        <v>3019</v>
      </c>
      <c r="C2480" s="911" t="s">
        <v>3556</v>
      </c>
      <c r="D2480" s="1358">
        <v>46166.009560185186</v>
      </c>
      <c r="E2480" s="888">
        <v>0.17</v>
      </c>
      <c r="F2480" s="408">
        <v>4.4999999999999998E-2</v>
      </c>
      <c r="G2480" s="541">
        <f t="shared" si="39"/>
        <v>0.1780104712041885</v>
      </c>
      <c r="H2480" s="526" t="s">
        <v>1666</v>
      </c>
      <c r="I2480" s="539" t="s">
        <v>2362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4" t="str">
        <f>LEFT(base[[#This Row],[Evento / Mercado]],FIND("/",base[[#This Row],[Evento / Mercado]])-2)</f>
        <v>Los Angeles Galaxy vs Houston Dynamo</v>
      </c>
      <c r="T2480" s="1420">
        <f>base[[#This Row],[Data de liquidação]]</f>
        <v>46166.009560185186</v>
      </c>
    </row>
    <row r="2481" spans="2:20" ht="15" customHeight="1">
      <c r="B2481" s="795" t="s">
        <v>3018</v>
      </c>
      <c r="C2481" s="911" t="s">
        <v>3556</v>
      </c>
      <c r="D2481" s="1358">
        <v>46166.01489583333</v>
      </c>
      <c r="E2481" s="888">
        <v>9.5500000000000007</v>
      </c>
      <c r="F2481" s="408">
        <v>4.4999999999999998E-2</v>
      </c>
      <c r="G2481" s="541">
        <f t="shared" si="39"/>
        <v>10.000000000000002</v>
      </c>
      <c r="H2481" s="526" t="s">
        <v>1666</v>
      </c>
      <c r="I2481" s="539" t="s">
        <v>1558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4" t="str">
        <f>LEFT(base[[#This Row],[Evento / Mercado]],FIND("/",base[[#This Row],[Evento / Mercado]])-2)</f>
        <v>Los Angeles Galaxy vs Houston Dynamo</v>
      </c>
      <c r="T2481" s="1420">
        <f>base[[#This Row],[Data de liquidação]]</f>
        <v>46166.01489583333</v>
      </c>
    </row>
    <row r="2482" spans="2:20" ht="15" customHeight="1">
      <c r="B2482" s="795" t="s">
        <v>3017</v>
      </c>
      <c r="C2482" s="911" t="s">
        <v>3556</v>
      </c>
      <c r="D2482" s="1358">
        <v>46166.305879629632</v>
      </c>
      <c r="E2482" s="888">
        <v>2.46</v>
      </c>
      <c r="F2482" s="408">
        <v>4.4999999999999998E-2</v>
      </c>
      <c r="G2482" s="541">
        <f t="shared" si="39"/>
        <v>2.5759162303664924</v>
      </c>
      <c r="H2482" s="526" t="s">
        <v>1666</v>
      </c>
      <c r="I2482" s="539" t="s">
        <v>2301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4" t="str">
        <f>LEFT(base[[#This Row],[Evento / Mercado]],FIND("/",base[[#This Row],[Evento / Mercado]])-2)</f>
        <v>Qingdao Hainiu vs Chongqing Tonglianglong</v>
      </c>
      <c r="T2482" s="1420">
        <f>base[[#This Row],[Data de liquidação]]</f>
        <v>46166.305879629632</v>
      </c>
    </row>
    <row r="2483" spans="2:20" ht="15" customHeight="1">
      <c r="B2483" s="795" t="s">
        <v>3016</v>
      </c>
      <c r="C2483" s="911" t="s">
        <v>3556</v>
      </c>
      <c r="D2483" s="1358">
        <v>46166.3281712963</v>
      </c>
      <c r="E2483" s="888">
        <v>-50.02</v>
      </c>
      <c r="F2483" s="408">
        <v>4.4999999999999998E-2</v>
      </c>
      <c r="G2483" s="541">
        <f t="shared" si="39"/>
        <v>-50.02</v>
      </c>
      <c r="H2483" s="526" t="s">
        <v>1666</v>
      </c>
      <c r="I2483" s="539" t="s">
        <v>2951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4" t="str">
        <f>LEFT(base[[#This Row],[Evento / Mercado]],FIND("/",base[[#This Row],[Evento / Mercado]])-2)</f>
        <v>Qingdao Hainiu vs Chongqing Tonglianglong</v>
      </c>
      <c r="T2483" s="1420">
        <f>base[[#This Row],[Data de liquidação]]</f>
        <v>46166.3281712963</v>
      </c>
    </row>
    <row r="2484" spans="2:20" ht="15" customHeight="1">
      <c r="B2484" s="795" t="s">
        <v>3015</v>
      </c>
      <c r="C2484" s="911" t="s">
        <v>3556</v>
      </c>
      <c r="D2484" s="1358">
        <v>46166.366203703707</v>
      </c>
      <c r="E2484" s="888">
        <v>9.5500000000000007</v>
      </c>
      <c r="F2484" s="408">
        <v>4.4999999999999998E-2</v>
      </c>
      <c r="G2484" s="541">
        <f t="shared" si="39"/>
        <v>10.000000000000002</v>
      </c>
      <c r="H2484" s="526" t="s">
        <v>1666</v>
      </c>
      <c r="I2484" s="539" t="s">
        <v>1558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4" t="str">
        <f>LEFT(base[[#This Row],[Evento / Mercado]],FIND("/",base[[#This Row],[Evento / Mercado]])-2)</f>
        <v>Yunnan Yukun vs Qingdao West Coast</v>
      </c>
      <c r="T2484" s="1420">
        <f>base[[#This Row],[Data de liquidação]]</f>
        <v>46166.366203703707</v>
      </c>
    </row>
    <row r="2485" spans="2:20" ht="15" customHeight="1">
      <c r="B2485" s="795" t="s">
        <v>3014</v>
      </c>
      <c r="C2485" s="911" t="s">
        <v>3556</v>
      </c>
      <c r="D2485" s="1358">
        <v>46166.366990740738</v>
      </c>
      <c r="E2485" s="888">
        <v>1.22</v>
      </c>
      <c r="F2485" s="408">
        <v>4.4999999999999998E-2</v>
      </c>
      <c r="G2485" s="541">
        <f t="shared" si="39"/>
        <v>1.2774869109947644</v>
      </c>
      <c r="H2485" s="526" t="s">
        <v>1666</v>
      </c>
      <c r="I2485" s="539" t="s">
        <v>2883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4" t="str">
        <f>LEFT(base[[#This Row],[Evento / Mercado]],FIND("/",base[[#This Row],[Evento / Mercado]])-2)</f>
        <v>Shandong Taishan vs Wuhan Three Towns</v>
      </c>
      <c r="T2485" s="1420">
        <f>base[[#This Row],[Data de liquidação]]</f>
        <v>46166.366990740738</v>
      </c>
    </row>
    <row r="2486" spans="2:20" ht="15" customHeight="1">
      <c r="B2486" s="795" t="s">
        <v>3013</v>
      </c>
      <c r="C2486" s="911" t="s">
        <v>3556</v>
      </c>
      <c r="D2486" s="1358">
        <v>46166.446979166663</v>
      </c>
      <c r="E2486" s="888">
        <v>-5</v>
      </c>
      <c r="F2486" s="408">
        <v>4.4999999999999998E-2</v>
      </c>
      <c r="G2486" s="541">
        <f t="shared" si="39"/>
        <v>-5</v>
      </c>
      <c r="H2486" s="526" t="s">
        <v>1666</v>
      </c>
      <c r="I2486" s="539" t="s">
        <v>1665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4" t="str">
        <f>LEFT(base[[#This Row],[Evento / Mercado]],FIND("/",base[[#This Row],[Evento / Mercado]])-2)</f>
        <v>Hammarby IF vs AIK</v>
      </c>
      <c r="T2486" s="1420">
        <f>base[[#This Row],[Data de liquidação]]</f>
        <v>46166.446979166663</v>
      </c>
    </row>
    <row r="2487" spans="2:20" ht="15" customHeight="1">
      <c r="B2487" s="795" t="s">
        <v>3012</v>
      </c>
      <c r="C2487" s="911" t="s">
        <v>3556</v>
      </c>
      <c r="D2487" s="1358">
        <v>46166.490416666667</v>
      </c>
      <c r="E2487" s="888">
        <v>9.5500000000000007</v>
      </c>
      <c r="F2487" s="408">
        <v>4.4999999999999998E-2</v>
      </c>
      <c r="G2487" s="541">
        <f t="shared" si="39"/>
        <v>10.000000000000002</v>
      </c>
      <c r="H2487" s="526" t="s">
        <v>1666</v>
      </c>
      <c r="I2487" s="539" t="s">
        <v>1558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4" t="str">
        <f>LEFT(base[[#This Row],[Evento / Mercado]],FIND("/",base[[#This Row],[Evento / Mercado]])-2)</f>
        <v>Bod</v>
      </c>
      <c r="T2487" s="1420">
        <f>base[[#This Row],[Data de liquidação]]</f>
        <v>46166.490416666667</v>
      </c>
    </row>
    <row r="2488" spans="2:20" ht="15" customHeight="1">
      <c r="B2488" s="795" t="s">
        <v>3011</v>
      </c>
      <c r="C2488" s="911" t="s">
        <v>3556</v>
      </c>
      <c r="D2488" s="1358">
        <v>46166.493750000001</v>
      </c>
      <c r="E2488" s="888">
        <v>1.24</v>
      </c>
      <c r="F2488" s="408">
        <v>4.4999999999999998E-2</v>
      </c>
      <c r="G2488" s="541">
        <f t="shared" si="39"/>
        <v>1.2984293193717278</v>
      </c>
      <c r="H2488" s="526" t="s">
        <v>1666</v>
      </c>
      <c r="I2488" s="539" t="s">
        <v>2883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4" t="str">
        <f>LEFT(base[[#This Row],[Evento / Mercado]],FIND("/",base[[#This Row],[Evento / Mercado]])-2)</f>
        <v>GKS Tychy vs Stal Rzeszów</v>
      </c>
      <c r="T2488" s="1420">
        <f>base[[#This Row],[Data de liquidação]]</f>
        <v>46166.493750000001</v>
      </c>
    </row>
    <row r="2489" spans="2:20" ht="15" customHeight="1">
      <c r="B2489" s="795" t="s">
        <v>3010</v>
      </c>
      <c r="C2489" s="911" t="s">
        <v>3556</v>
      </c>
      <c r="D2489" s="1358">
        <v>46166.497997685183</v>
      </c>
      <c r="E2489" s="888">
        <v>5.73</v>
      </c>
      <c r="F2489" s="408">
        <v>4.4999999999999998E-2</v>
      </c>
      <c r="G2489" s="541">
        <f t="shared" si="39"/>
        <v>6.0000000000000009</v>
      </c>
      <c r="H2489" s="526" t="s">
        <v>1666</v>
      </c>
      <c r="I2489" s="539" t="s">
        <v>1665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4" t="str">
        <f>LEFT(base[[#This Row],[Evento / Mercado]],FIND("/",base[[#This Row],[Evento / Mercado]])-2)</f>
        <v>Parma vs Sassuolo</v>
      </c>
      <c r="T2489" s="1420">
        <f>base[[#This Row],[Data de liquidação]]</f>
        <v>46166.497997685183</v>
      </c>
    </row>
    <row r="2490" spans="2:20" ht="15" customHeight="1">
      <c r="B2490" s="795" t="s">
        <v>3009</v>
      </c>
      <c r="C2490" s="911" t="s">
        <v>3556</v>
      </c>
      <c r="D2490" s="1358">
        <v>46166.518564814818</v>
      </c>
      <c r="E2490" s="888">
        <v>1.19</v>
      </c>
      <c r="F2490" s="408">
        <v>4.4999999999999998E-2</v>
      </c>
      <c r="G2490" s="541">
        <f t="shared" si="39"/>
        <v>1.2460732984293195</v>
      </c>
      <c r="H2490" s="526" t="s">
        <v>1666</v>
      </c>
      <c r="I2490" s="539" t="s">
        <v>1795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4" t="str">
        <f>LEFT(base[[#This Row],[Evento / Mercado]],FIND("/",base[[#This Row],[Evento / Mercado]])-2)</f>
        <v>Manchester City vs Aston Villa</v>
      </c>
      <c r="T2490" s="1420">
        <f>base[[#This Row],[Data de liquidação]]</f>
        <v>46166.518564814818</v>
      </c>
    </row>
    <row r="2491" spans="2:20" ht="15" customHeight="1">
      <c r="B2491" s="795" t="s">
        <v>3008</v>
      </c>
      <c r="C2491" s="911" t="s">
        <v>3556</v>
      </c>
      <c r="D2491" s="1358">
        <v>46166.532164351855</v>
      </c>
      <c r="E2491" s="888">
        <v>9.5500000000000007</v>
      </c>
      <c r="F2491" s="408">
        <v>4.4999999999999998E-2</v>
      </c>
      <c r="G2491" s="541">
        <f t="shared" si="39"/>
        <v>10.000000000000002</v>
      </c>
      <c r="H2491" s="526" t="s">
        <v>1666</v>
      </c>
      <c r="I2491" s="539" t="s">
        <v>1558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4" t="str">
        <f>LEFT(base[[#This Row],[Evento / Mercado]],FIND("/",base[[#This Row],[Evento / Mercado]])-2)</f>
        <v>Brighton &amp; Hove Albion vs Manchester United</v>
      </c>
      <c r="T2491" s="1420">
        <f>base[[#This Row],[Data de liquidação]]</f>
        <v>46166.532164351855</v>
      </c>
    </row>
    <row r="2492" spans="2:20" ht="15" customHeight="1">
      <c r="B2492" s="795" t="s">
        <v>3007</v>
      </c>
      <c r="C2492" s="911" t="s">
        <v>3556</v>
      </c>
      <c r="D2492" s="1358">
        <v>46166.547442129631</v>
      </c>
      <c r="E2492" s="888">
        <v>9.5500000000000007</v>
      </c>
      <c r="F2492" s="408">
        <v>4.4999999999999998E-2</v>
      </c>
      <c r="G2492" s="541">
        <f t="shared" si="39"/>
        <v>10.000000000000002</v>
      </c>
      <c r="H2492" s="526" t="s">
        <v>1666</v>
      </c>
      <c r="I2492" s="539" t="s">
        <v>1558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4" t="str">
        <f>LEFT(base[[#This Row],[Evento / Mercado]],FIND("/",base[[#This Row],[Evento / Mercado]])-2)</f>
        <v>Manchester City vs Aston Villa</v>
      </c>
      <c r="T2492" s="1420">
        <f>base[[#This Row],[Data de liquidação]]</f>
        <v>46166.547442129631</v>
      </c>
    </row>
    <row r="2493" spans="2:20" ht="15" customHeight="1">
      <c r="B2493" s="795" t="s">
        <v>3006</v>
      </c>
      <c r="C2493" s="911" t="s">
        <v>3556</v>
      </c>
      <c r="D2493" s="1358">
        <v>46166.549074074072</v>
      </c>
      <c r="E2493" s="888">
        <v>9.5500000000000007</v>
      </c>
      <c r="F2493" s="408">
        <v>4.4999999999999998E-2</v>
      </c>
      <c r="G2493" s="541">
        <f t="shared" si="39"/>
        <v>10.000000000000002</v>
      </c>
      <c r="H2493" s="526" t="s">
        <v>1666</v>
      </c>
      <c r="I2493" s="539" t="s">
        <v>1558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4" t="str">
        <f>LEFT(base[[#This Row],[Evento / Mercado]],FIND("/",base[[#This Row],[Evento / Mercado]])-2)</f>
        <v>Sunderland vs Chelsea</v>
      </c>
      <c r="T2493" s="1420">
        <f>base[[#This Row],[Data de liquidação]]</f>
        <v>46166.549074074072</v>
      </c>
    </row>
    <row r="2494" spans="2:20" ht="15" customHeight="1">
      <c r="B2494" s="795" t="s">
        <v>3005</v>
      </c>
      <c r="C2494" s="911" t="s">
        <v>3556</v>
      </c>
      <c r="D2494" s="1358">
        <v>46166.549386574072</v>
      </c>
      <c r="E2494" s="888">
        <v>-5</v>
      </c>
      <c r="F2494" s="408">
        <v>4.4999999999999998E-2</v>
      </c>
      <c r="G2494" s="541">
        <f t="shared" si="39"/>
        <v>-5</v>
      </c>
      <c r="H2494" s="526" t="s">
        <v>1666</v>
      </c>
      <c r="I2494" s="539" t="s">
        <v>1665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4" t="str">
        <f>LEFT(base[[#This Row],[Evento / Mercado]],FIND("/",base[[#This Row],[Evento / Mercado]])-2)</f>
        <v>Brighton &amp; Hove Albion vs Manchester United</v>
      </c>
      <c r="T2494" s="1420">
        <f>base[[#This Row],[Data de liquidação]]</f>
        <v>46166.549386574072</v>
      </c>
    </row>
    <row r="2495" spans="2:20" ht="15" customHeight="1">
      <c r="B2495" s="795" t="s">
        <v>3004</v>
      </c>
      <c r="C2495" s="911" t="s">
        <v>3556</v>
      </c>
      <c r="D2495" s="1358">
        <v>46166.552407407406</v>
      </c>
      <c r="E2495" s="888">
        <v>-49.97</v>
      </c>
      <c r="F2495" s="408">
        <v>4.4999999999999998E-2</v>
      </c>
      <c r="G2495" s="541">
        <f t="shared" si="39"/>
        <v>-49.97</v>
      </c>
      <c r="H2495" s="526" t="s">
        <v>1666</v>
      </c>
      <c r="I2495" s="539" t="s">
        <v>1717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4" t="str">
        <f>LEFT(base[[#This Row],[Evento / Mercado]],FIND("/",base[[#This Row],[Evento / Mercado]])-2)</f>
        <v>Andorra FC vs AD Ceuta FC</v>
      </c>
      <c r="T2495" s="1420">
        <f>base[[#This Row],[Data de liquidação]]</f>
        <v>46166.552407407406</v>
      </c>
    </row>
    <row r="2496" spans="2:20" ht="15" customHeight="1">
      <c r="B2496" s="795" t="s">
        <v>3003</v>
      </c>
      <c r="C2496" s="911" t="s">
        <v>3556</v>
      </c>
      <c r="D2496" s="1358">
        <v>46166.552581018521</v>
      </c>
      <c r="E2496" s="888">
        <v>-6.98</v>
      </c>
      <c r="F2496" s="408">
        <v>4.4999999999999998E-2</v>
      </c>
      <c r="G2496" s="541">
        <f t="shared" si="39"/>
        <v>-6.98</v>
      </c>
      <c r="H2496" s="526" t="s">
        <v>1666</v>
      </c>
      <c r="I2496" s="539" t="s">
        <v>1558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4" t="str">
        <f>LEFT(base[[#This Row],[Evento / Mercado]],FIND("/",base[[#This Row],[Evento / Mercado]])-2)</f>
        <v>Nottingham Forest vs AFC Bournemouth</v>
      </c>
      <c r="T2496" s="1420">
        <f>base[[#This Row],[Data de liquidação]]</f>
        <v>46166.552581018521</v>
      </c>
    </row>
    <row r="2497" spans="2:20" ht="15" customHeight="1">
      <c r="B2497" s="795" t="s">
        <v>3002</v>
      </c>
      <c r="C2497" s="911" t="s">
        <v>3556</v>
      </c>
      <c r="D2497" s="1358">
        <v>46166.553726851853</v>
      </c>
      <c r="E2497" s="888">
        <v>1.03</v>
      </c>
      <c r="F2497" s="408">
        <v>4.4999999999999998E-2</v>
      </c>
      <c r="G2497" s="541">
        <f t="shared" si="39"/>
        <v>1.0785340314136127</v>
      </c>
      <c r="H2497" s="526" t="s">
        <v>1666</v>
      </c>
      <c r="I2497" s="539" t="s">
        <v>2883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4" t="str">
        <f>LEFT(base[[#This Row],[Evento / Mercado]],FIND("/",base[[#This Row],[Evento / Mercado]])-2)</f>
        <v>Stal Mielec vs Polonia Bytom</v>
      </c>
      <c r="T2497" s="1420">
        <f>base[[#This Row],[Data de liquidação]]</f>
        <v>46166.553726851853</v>
      </c>
    </row>
    <row r="2498" spans="2:20" ht="15" customHeight="1">
      <c r="B2498" s="795" t="s">
        <v>3001</v>
      </c>
      <c r="C2498" s="911" t="s">
        <v>3556</v>
      </c>
      <c r="D2498" s="1358">
        <v>46166.571238425924</v>
      </c>
      <c r="E2498" s="888">
        <v>-7.74</v>
      </c>
      <c r="F2498" s="408">
        <v>4.4999999999999998E-2</v>
      </c>
      <c r="G2498" s="541">
        <f t="shared" si="39"/>
        <v>-7.74</v>
      </c>
      <c r="H2498" s="526" t="s">
        <v>1666</v>
      </c>
      <c r="I2498" s="539" t="s">
        <v>1558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4" t="str">
        <f>LEFT(base[[#This Row],[Evento / Mercado]],FIND("/",base[[#This Row],[Evento / Mercado]])-2)</f>
        <v>Fulham vs Newcastle United</v>
      </c>
      <c r="T2498" s="1420">
        <f>base[[#This Row],[Data de liquidação]]</f>
        <v>46166.571238425924</v>
      </c>
    </row>
    <row r="2499" spans="2:20" ht="15" customHeight="1">
      <c r="B2499" s="795" t="s">
        <v>3000</v>
      </c>
      <c r="C2499" s="911" t="s">
        <v>3556</v>
      </c>
      <c r="D2499" s="1358">
        <v>46166.580972222226</v>
      </c>
      <c r="E2499" s="888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4" t="str">
        <f>LEFT(base[[#This Row],[Evento / Mercado]],FIND("/",base[[#This Row],[Evento / Mercado]])-2)</f>
        <v>West Ham vs Leeds United</v>
      </c>
      <c r="T2499" s="1420">
        <f>base[[#This Row],[Data de liquidação]]</f>
        <v>46166.580972222226</v>
      </c>
    </row>
    <row r="2500" spans="2:20" ht="15" customHeight="1">
      <c r="B2500" s="795" t="s">
        <v>2999</v>
      </c>
      <c r="C2500" s="911" t="s">
        <v>3556</v>
      </c>
      <c r="D2500" s="1358">
        <v>46166.581296296295</v>
      </c>
      <c r="E2500" s="888">
        <v>2.75</v>
      </c>
      <c r="F2500" s="408">
        <v>4.4999999999999998E-2</v>
      </c>
      <c r="G2500" s="541">
        <f t="shared" si="40"/>
        <v>2.8795811518324608</v>
      </c>
      <c r="H2500" s="526" t="s">
        <v>1666</v>
      </c>
      <c r="I2500" s="539" t="s">
        <v>1663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4" t="str">
        <f>LEFT(base[[#This Row],[Evento / Mercado]],FIND("/",base[[#This Row],[Evento / Mercado]])-2)</f>
        <v>West Ham vs Leeds United</v>
      </c>
      <c r="T2500" s="1420">
        <f>base[[#This Row],[Data de liquidação]]</f>
        <v>46166.581296296295</v>
      </c>
    </row>
    <row r="2501" spans="2:20" ht="15" customHeight="1">
      <c r="B2501" s="795" t="s">
        <v>2998</v>
      </c>
      <c r="C2501" s="911" t="s">
        <v>3556</v>
      </c>
      <c r="D2501" s="1358">
        <v>46166.581400462965</v>
      </c>
      <c r="E2501" s="888">
        <v>2.8</v>
      </c>
      <c r="F2501" s="408">
        <v>4.4999999999999998E-2</v>
      </c>
      <c r="G2501" s="541">
        <f t="shared" si="40"/>
        <v>2.9319371727748691</v>
      </c>
      <c r="H2501" s="526" t="s">
        <v>1666</v>
      </c>
      <c r="I2501" s="539" t="s">
        <v>1663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4" t="str">
        <f>LEFT(base[[#This Row],[Evento / Mercado]],FIND("/",base[[#This Row],[Evento / Mercado]])-2)</f>
        <v>Brighton &amp; Hove Albion vs Manchester United</v>
      </c>
      <c r="T2501" s="1420">
        <f>base[[#This Row],[Data de liquidação]]</f>
        <v>46166.581400462965</v>
      </c>
    </row>
    <row r="2502" spans="2:20" ht="15" customHeight="1">
      <c r="B2502" s="795" t="s">
        <v>2997</v>
      </c>
      <c r="C2502" s="911" t="s">
        <v>3556</v>
      </c>
      <c r="D2502" s="1358">
        <v>46166.583194444444</v>
      </c>
      <c r="E2502" s="888">
        <v>2.88</v>
      </c>
      <c r="F2502" s="408">
        <v>4.4999999999999998E-2</v>
      </c>
      <c r="G2502" s="541">
        <f t="shared" si="40"/>
        <v>3.0157068062827226</v>
      </c>
      <c r="H2502" s="526" t="s">
        <v>1666</v>
      </c>
      <c r="I2502" s="539" t="s">
        <v>1663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4" t="str">
        <f>LEFT(base[[#This Row],[Evento / Mercado]],FIND("/",base[[#This Row],[Evento / Mercado]])-2)</f>
        <v>Fulham vs Newcastle United</v>
      </c>
      <c r="T2502" s="1420">
        <f>base[[#This Row],[Data de liquidação]]</f>
        <v>46166.583194444444</v>
      </c>
    </row>
    <row r="2503" spans="2:20" ht="15" customHeight="1">
      <c r="B2503" s="795" t="s">
        <v>2996</v>
      </c>
      <c r="C2503" s="911" t="s">
        <v>3556</v>
      </c>
      <c r="D2503" s="1358">
        <v>46166.583252314813</v>
      </c>
      <c r="E2503" s="888">
        <v>6.43</v>
      </c>
      <c r="F2503" s="408">
        <v>4.4999999999999998E-2</v>
      </c>
      <c r="G2503" s="541">
        <f t="shared" si="40"/>
        <v>6.7329842931937174</v>
      </c>
      <c r="H2503" s="526" t="s">
        <v>1666</v>
      </c>
      <c r="I2503" s="539" t="s">
        <v>1665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4" t="str">
        <f>LEFT(base[[#This Row],[Evento / Mercado]],FIND("/",base[[#This Row],[Evento / Mercado]])-2)</f>
        <v>Fulham vs Newcastle United</v>
      </c>
      <c r="T2503" s="1420">
        <f>base[[#This Row],[Data de liquidação]]</f>
        <v>46166.583252314813</v>
      </c>
    </row>
    <row r="2504" spans="2:20" ht="15" customHeight="1">
      <c r="B2504" s="795" t="s">
        <v>2995</v>
      </c>
      <c r="C2504" s="911" t="s">
        <v>3556</v>
      </c>
      <c r="D2504" s="1358">
        <v>46166.585393518515</v>
      </c>
      <c r="E2504" s="888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4" t="str">
        <f>LEFT(base[[#This Row],[Evento / Mercado]],FIND("/",base[[#This Row],[Evento / Mercado]])-2)</f>
        <v>Nottingham Forest vs AFC Bournemouth</v>
      </c>
      <c r="T2504" s="1420">
        <f>base[[#This Row],[Data de liquidação]]</f>
        <v>46166.585393518515</v>
      </c>
    </row>
    <row r="2505" spans="2:20" ht="15" customHeight="1">
      <c r="B2505" s="795" t="s">
        <v>2995</v>
      </c>
      <c r="C2505" s="911" t="s">
        <v>3556</v>
      </c>
      <c r="D2505" s="1358">
        <v>46166.585393518515</v>
      </c>
      <c r="E2505" s="888">
        <v>6.1</v>
      </c>
      <c r="F2505" s="408">
        <v>0</v>
      </c>
      <c r="G2505" s="541">
        <f t="shared" si="40"/>
        <v>6.1</v>
      </c>
      <c r="H2505" s="526" t="s">
        <v>1666</v>
      </c>
      <c r="I2505" s="539" t="s">
        <v>1665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4" t="str">
        <f>LEFT(base[[#This Row],[Evento / Mercado]],FIND("/",base[[#This Row],[Evento / Mercado]])-2)</f>
        <v>Nottingham Forest vs AFC Bournemouth</v>
      </c>
      <c r="T2505" s="1420">
        <f>base[[#This Row],[Data de liquidação]]</f>
        <v>46166.585393518515</v>
      </c>
    </row>
    <row r="2506" spans="2:20" ht="15" customHeight="1">
      <c r="B2506" s="795" t="s">
        <v>2994</v>
      </c>
      <c r="C2506" s="911" t="s">
        <v>3556</v>
      </c>
      <c r="D2506" s="1358">
        <v>46166.585416666669</v>
      </c>
      <c r="E2506" s="888">
        <v>0.16</v>
      </c>
      <c r="F2506" s="408">
        <v>4.4999999999999998E-2</v>
      </c>
      <c r="G2506" s="541">
        <f t="shared" si="40"/>
        <v>0.16753926701570682</v>
      </c>
      <c r="H2506" s="526" t="s">
        <v>1666</v>
      </c>
      <c r="I2506" s="539" t="s">
        <v>2952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4" t="str">
        <f>LEFT(base[[#This Row],[Evento / Mercado]],FIND("/",base[[#This Row],[Evento / Mercado]])-2)</f>
        <v>Nottingham Forest vs AFC Bournemouth</v>
      </c>
      <c r="T2506" s="1420">
        <f>base[[#This Row],[Data de liquidação]]</f>
        <v>46166.585416666669</v>
      </c>
    </row>
    <row r="2507" spans="2:20" ht="15" customHeight="1">
      <c r="B2507" s="795" t="s">
        <v>2993</v>
      </c>
      <c r="C2507" s="911" t="s">
        <v>3556</v>
      </c>
      <c r="D2507" s="1358">
        <v>46166.597372685188</v>
      </c>
      <c r="E2507" s="888">
        <v>-2</v>
      </c>
      <c r="F2507" s="408">
        <v>4.4999999999999998E-2</v>
      </c>
      <c r="G2507" s="541">
        <f t="shared" si="40"/>
        <v>-2</v>
      </c>
      <c r="H2507" s="526" t="s">
        <v>1666</v>
      </c>
      <c r="I2507" s="539" t="s">
        <v>2363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4" t="str">
        <f>LEFT(base[[#This Row],[Evento / Mercado]],FIND("/",base[[#This Row],[Evento / Mercado]])-2)</f>
        <v>Sporting Cristal vs Asociacion Deportiva Tarma</v>
      </c>
      <c r="T2507" s="1420">
        <f>base[[#This Row],[Data de liquidação]]</f>
        <v>46166.597372685188</v>
      </c>
    </row>
    <row r="2508" spans="2:20" ht="15" customHeight="1">
      <c r="B2508" s="795" t="s">
        <v>2992</v>
      </c>
      <c r="C2508" s="911" t="s">
        <v>3556</v>
      </c>
      <c r="D2508" s="1358">
        <v>46166.599444444444</v>
      </c>
      <c r="E2508" s="888">
        <v>9.5500000000000007</v>
      </c>
      <c r="F2508" s="408">
        <v>4.4999999999999998E-2</v>
      </c>
      <c r="G2508" s="541">
        <f t="shared" si="40"/>
        <v>10.000000000000002</v>
      </c>
      <c r="H2508" s="526" t="s">
        <v>1666</v>
      </c>
      <c r="I2508" s="539" t="s">
        <v>1558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4" t="str">
        <f>LEFT(base[[#This Row],[Evento / Mercado]],FIND("/",base[[#This Row],[Evento / Mercado]])-2)</f>
        <v>Sint-Truidense VV vs KV Mechelen</v>
      </c>
      <c r="T2508" s="1420">
        <f>base[[#This Row],[Data de liquidação]]</f>
        <v>46166.599444444444</v>
      </c>
    </row>
    <row r="2509" spans="2:20" ht="15" customHeight="1">
      <c r="B2509" s="795" t="s">
        <v>2991</v>
      </c>
      <c r="C2509" s="911" t="s">
        <v>3556</v>
      </c>
      <c r="D2509" s="1358">
        <v>46166.604479166665</v>
      </c>
      <c r="E2509" s="888">
        <v>-5.74</v>
      </c>
      <c r="F2509" s="408">
        <v>4.4999999999999998E-2</v>
      </c>
      <c r="G2509" s="541">
        <f t="shared" si="40"/>
        <v>-5.74</v>
      </c>
      <c r="H2509" s="526" t="s">
        <v>1666</v>
      </c>
      <c r="I2509" s="539" t="s">
        <v>1558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4" t="str">
        <f>LEFT(base[[#This Row],[Evento / Mercado]],FIND("/",base[[#This Row],[Evento / Mercado]])-2)</f>
        <v>Kristiansund BK vs Viking FK</v>
      </c>
      <c r="T2509" s="1420">
        <f>base[[#This Row],[Data de liquidação]]</f>
        <v>46166.604479166665</v>
      </c>
    </row>
    <row r="2510" spans="2:20" ht="15" customHeight="1">
      <c r="B2510" s="795" t="s">
        <v>2990</v>
      </c>
      <c r="C2510" s="911" t="s">
        <v>3556</v>
      </c>
      <c r="D2510" s="1358">
        <v>46166.620451388888</v>
      </c>
      <c r="E2510" s="888">
        <v>5.0199999999999996</v>
      </c>
      <c r="F2510" s="408">
        <v>4.4999999999999998E-2</v>
      </c>
      <c r="G2510" s="541">
        <f t="shared" si="40"/>
        <v>5.2565445026178006</v>
      </c>
      <c r="H2510" s="526" t="s">
        <v>1666</v>
      </c>
      <c r="I2510" s="539" t="s">
        <v>2950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4" t="str">
        <f>LEFT(base[[#This Row],[Evento / Mercado]],FIND("/",base[[#This Row],[Evento / Mercado]])-2)</f>
        <v>Crystal Palace vs Arsenal</v>
      </c>
      <c r="T2510" s="1420">
        <f>base[[#This Row],[Data de liquidação]]</f>
        <v>46166.620451388888</v>
      </c>
    </row>
    <row r="2511" spans="2:20" ht="15" customHeight="1">
      <c r="B2511" s="795" t="s">
        <v>2989</v>
      </c>
      <c r="C2511" s="911" t="s">
        <v>3556</v>
      </c>
      <c r="D2511" s="1358">
        <v>46166.62226851852</v>
      </c>
      <c r="E2511" s="888">
        <v>3.06</v>
      </c>
      <c r="F2511" s="408">
        <v>4.4999999999999998E-2</v>
      </c>
      <c r="G2511" s="541">
        <f t="shared" si="40"/>
        <v>3.2041884816753927</v>
      </c>
      <c r="H2511" s="526" t="s">
        <v>1666</v>
      </c>
      <c r="I2511" s="539" t="s">
        <v>1716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4" t="str">
        <f>LEFT(base[[#This Row],[Evento / Mercado]],FIND("/",base[[#This Row],[Evento / Mercado]])-2)</f>
        <v>Napoli vs Udinese</v>
      </c>
      <c r="T2511" s="1420">
        <f>base[[#This Row],[Data de liquidação]]</f>
        <v>46166.62226851852</v>
      </c>
    </row>
    <row r="2512" spans="2:20" ht="15" customHeight="1">
      <c r="B2512" s="795" t="s">
        <v>2988</v>
      </c>
      <c r="C2512" s="911" t="s">
        <v>3556</v>
      </c>
      <c r="D2512" s="1358">
        <v>46166.622835648152</v>
      </c>
      <c r="E2512" s="888">
        <v>4.92</v>
      </c>
      <c r="F2512" s="408">
        <v>4.4999999999999998E-2</v>
      </c>
      <c r="G2512" s="541">
        <f t="shared" si="40"/>
        <v>5.1518324607329848</v>
      </c>
      <c r="H2512" s="526" t="s">
        <v>1666</v>
      </c>
      <c r="I2512" s="539" t="s">
        <v>1777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4" t="str">
        <f>LEFT(base[[#This Row],[Evento / Mercado]],FIND("/",base[[#This Row],[Evento / Mercado]])-2)</f>
        <v>Sporting Cristal vs Asociacion Deportiva Tarma</v>
      </c>
      <c r="T2512" s="1420">
        <f>base[[#This Row],[Data de liquidação]]</f>
        <v>46166.622835648152</v>
      </c>
    </row>
    <row r="2513" spans="2:22" ht="15" customHeight="1">
      <c r="B2513" s="795" t="s">
        <v>2987</v>
      </c>
      <c r="C2513" s="911" t="s">
        <v>3556</v>
      </c>
      <c r="D2513" s="1358">
        <v>46166.639652777776</v>
      </c>
      <c r="E2513" s="888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1844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4" t="str">
        <f>LEFT(base[[#This Row],[Evento / Mercado]],FIND("/",base[[#This Row],[Evento / Mercado]])-2)</f>
        <v>Sporting CP vs SC União Torreense</v>
      </c>
      <c r="T2513" s="1420">
        <f>base[[#This Row],[Data de liquidação]]</f>
        <v>46166.639652777776</v>
      </c>
    </row>
    <row r="2514" spans="2:22" ht="15" customHeight="1">
      <c r="B2514" s="795" t="s">
        <v>2986</v>
      </c>
      <c r="C2514" s="911" t="s">
        <v>3556</v>
      </c>
      <c r="D2514" s="1358">
        <v>46166.644097222219</v>
      </c>
      <c r="E2514" s="888">
        <v>1.43</v>
      </c>
      <c r="F2514" s="408">
        <v>4.4999999999999998E-2</v>
      </c>
      <c r="G2514" s="541">
        <f t="shared" si="40"/>
        <v>1.4973821989528795</v>
      </c>
      <c r="H2514" s="526" t="s">
        <v>1666</v>
      </c>
      <c r="I2514" s="539" t="s">
        <v>2331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4" t="str">
        <f>LEFT(base[[#This Row],[Evento / Mercado]],FIND("/",base[[#This Row],[Evento / Mercado]])-2)</f>
        <v>SD Eibar vs Córdoba CF</v>
      </c>
      <c r="T2514" s="1420">
        <f>base[[#This Row],[Data de liquidação]]</f>
        <v>46166.644097222219</v>
      </c>
    </row>
    <row r="2515" spans="2:22" ht="15" customHeight="1">
      <c r="B2515" s="795" t="s">
        <v>2985</v>
      </c>
      <c r="C2515" s="911" t="s">
        <v>3556</v>
      </c>
      <c r="D2515" s="1358">
        <v>46166.644328703704</v>
      </c>
      <c r="E2515" s="888">
        <v>2.3015500000000002</v>
      </c>
      <c r="F2515" s="408">
        <v>4.4999999999999998E-2</v>
      </c>
      <c r="G2515" s="541">
        <f t="shared" si="40"/>
        <v>2.41</v>
      </c>
      <c r="H2515" s="526" t="s">
        <v>1666</v>
      </c>
      <c r="I2515" s="539" t="s">
        <v>1759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4" t="str">
        <f>LEFT(base[[#This Row],[Evento / Mercado]],FIND("/",base[[#This Row],[Evento / Mercado]])-2)</f>
        <v>Deportes Concepción vs Huachipato</v>
      </c>
      <c r="T2515" s="142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95" t="s">
        <v>2985</v>
      </c>
      <c r="C2516" s="911" t="s">
        <v>3556</v>
      </c>
      <c r="D2516" s="1358">
        <v>46166.644328703704</v>
      </c>
      <c r="E2516" s="888">
        <v>2.3874999999999997</v>
      </c>
      <c r="F2516" s="408">
        <v>4.4999999999999998E-2</v>
      </c>
      <c r="G2516" s="541">
        <f t="shared" si="40"/>
        <v>2.5</v>
      </c>
      <c r="H2516" s="526" t="s">
        <v>1666</v>
      </c>
      <c r="I2516" s="539" t="s">
        <v>2331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4" t="str">
        <f>LEFT(base[[#This Row],[Evento / Mercado]],FIND("/",base[[#This Row],[Evento / Mercado]])-2)</f>
        <v>Deportes Concepción vs Huachipato</v>
      </c>
      <c r="T2516" s="142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95" t="s">
        <v>2984</v>
      </c>
      <c r="C2517" s="911" t="s">
        <v>3556</v>
      </c>
      <c r="D2517" s="1358">
        <v>46166.645208333335</v>
      </c>
      <c r="E2517" s="888">
        <v>40.32</v>
      </c>
      <c r="F2517" s="408">
        <v>4.4999999999999998E-2</v>
      </c>
      <c r="G2517" s="541">
        <f t="shared" si="40"/>
        <v>42.219895287958117</v>
      </c>
      <c r="H2517" s="541" t="s">
        <v>179</v>
      </c>
      <c r="I2517" s="539" t="s">
        <v>392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1215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4" t="str">
        <f>LEFT(base[[#This Row],[Evento / Mercado]],FIND("/",base[[#This Row],[Evento / Mercado]])-2)</f>
        <v>UD Las Palmas vs Real Zaragoza</v>
      </c>
      <c r="T2517" s="1420">
        <f>base[[#This Row],[Data de liquidação]]</f>
        <v>46166.645208333335</v>
      </c>
    </row>
    <row r="2518" spans="2:22" ht="15" customHeight="1">
      <c r="B2518" s="795" t="s">
        <v>2983</v>
      </c>
      <c r="C2518" s="911" t="s">
        <v>3556</v>
      </c>
      <c r="D2518" s="1358">
        <v>46166.645995370367</v>
      </c>
      <c r="E2518" s="888">
        <v>3.34</v>
      </c>
      <c r="F2518" s="408">
        <v>4.4999999999999998E-2</v>
      </c>
      <c r="G2518" s="541">
        <f t="shared" si="40"/>
        <v>3.4973821989528795</v>
      </c>
      <c r="H2518" s="526" t="s">
        <v>1666</v>
      </c>
      <c r="I2518" s="539" t="s">
        <v>1759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4" t="str">
        <f>LEFT(base[[#This Row],[Evento / Mercado]],FIND("/",base[[#This Row],[Evento / Mercado]])-2)</f>
        <v>Málaga vs Racing Santander</v>
      </c>
      <c r="T2518" s="1420">
        <f>base[[#This Row],[Data de liquidação]]</f>
        <v>46166.645995370367</v>
      </c>
    </row>
    <row r="2519" spans="2:22" ht="15" customHeight="1">
      <c r="B2519" s="795" t="s">
        <v>2982</v>
      </c>
      <c r="C2519" s="911" t="s">
        <v>3556</v>
      </c>
      <c r="D2519" s="1358">
        <v>46166.646504629629</v>
      </c>
      <c r="E2519" s="888">
        <v>3.98</v>
      </c>
      <c r="F2519" s="408">
        <v>4.4999999999999998E-2</v>
      </c>
      <c r="G2519" s="541">
        <f t="shared" si="40"/>
        <v>4.167539267015707</v>
      </c>
      <c r="H2519" s="526" t="s">
        <v>1666</v>
      </c>
      <c r="I2519" s="539" t="s">
        <v>2950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4" t="str">
        <f>LEFT(base[[#This Row],[Evento / Mercado]],FIND("/",base[[#This Row],[Evento / Mercado]])-2)</f>
        <v>Huesca vs CD Castellon</v>
      </c>
      <c r="T2519" s="1420">
        <f>base[[#This Row],[Data de liquidação]]</f>
        <v>46166.646504629629</v>
      </c>
    </row>
    <row r="2520" spans="2:22" ht="15" customHeight="1">
      <c r="B2520" s="795" t="s">
        <v>2981</v>
      </c>
      <c r="C2520" s="911" t="s">
        <v>3556</v>
      </c>
      <c r="D2520" s="1358">
        <v>46166.686192129629</v>
      </c>
      <c r="E2520" s="888">
        <v>1.39</v>
      </c>
      <c r="F2520" s="408">
        <v>4.4999999999999998E-2</v>
      </c>
      <c r="G2520" s="541">
        <f t="shared" si="40"/>
        <v>1.4554973821989527</v>
      </c>
      <c r="H2520" s="526" t="s">
        <v>1666</v>
      </c>
      <c r="I2520" s="539" t="s">
        <v>1795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4" t="str">
        <f>LEFT(base[[#This Row],[Evento / Mercado]],FIND("/",base[[#This Row],[Evento / Mercado]])-2)</f>
        <v>Cruzeiro vs Chapecoense</v>
      </c>
      <c r="T2520" s="1420">
        <f>base[[#This Row],[Data de liquidação]]</f>
        <v>46166.686192129629</v>
      </c>
    </row>
    <row r="2521" spans="2:22" ht="15" customHeight="1">
      <c r="B2521" s="795" t="s">
        <v>2980</v>
      </c>
      <c r="C2521" s="911" t="s">
        <v>3556</v>
      </c>
      <c r="D2521" s="1358">
        <v>46166.697152777779</v>
      </c>
      <c r="E2521" s="888">
        <v>-15</v>
      </c>
      <c r="F2521" s="408">
        <v>4.4999999999999998E-2</v>
      </c>
      <c r="G2521" s="541">
        <f t="shared" si="40"/>
        <v>-15</v>
      </c>
      <c r="H2521" s="526" t="s">
        <v>1666</v>
      </c>
      <c r="I2521" s="539" t="s">
        <v>1663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4" t="str">
        <f>LEFT(base[[#This Row],[Evento / Mercado]],FIND("/",base[[#This Row],[Evento / Mercado]])-2)</f>
        <v>Villarreal vs Atlético de Madrid</v>
      </c>
      <c r="T2521" s="1420">
        <f>base[[#This Row],[Data de liquidação]]</f>
        <v>46166.697152777779</v>
      </c>
    </row>
    <row r="2522" spans="2:22" ht="15" customHeight="1">
      <c r="B2522" s="795" t="s">
        <v>2979</v>
      </c>
      <c r="C2522" s="911" t="s">
        <v>3556</v>
      </c>
      <c r="D2522" s="1358">
        <v>46166.709236111114</v>
      </c>
      <c r="E2522" s="888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4" t="str">
        <f>LEFT(base[[#This Row],[Evento / Mercado]],FIND("/",base[[#This Row],[Evento / Mercado]])-2)</f>
        <v>Clube do Remo vs Athlético Paranaense</v>
      </c>
      <c r="T2522" s="1420">
        <f>base[[#This Row],[Data de liquidação]]</f>
        <v>46166.709236111114</v>
      </c>
    </row>
    <row r="2523" spans="2:22" ht="15" customHeight="1">
      <c r="B2523" s="795" t="s">
        <v>2978</v>
      </c>
      <c r="C2523" s="911" t="s">
        <v>3556</v>
      </c>
      <c r="D2523" s="1358">
        <v>46166.712476851855</v>
      </c>
      <c r="E2523" s="888">
        <v>9.5500000000000007</v>
      </c>
      <c r="F2523" s="408">
        <v>4.4999999999999998E-2</v>
      </c>
      <c r="G2523" s="541">
        <f t="shared" si="40"/>
        <v>10.000000000000002</v>
      </c>
      <c r="H2523" s="526" t="s">
        <v>1666</v>
      </c>
      <c r="I2523" s="539" t="s">
        <v>1558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4" t="str">
        <f>LEFT(base[[#This Row],[Evento / Mercado]],FIND("/",base[[#This Row],[Evento / Mercado]])-2)</f>
        <v>Cremonese vs Como</v>
      </c>
      <c r="T2523" s="1420">
        <f>base[[#This Row],[Data de liquidação]]</f>
        <v>46166.712476851855</v>
      </c>
    </row>
    <row r="2524" spans="2:22" ht="15" customHeight="1">
      <c r="B2524" s="795" t="s">
        <v>2977</v>
      </c>
      <c r="C2524" s="911" t="s">
        <v>3556</v>
      </c>
      <c r="D2524" s="1358">
        <v>46166.714108796295</v>
      </c>
      <c r="E2524" s="888">
        <v>6.12</v>
      </c>
      <c r="F2524" s="408">
        <v>4.4999999999999998E-2</v>
      </c>
      <c r="G2524" s="541">
        <f t="shared" si="40"/>
        <v>6.4083769633507854</v>
      </c>
      <c r="H2524" s="526" t="s">
        <v>1666</v>
      </c>
      <c r="I2524" s="539" t="s">
        <v>2950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4" t="str">
        <f>LEFT(base[[#This Row],[Evento / Mercado]],FIND("/",base[[#This Row],[Evento / Mercado]])-2)</f>
        <v>Atletico Ottawa vs Forge</v>
      </c>
      <c r="T2524" s="1420">
        <f>base[[#This Row],[Data de liquidação]]</f>
        <v>46166.714108796295</v>
      </c>
    </row>
    <row r="2525" spans="2:22" ht="15" customHeight="1">
      <c r="B2525" s="795" t="s">
        <v>2976</v>
      </c>
      <c r="C2525" s="911" t="s">
        <v>3556</v>
      </c>
      <c r="D2525" s="1358">
        <v>46166.714837962965</v>
      </c>
      <c r="E2525" s="888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4" t="str">
        <f>LEFT(base[[#This Row],[Evento / Mercado]],FIND("/",base[[#This Row],[Evento / Mercado]])-2)</f>
        <v>Cremonese vs Como</v>
      </c>
      <c r="T2525" s="1420">
        <f>base[[#This Row],[Data de liquidação]]</f>
        <v>46166.714837962965</v>
      </c>
    </row>
    <row r="2526" spans="2:22" ht="15" customHeight="1">
      <c r="B2526" s="795" t="s">
        <v>2975</v>
      </c>
      <c r="C2526" s="911" t="s">
        <v>3556</v>
      </c>
      <c r="D2526" s="1358">
        <v>46166.717175925929</v>
      </c>
      <c r="E2526" s="888">
        <v>5.97</v>
      </c>
      <c r="F2526" s="408">
        <v>4.4999999999999998E-2</v>
      </c>
      <c r="G2526" s="541">
        <f t="shared" si="40"/>
        <v>6.2513089005235605</v>
      </c>
      <c r="H2526" s="526" t="s">
        <v>1666</v>
      </c>
      <c r="I2526" s="539" t="s">
        <v>2951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4" t="str">
        <f>LEFT(base[[#This Row],[Evento / Mercado]],FIND("/",base[[#This Row],[Evento / Mercado]])-2)</f>
        <v>Sport Huancayo vs Cienciano del Cuzco</v>
      </c>
      <c r="T2526" s="1420">
        <f>base[[#This Row],[Data de liquidação]]</f>
        <v>46166.717175925929</v>
      </c>
    </row>
    <row r="2527" spans="2:22" ht="15" customHeight="1">
      <c r="B2527" s="795" t="s">
        <v>2974</v>
      </c>
      <c r="C2527" s="911" t="s">
        <v>3556</v>
      </c>
      <c r="D2527" s="1358">
        <v>46166.717280092591</v>
      </c>
      <c r="E2527" s="888">
        <v>-50</v>
      </c>
      <c r="F2527" s="408">
        <v>4.4999999999999998E-2</v>
      </c>
      <c r="G2527" s="541">
        <f t="shared" si="40"/>
        <v>-50</v>
      </c>
      <c r="H2527" s="526" t="s">
        <v>1666</v>
      </c>
      <c r="I2527" s="539" t="s">
        <v>2331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4" t="str">
        <f>LEFT(base[[#This Row],[Evento / Mercado]],FIND("/",base[[#This Row],[Evento / Mercado]])-2)</f>
        <v>Sport Huancayo vs Cienciano del Cuzco</v>
      </c>
      <c r="T2527" s="1420">
        <f>base[[#This Row],[Data de liquidação]]</f>
        <v>46166.717280092591</v>
      </c>
    </row>
    <row r="2528" spans="2:22" ht="15" customHeight="1">
      <c r="B2528" s="795" t="s">
        <v>2973</v>
      </c>
      <c r="C2528" s="911" t="s">
        <v>3556</v>
      </c>
      <c r="D2528" s="1358">
        <v>46166.733900462961</v>
      </c>
      <c r="E2528" s="888">
        <v>-5.1100000000000003</v>
      </c>
      <c r="F2528" s="408">
        <v>4.4999999999999998E-2</v>
      </c>
      <c r="G2528" s="541">
        <f t="shared" si="40"/>
        <v>-5.1100000000000003</v>
      </c>
      <c r="H2528" s="526" t="s">
        <v>1666</v>
      </c>
      <c r="I2528" s="539" t="s">
        <v>1558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4" t="str">
        <f>LEFT(base[[#This Row],[Evento / Mercado]],FIND("/",base[[#This Row],[Evento / Mercado]])-2)</f>
        <v>Cruzeiro vs Chapecoense</v>
      </c>
      <c r="T2528" s="1420">
        <f>base[[#This Row],[Data de liquidação]]</f>
        <v>46166.733900462961</v>
      </c>
    </row>
    <row r="2529" spans="2:20" ht="15" customHeight="1">
      <c r="B2529" s="795" t="s">
        <v>2972</v>
      </c>
      <c r="C2529" s="911" t="s">
        <v>3556</v>
      </c>
      <c r="D2529" s="1358">
        <v>46166.748935185184</v>
      </c>
      <c r="E2529" s="888">
        <v>-49.98</v>
      </c>
      <c r="F2529" s="408">
        <v>4.4999999999999998E-2</v>
      </c>
      <c r="G2529" s="541">
        <f t="shared" si="40"/>
        <v>-49.98</v>
      </c>
      <c r="H2529" s="526" t="s">
        <v>1666</v>
      </c>
      <c r="I2529" s="539" t="s">
        <v>2951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4" t="str">
        <f>LEFT(base[[#This Row],[Evento / Mercado]],FIND("/",base[[#This Row],[Evento / Mercado]])-2)</f>
        <v>Atlético Goianiense vs São Bernardo FC</v>
      </c>
      <c r="T2529" s="1420">
        <f>base[[#This Row],[Data de liquidação]]</f>
        <v>46166.748935185184</v>
      </c>
    </row>
    <row r="2530" spans="2:20" ht="15" customHeight="1">
      <c r="B2530" s="795" t="s">
        <v>2971</v>
      </c>
      <c r="C2530" s="911" t="s">
        <v>3556</v>
      </c>
      <c r="D2530" s="1358">
        <v>46166.751805555556</v>
      </c>
      <c r="E2530" s="888">
        <v>34.880000000000003</v>
      </c>
      <c r="F2530" s="408">
        <v>4.4999999999999998E-2</v>
      </c>
      <c r="G2530" s="541">
        <f t="shared" si="40"/>
        <v>36.52356020942409</v>
      </c>
      <c r="H2530" s="541" t="s">
        <v>179</v>
      </c>
      <c r="I2530" s="539" t="s">
        <v>392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1370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4" t="str">
        <f>LEFT(base[[#This Row],[Evento / Mercado]],FIND("/",base[[#This Row],[Evento / Mercado]])-2)</f>
        <v>Cruzeiro vs Chapecoense</v>
      </c>
      <c r="T2530" s="1420">
        <f>base[[#This Row],[Data de liquidação]]</f>
        <v>46166.751805555556</v>
      </c>
    </row>
    <row r="2531" spans="2:20" ht="15" customHeight="1">
      <c r="B2531" s="795" t="s">
        <v>2970</v>
      </c>
      <c r="C2531" s="911" t="s">
        <v>3556</v>
      </c>
      <c r="D2531" s="1358">
        <v>46166.755370370367</v>
      </c>
      <c r="E2531" s="888">
        <v>-6.52</v>
      </c>
      <c r="F2531" s="408">
        <v>4.4999999999999998E-2</v>
      </c>
      <c r="G2531" s="541">
        <f t="shared" si="40"/>
        <v>-6.52</v>
      </c>
      <c r="H2531" s="526" t="s">
        <v>1666</v>
      </c>
      <c r="I2531" s="539" t="s">
        <v>1558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4" t="str">
        <f>LEFT(base[[#This Row],[Evento / Mercado]],FIND("/",base[[#This Row],[Evento / Mercado]])-2)</f>
        <v>Torino vs Juventus</v>
      </c>
      <c r="T2531" s="1420">
        <f>base[[#This Row],[Data de liquidação]]</f>
        <v>46166.755370370367</v>
      </c>
    </row>
    <row r="2532" spans="2:20" ht="15" customHeight="1">
      <c r="B2532" s="795" t="s">
        <v>2969</v>
      </c>
      <c r="C2532" s="911" t="s">
        <v>3556</v>
      </c>
      <c r="D2532" s="1358">
        <v>46166.839097222219</v>
      </c>
      <c r="E2532" s="888">
        <v>4.78</v>
      </c>
      <c r="F2532" s="408">
        <v>4.4999999999999998E-2</v>
      </c>
      <c r="G2532" s="541">
        <f t="shared" si="40"/>
        <v>5.005235602094241</v>
      </c>
      <c r="H2532" s="526" t="s">
        <v>1666</v>
      </c>
      <c r="I2532" s="539" t="s">
        <v>1717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4" t="str">
        <f>LEFT(base[[#This Row],[Evento / Mercado]],FIND("/",base[[#This Row],[Evento / Mercado]])-2)</f>
        <v>Cavalry vs Pacific</v>
      </c>
      <c r="T2532" s="1420">
        <f>base[[#This Row],[Data de liquidação]]</f>
        <v>46166.839097222219</v>
      </c>
    </row>
    <row r="2533" spans="2:20" ht="15" customHeight="1">
      <c r="B2533" s="795" t="s">
        <v>2968</v>
      </c>
      <c r="C2533" s="911" t="s">
        <v>3556</v>
      </c>
      <c r="D2533" s="1358">
        <v>46166.840370370373</v>
      </c>
      <c r="E2533" s="888">
        <v>1.43</v>
      </c>
      <c r="F2533" s="408">
        <v>4.4999999999999998E-2</v>
      </c>
      <c r="G2533" s="541">
        <f t="shared" si="40"/>
        <v>1.4973821989528795</v>
      </c>
      <c r="H2533" s="526" t="s">
        <v>1666</v>
      </c>
      <c r="I2533" s="539" t="s">
        <v>2331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4" t="str">
        <f>LEFT(base[[#This Row],[Evento / Mercado]],FIND("/",base[[#This Row],[Evento / Mercado]])-2)</f>
        <v>Columbus Crew vs Atlanta United FC</v>
      </c>
      <c r="T2533" s="1420">
        <f>base[[#This Row],[Data de liquidação]]</f>
        <v>46166.840370370373</v>
      </c>
    </row>
    <row r="2534" spans="2:20" ht="15" customHeight="1">
      <c r="B2534" s="795" t="s">
        <v>2967</v>
      </c>
      <c r="C2534" s="911" t="s">
        <v>3556</v>
      </c>
      <c r="D2534" s="1358">
        <v>46166.851053240738</v>
      </c>
      <c r="E2534" s="888">
        <v>1.01</v>
      </c>
      <c r="F2534" s="408">
        <v>4.4999999999999998E-2</v>
      </c>
      <c r="G2534" s="541">
        <f t="shared" si="40"/>
        <v>1.0575916230366493</v>
      </c>
      <c r="H2534" s="526" t="s">
        <v>1666</v>
      </c>
      <c r="I2534" s="539" t="s">
        <v>2883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4" t="str">
        <f>LEFT(base[[#This Row],[Evento / Mercado]],FIND("/",base[[#This Row],[Evento / Mercado]])-2)</f>
        <v>Inter Miami CF vs Philadelphia Union</v>
      </c>
      <c r="T2534" s="1420">
        <f>base[[#This Row],[Data de liquidação]]</f>
        <v>46166.851053240738</v>
      </c>
    </row>
    <row r="2535" spans="2:20" ht="15" customHeight="1">
      <c r="B2535" s="795" t="s">
        <v>2966</v>
      </c>
      <c r="C2535" s="911" t="s">
        <v>3556</v>
      </c>
      <c r="D2535" s="1358">
        <v>46166.852858796294</v>
      </c>
      <c r="E2535" s="888">
        <v>0.23</v>
      </c>
      <c r="F2535" s="408">
        <v>4.4999999999999998E-2</v>
      </c>
      <c r="G2535" s="541">
        <f t="shared" si="40"/>
        <v>0.24083769633507857</v>
      </c>
      <c r="H2535" s="526" t="s">
        <v>1666</v>
      </c>
      <c r="I2535" s="539" t="s">
        <v>2362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4" t="str">
        <f>LEFT(base[[#This Row],[Evento / Mercado]],FIND("/",base[[#This Row],[Evento / Mercado]])-2)</f>
        <v>Corinthians vs Atlético Mineiro</v>
      </c>
      <c r="T2535" s="1420">
        <f>base[[#This Row],[Data de liquidação]]</f>
        <v>46166.852858796294</v>
      </c>
    </row>
    <row r="2536" spans="2:20" ht="15" customHeight="1">
      <c r="B2536" s="795" t="s">
        <v>2965</v>
      </c>
      <c r="C2536" s="911" t="s">
        <v>3556</v>
      </c>
      <c r="D2536" s="1358">
        <v>46166.898113425923</v>
      </c>
      <c r="E2536" s="888">
        <v>1.32</v>
      </c>
      <c r="F2536" s="408">
        <v>4.4999999999999998E-2</v>
      </c>
      <c r="G2536" s="541">
        <f t="shared" si="40"/>
        <v>1.3821989528795813</v>
      </c>
      <c r="H2536" s="526" t="s">
        <v>1666</v>
      </c>
      <c r="I2536" s="539" t="s">
        <v>2883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4" t="str">
        <f>LEFT(base[[#This Row],[Evento / Mercado]],FIND("/",base[[#This Row],[Evento / Mercado]])-2)</f>
        <v>Club Deportivo San Luis vs Magallanes</v>
      </c>
      <c r="T2536" s="1420">
        <f>base[[#This Row],[Data de liquidação]]</f>
        <v>46166.898113425923</v>
      </c>
    </row>
    <row r="2537" spans="2:20" ht="15" customHeight="1">
      <c r="B2537" s="795" t="s">
        <v>2964</v>
      </c>
      <c r="C2537" s="911" t="s">
        <v>3556</v>
      </c>
      <c r="D2537" s="1358">
        <v>46166.979351851849</v>
      </c>
      <c r="E2537" s="888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4" t="str">
        <f>LEFT(base[[#This Row],[Evento / Mercado]],FIND("/",base[[#This Row],[Evento / Mercado]])-2)</f>
        <v>Pumas UNAM vs Cruz Azul</v>
      </c>
      <c r="T2537" s="1420">
        <f>base[[#This Row],[Data de liquidação]]</f>
        <v>46166.979351851849</v>
      </c>
    </row>
    <row r="2538" spans="2:20" ht="15" customHeight="1">
      <c r="B2538" s="796" t="s">
        <v>3058</v>
      </c>
      <c r="C2538" s="911" t="s">
        <v>3556</v>
      </c>
      <c r="D2538" s="1359">
        <v>46167.381041666667</v>
      </c>
      <c r="E2538" s="889">
        <v>-6.36</v>
      </c>
      <c r="F2538" s="408">
        <v>4.4999999999999998E-2</v>
      </c>
      <c r="G2538" s="553">
        <f t="shared" si="40"/>
        <v>-6.36</v>
      </c>
      <c r="H2538" s="526" t="s">
        <v>1666</v>
      </c>
      <c r="I2538" s="539" t="s">
        <v>1558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4" t="str">
        <f>LEFT(base[[#This Row],[Evento / Mercado]],FIND("/",base[[#This Row],[Evento / Mercado]])-2)</f>
        <v>Kolding IF vs Hillerød Fodbold</v>
      </c>
      <c r="T2538" s="1420">
        <f>base[[#This Row],[Data de liquidação]]</f>
        <v>46167.381041666667</v>
      </c>
    </row>
    <row r="2539" spans="2:20" ht="15" customHeight="1">
      <c r="B2539" s="796" t="s">
        <v>3057</v>
      </c>
      <c r="C2539" s="911" t="s">
        <v>3556</v>
      </c>
      <c r="D2539" s="1359">
        <v>46167.477083333331</v>
      </c>
      <c r="E2539" s="889">
        <v>3.34</v>
      </c>
      <c r="F2539" s="408">
        <v>4.4999999999999998E-2</v>
      </c>
      <c r="G2539" s="553">
        <f t="shared" si="40"/>
        <v>3.4973821989528795</v>
      </c>
      <c r="H2539" s="526" t="s">
        <v>1666</v>
      </c>
      <c r="I2539" s="539" t="s">
        <v>2331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4" t="str">
        <f>LEFT(base[[#This Row],[Evento / Mercado]],FIND("/",base[[#This Row],[Evento / Mercado]])-2)</f>
        <v>Start vs Vålerenga</v>
      </c>
      <c r="T2539" s="1420">
        <f>base[[#This Row],[Data de liquidação]]</f>
        <v>46167.477083333331</v>
      </c>
    </row>
    <row r="2540" spans="2:20" ht="15" customHeight="1">
      <c r="B2540" s="796" t="s">
        <v>3056</v>
      </c>
      <c r="C2540" s="911" t="s">
        <v>3556</v>
      </c>
      <c r="D2540" s="1359">
        <v>46167.479930555557</v>
      </c>
      <c r="E2540" s="889">
        <v>-7.86</v>
      </c>
      <c r="F2540" s="408">
        <v>4.4999999999999998E-2</v>
      </c>
      <c r="G2540" s="553">
        <f t="shared" si="40"/>
        <v>-7.86</v>
      </c>
      <c r="H2540" s="526" t="s">
        <v>1666</v>
      </c>
      <c r="I2540" s="539" t="s">
        <v>1558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4" t="str">
        <f>LEFT(base[[#This Row],[Evento / Mercado]],FIND("/",base[[#This Row],[Evento / Mercado]])-2)</f>
        <v>Hvidovre IF vs Esbjerg fB</v>
      </c>
      <c r="T2540" s="1420">
        <f>base[[#This Row],[Data de liquidação]]</f>
        <v>46167.479930555557</v>
      </c>
    </row>
    <row r="2541" spans="2:20" ht="15" customHeight="1">
      <c r="B2541" s="796" t="s">
        <v>3055</v>
      </c>
      <c r="C2541" s="911" t="s">
        <v>3556</v>
      </c>
      <c r="D2541" s="1359">
        <v>46167.55133101852</v>
      </c>
      <c r="E2541" s="889">
        <v>-13.67</v>
      </c>
      <c r="F2541" s="408">
        <v>4.4999999999999998E-2</v>
      </c>
      <c r="G2541" s="553">
        <f t="shared" si="40"/>
        <v>-13.67</v>
      </c>
      <c r="H2541" s="526" t="s">
        <v>1666</v>
      </c>
      <c r="I2541" s="539" t="s">
        <v>1558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4" t="str">
        <f>LEFT(base[[#This Row],[Evento / Mercado]],FIND("/",base[[#This Row],[Evento / Mercado]])-2)</f>
        <v>Tromsø vs Aalesunds FK</v>
      </c>
      <c r="T2541" s="1420">
        <f>base[[#This Row],[Data de liquidação]]</f>
        <v>46167.55133101852</v>
      </c>
    </row>
    <row r="2542" spans="2:20" ht="15" customHeight="1">
      <c r="B2542" s="796" t="s">
        <v>3054</v>
      </c>
      <c r="C2542" s="911" t="s">
        <v>3556</v>
      </c>
      <c r="D2542" s="1359">
        <v>46167.571458333332</v>
      </c>
      <c r="E2542" s="889">
        <v>-13.09</v>
      </c>
      <c r="F2542" s="408">
        <v>4.4999999999999998E-2</v>
      </c>
      <c r="G2542" s="553">
        <f t="shared" si="40"/>
        <v>-13.09</v>
      </c>
      <c r="H2542" s="526" t="s">
        <v>1666</v>
      </c>
      <c r="I2542" s="539" t="s">
        <v>1558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4" t="str">
        <f>LEFT(base[[#This Row],[Evento / Mercado]],FIND("/",base[[#This Row],[Evento / Mercado]])-2)</f>
        <v>Hamarkameratene vs Lillestrøm SK</v>
      </c>
      <c r="T2542" s="1420">
        <f>base[[#This Row],[Data de liquidação]]</f>
        <v>46167.571458333332</v>
      </c>
    </row>
    <row r="2543" spans="2:20" ht="15" customHeight="1">
      <c r="B2543" s="796" t="s">
        <v>3053</v>
      </c>
      <c r="C2543" s="911" t="s">
        <v>3556</v>
      </c>
      <c r="D2543" s="1359">
        <v>46167.577476851853</v>
      </c>
      <c r="E2543" s="889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392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2032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4" t="str">
        <f>LEFT(base[[#This Row],[Evento / Mercado]],FIND("/",base[[#This Row],[Evento / Mercado]])-2)</f>
        <v>Tromsø vs Aalesunds FK</v>
      </c>
      <c r="T2543" s="1420">
        <f>base[[#This Row],[Data de liquidação]]</f>
        <v>46167.577476851853</v>
      </c>
    </row>
    <row r="2544" spans="2:20" ht="15" customHeight="1">
      <c r="B2544" s="796" t="s">
        <v>3052</v>
      </c>
      <c r="C2544" s="911" t="s">
        <v>3556</v>
      </c>
      <c r="D2544" s="1359">
        <v>46167.578761574077</v>
      </c>
      <c r="E2544" s="889">
        <v>2.39</v>
      </c>
      <c r="F2544" s="408">
        <v>4.4999999999999998E-2</v>
      </c>
      <c r="G2544" s="553">
        <f t="shared" si="40"/>
        <v>2.5026178010471205</v>
      </c>
      <c r="H2544" s="526" t="s">
        <v>1666</v>
      </c>
      <c r="I2544" s="539" t="s">
        <v>2331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4" t="str">
        <f>LEFT(base[[#This Row],[Evento / Mercado]],FIND("/",base[[#This Row],[Evento / Mercado]])-2)</f>
        <v>KFUM Oslo vs Rosenborg BK</v>
      </c>
      <c r="T2544" s="1420">
        <f>base[[#This Row],[Data de liquidação]]</f>
        <v>46167.578761574077</v>
      </c>
    </row>
    <row r="2545" spans="2:20" ht="15" customHeight="1">
      <c r="B2545" s="796" t="s">
        <v>3051</v>
      </c>
      <c r="C2545" s="911" t="s">
        <v>3556</v>
      </c>
      <c r="D2545" s="1359">
        <v>46167.579131944447</v>
      </c>
      <c r="E2545" s="889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392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3059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4" t="str">
        <f>LEFT(base[[#This Row],[Evento / Mercado]],FIND("/",base[[#This Row],[Evento / Mercado]])-2)</f>
        <v>Strømsgodset vs Bryne</v>
      </c>
      <c r="T2545" s="1420">
        <f>base[[#This Row],[Data de liquidação]]</f>
        <v>46167.579131944447</v>
      </c>
    </row>
    <row r="2546" spans="2:20" ht="15" customHeight="1">
      <c r="B2546" s="796" t="s">
        <v>3050</v>
      </c>
      <c r="C2546" s="911" t="s">
        <v>3556</v>
      </c>
      <c r="D2546" s="1359">
        <v>46167.611724537041</v>
      </c>
      <c r="E2546" s="889">
        <v>-6.33</v>
      </c>
      <c r="F2546" s="408">
        <v>4.4999999999999998E-2</v>
      </c>
      <c r="G2546" s="553">
        <f t="shared" si="40"/>
        <v>-6.33</v>
      </c>
      <c r="H2546" s="526" t="s">
        <v>1666</v>
      </c>
      <c r="I2546" s="539" t="s">
        <v>1558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4" t="str">
        <f>LEFT(base[[#This Row],[Evento / Mercado]],FIND("/",base[[#This Row],[Evento / Mercado]])-2)</f>
        <v>Lyngby BK vs AC Horsens</v>
      </c>
      <c r="T2546" s="1420">
        <f>base[[#This Row],[Data de liquidação]]</f>
        <v>46167.611724537041</v>
      </c>
    </row>
    <row r="2547" spans="2:20" ht="15" customHeight="1">
      <c r="B2547" s="796" t="s">
        <v>3049</v>
      </c>
      <c r="C2547" s="911" t="s">
        <v>3556</v>
      </c>
      <c r="D2547" s="1359">
        <v>46167.666956018518</v>
      </c>
      <c r="E2547" s="889">
        <v>-5</v>
      </c>
      <c r="F2547" s="408">
        <v>4.4999999999999998E-2</v>
      </c>
      <c r="G2547" s="553">
        <f t="shared" si="40"/>
        <v>-5</v>
      </c>
      <c r="H2547" s="526" t="s">
        <v>1666</v>
      </c>
      <c r="I2547" s="551" t="s">
        <v>2883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4" t="str">
        <f>LEFT(base[[#This Row],[Evento / Mercado]],FIND("/",base[[#This Row],[Evento / Mercado]])-2)</f>
        <v>IFK Norrköping vs Östers IF</v>
      </c>
      <c r="T2547" s="1420">
        <f>base[[#This Row],[Data de liquidação]]</f>
        <v>46167.666956018518</v>
      </c>
    </row>
    <row r="2548" spans="2:20" ht="15" customHeight="1">
      <c r="B2548" s="796" t="s">
        <v>3048</v>
      </c>
      <c r="C2548" s="911" t="s">
        <v>3556</v>
      </c>
      <c r="D2548" s="1359">
        <v>46167.675150462965</v>
      </c>
      <c r="E2548" s="889">
        <v>3.53</v>
      </c>
      <c r="F2548" s="408">
        <v>4.4999999999999998E-2</v>
      </c>
      <c r="G2548" s="553">
        <f t="shared" si="40"/>
        <v>3.6963350785340312</v>
      </c>
      <c r="H2548" s="526" t="s">
        <v>1666</v>
      </c>
      <c r="I2548" s="551" t="s">
        <v>1715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4" t="str">
        <f>LEFT(base[[#This Row],[Evento / Mercado]],FIND("/",base[[#This Row],[Evento / Mercado]])-2)</f>
        <v>Sandefjord Fotball vs Fredrikstad</v>
      </c>
      <c r="T2548" s="1420">
        <f>base[[#This Row],[Data de liquidação]]</f>
        <v>46167.675150462965</v>
      </c>
    </row>
    <row r="2549" spans="2:20" ht="15" customHeight="1">
      <c r="B2549" s="796" t="s">
        <v>3047</v>
      </c>
      <c r="C2549" s="911" t="s">
        <v>3556</v>
      </c>
      <c r="D2549" s="1359">
        <v>46167.683634259258</v>
      </c>
      <c r="E2549" s="889">
        <v>-2</v>
      </c>
      <c r="F2549" s="408">
        <v>4.4999999999999998E-2</v>
      </c>
      <c r="G2549" s="553">
        <f t="shared" si="40"/>
        <v>-2</v>
      </c>
      <c r="H2549" s="526" t="s">
        <v>1666</v>
      </c>
      <c r="I2549" s="551" t="s">
        <v>1760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4" t="str">
        <f>LEFT(base[[#This Row],[Evento / Mercado]],FIND("/",base[[#This Row],[Evento / Mercado]])-2)</f>
        <v>Rapid Bucuresti vs CS Universitatea Craiova</v>
      </c>
      <c r="T2549" s="1420">
        <f>base[[#This Row],[Data de liquidação]]</f>
        <v>46167.683634259258</v>
      </c>
    </row>
    <row r="2550" spans="2:20" ht="15" customHeight="1">
      <c r="B2550" s="796" t="s">
        <v>3046</v>
      </c>
      <c r="C2550" s="911" t="s">
        <v>3556</v>
      </c>
      <c r="D2550" s="1359">
        <v>46167.706064814818</v>
      </c>
      <c r="E2550" s="889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1844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4" t="str">
        <f>LEFT(base[[#This Row],[Evento / Mercado]],FIND("/",base[[#This Row],[Evento / Mercado]])-2)</f>
        <v>Club Laguna SAF vs Maguary</v>
      </c>
      <c r="T2550" s="1420">
        <f>base[[#This Row],[Data de liquidação]]</f>
        <v>46167.706064814818</v>
      </c>
    </row>
    <row r="2551" spans="2:20" ht="15" customHeight="1">
      <c r="B2551" s="796" t="s">
        <v>3045</v>
      </c>
      <c r="C2551" s="911" t="s">
        <v>3556</v>
      </c>
      <c r="D2551" s="1359">
        <v>46167.724166666667</v>
      </c>
      <c r="E2551" s="889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1844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4" t="str">
        <f>LEFT(base[[#This Row],[Evento / Mercado]],FIND("/",base[[#This Row],[Evento / Mercado]])-2)</f>
        <v>SC Paderborn 07 vs VfL Wolfsburg</v>
      </c>
      <c r="T2551" s="1420">
        <f>base[[#This Row],[Data de liquidação]]</f>
        <v>46167.724166666667</v>
      </c>
    </row>
    <row r="2552" spans="2:20" ht="15" customHeight="1">
      <c r="B2552" s="796" t="s">
        <v>3044</v>
      </c>
      <c r="C2552" s="911" t="s">
        <v>3556</v>
      </c>
      <c r="D2552" s="1359">
        <v>46167.745810185188</v>
      </c>
      <c r="E2552" s="889">
        <v>2.57</v>
      </c>
      <c r="F2552" s="408">
        <v>4.4999999999999998E-2</v>
      </c>
      <c r="G2552" s="553">
        <f t="shared" si="40"/>
        <v>2.6910994764397906</v>
      </c>
      <c r="H2552" s="526" t="s">
        <v>1666</v>
      </c>
      <c r="I2552" s="551" t="s">
        <v>1759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4" t="str">
        <f>LEFT(base[[#This Row],[Evento / Mercado]],FIND("/",base[[#This Row],[Evento / Mercado]])-2)</f>
        <v>St Mirren vs Partick Thistle</v>
      </c>
      <c r="T2552" s="1420">
        <f>base[[#This Row],[Data de liquidação]]</f>
        <v>46167.745810185188</v>
      </c>
    </row>
    <row r="2553" spans="2:20" ht="15" customHeight="1">
      <c r="B2553" s="796" t="s">
        <v>3043</v>
      </c>
      <c r="C2553" s="911" t="s">
        <v>3556</v>
      </c>
      <c r="D2553" s="1359">
        <v>46167.808483796296</v>
      </c>
      <c r="E2553" s="889">
        <v>6.28</v>
      </c>
      <c r="F2553" s="408">
        <v>4.4999999999999998E-2</v>
      </c>
      <c r="G2553" s="553">
        <f t="shared" si="40"/>
        <v>6.5759162303664924</v>
      </c>
      <c r="H2553" s="526" t="s">
        <v>1666</v>
      </c>
      <c r="I2553" s="551" t="s">
        <v>2951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4" t="str">
        <f>LEFT(base[[#This Row],[Evento / Mercado]],FIND("/",base[[#This Row],[Evento / Mercado]])-2)</f>
        <v>Comerciantes Unidos vs Deportivo Garcilaso</v>
      </c>
      <c r="T2553" s="1420">
        <f>base[[#This Row],[Data de liquidação]]</f>
        <v>46167.808483796296</v>
      </c>
    </row>
    <row r="2554" spans="2:20" ht="15" customHeight="1">
      <c r="B2554" s="796" t="s">
        <v>3042</v>
      </c>
      <c r="C2554" s="911" t="s">
        <v>3556</v>
      </c>
      <c r="D2554" s="1359">
        <v>46167.913113425922</v>
      </c>
      <c r="E2554" s="889">
        <v>5.42</v>
      </c>
      <c r="F2554" s="408">
        <v>4.4999999999999998E-2</v>
      </c>
      <c r="G2554" s="553">
        <f t="shared" si="40"/>
        <v>5.6753926701570681</v>
      </c>
      <c r="H2554" s="526" t="s">
        <v>1666</v>
      </c>
      <c r="I2554" s="551" t="s">
        <v>2951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4" t="str">
        <f>LEFT(base[[#This Row],[Evento / Mercado]],FIND("/",base[[#This Row],[Evento / Mercado]])-2)</f>
        <v>Ituano FC vs Botafogo PB</v>
      </c>
      <c r="T2554" s="1420">
        <f>base[[#This Row],[Data de liquidação]]</f>
        <v>46167.913113425922</v>
      </c>
    </row>
    <row r="2555" spans="2:20" ht="15" customHeight="1">
      <c r="B2555" s="797" t="s">
        <v>3067</v>
      </c>
      <c r="C2555" s="911" t="s">
        <v>3556</v>
      </c>
      <c r="D2555" s="1360">
        <v>46168.699131944442</v>
      </c>
      <c r="E2555" s="890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1844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4" t="str">
        <f>LEFT(base[[#This Row],[Evento / Mercado]],FIND("/",base[[#This Row],[Evento / Mercado]])-2)</f>
        <v>Stjarnan vs Víkingur</v>
      </c>
      <c r="T2555" s="1420">
        <f>base[[#This Row],[Data de liquidação]]</f>
        <v>46168.699131944442</v>
      </c>
    </row>
    <row r="2556" spans="2:20" ht="15" customHeight="1">
      <c r="B2556" s="797" t="s">
        <v>3066</v>
      </c>
      <c r="C2556" s="911" t="s">
        <v>3556</v>
      </c>
      <c r="D2556" s="1360">
        <v>46168.755613425928</v>
      </c>
      <c r="E2556" s="890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1844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4" t="str">
        <f>LEFT(base[[#This Row],[Evento / Mercado]],FIND("/",base[[#This Row],[Evento / Mercado]])-2)</f>
        <v>Stjarnan vs Víkingur</v>
      </c>
      <c r="T2556" s="1420">
        <f>base[[#This Row],[Data de liquidação]]</f>
        <v>46168.755613425928</v>
      </c>
    </row>
    <row r="2557" spans="2:20" ht="15" customHeight="1">
      <c r="B2557" s="797" t="s">
        <v>3065</v>
      </c>
      <c r="C2557" s="911" t="s">
        <v>3556</v>
      </c>
      <c r="D2557" s="1360">
        <v>46168.874652777777</v>
      </c>
      <c r="E2557" s="890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1844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4" t="str">
        <f>LEFT(base[[#This Row],[Evento / Mercado]],FIND("/",base[[#This Row],[Evento / Mercado]])-2)</f>
        <v>Millonarios vs O'Higgins</v>
      </c>
      <c r="T2557" s="1420">
        <f>base[[#This Row],[Data de liquidação]]</f>
        <v>46168.874652777777</v>
      </c>
    </row>
    <row r="2558" spans="2:20" ht="15" customHeight="1">
      <c r="B2558" s="797" t="s">
        <v>3064</v>
      </c>
      <c r="C2558" s="911" t="s">
        <v>3556</v>
      </c>
      <c r="D2558" s="1360">
        <v>46168.974340277775</v>
      </c>
      <c r="E2558" s="890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628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2819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4" t="str">
        <f>LEFT(base[[#This Row],[Evento / Mercado]],FIND("/",base[[#This Row],[Evento / Mercado]])-2)</f>
        <v>Flamengo vs Cusco FC</v>
      </c>
      <c r="T2558" s="1420">
        <f>base[[#This Row],[Data de liquidação]]</f>
        <v>46168.974340277775</v>
      </c>
    </row>
    <row r="2559" spans="2:20" ht="15" customHeight="1">
      <c r="B2559" s="797" t="s">
        <v>3063</v>
      </c>
      <c r="C2559" s="911" t="s">
        <v>3556</v>
      </c>
      <c r="D2559" s="1360">
        <v>46168.974444444444</v>
      </c>
      <c r="E2559" s="890">
        <v>15.12</v>
      </c>
      <c r="F2559" s="408">
        <v>4.4999999999999998E-2</v>
      </c>
      <c r="G2559" s="561">
        <f t="shared" si="40"/>
        <v>15.832460732984293</v>
      </c>
      <c r="H2559" s="561" t="s">
        <v>179</v>
      </c>
      <c r="I2559" s="559" t="s">
        <v>392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2819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4" t="str">
        <f>LEFT(base[[#This Row],[Evento / Mercado]],FIND("/",base[[#This Row],[Evento / Mercado]])-2)</f>
        <v>Flamengo vs Cusco FC</v>
      </c>
      <c r="T2559" s="1420">
        <f>base[[#This Row],[Data de liquidação]]</f>
        <v>46168.974444444444</v>
      </c>
    </row>
    <row r="2560" spans="2:20" ht="15" customHeight="1">
      <c r="B2560" s="798" t="s">
        <v>3071</v>
      </c>
      <c r="C2560" s="911" t="s">
        <v>3556</v>
      </c>
      <c r="D2560" s="1361">
        <v>46170.86996527778</v>
      </c>
      <c r="E2560" s="891">
        <v>25.15</v>
      </c>
      <c r="F2560" s="408">
        <v>4.4999999999999998E-2</v>
      </c>
      <c r="G2560" s="569">
        <f t="shared" si="40"/>
        <v>26.335078534031414</v>
      </c>
      <c r="H2560" s="561" t="s">
        <v>179</v>
      </c>
      <c r="I2560" s="559" t="s">
        <v>392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2819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4" t="str">
        <f>LEFT(base[[#This Row],[Evento / Mercado]],FIND("/",base[[#This Row],[Evento / Mercado]])-2)</f>
        <v>Palmeiras vs Junior</v>
      </c>
      <c r="T2560" s="1420">
        <f>base[[#This Row],[Data de liquidação]]</f>
        <v>46170.86996527778</v>
      </c>
    </row>
    <row r="2561" spans="2:20" ht="15" customHeight="1">
      <c r="B2561" s="798" t="s">
        <v>3070</v>
      </c>
      <c r="C2561" s="911" t="s">
        <v>3556</v>
      </c>
      <c r="D2561" s="1361">
        <v>46170.978217592594</v>
      </c>
      <c r="E2561" s="891">
        <v>30.86</v>
      </c>
      <c r="F2561" s="408">
        <v>4.4999999999999998E-2</v>
      </c>
      <c r="G2561" s="569">
        <f t="shared" si="40"/>
        <v>32.31413612565445</v>
      </c>
      <c r="H2561" s="561" t="s">
        <v>179</v>
      </c>
      <c r="I2561" s="559" t="s">
        <v>392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2819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4" t="str">
        <f>LEFT(base[[#This Row],[Evento / Mercado]],FIND("/",base[[#This Row],[Evento / Mercado]])-2)</f>
        <v>Cruzeiro vs Barcelona SC</v>
      </c>
      <c r="T2561" s="1420">
        <f>base[[#This Row],[Data de liquidação]]</f>
        <v>46170.978217592594</v>
      </c>
    </row>
    <row r="2562" spans="2:20" ht="15" customHeight="1">
      <c r="B2562" s="799" t="s">
        <v>3085</v>
      </c>
      <c r="C2562" s="911" t="s">
        <v>3556</v>
      </c>
      <c r="D2562" s="1362">
        <v>46171.434131944443</v>
      </c>
      <c r="E2562" s="892">
        <v>0.51</v>
      </c>
      <c r="F2562" s="408">
        <v>4.4999999999999998E-2</v>
      </c>
      <c r="G2562" s="579">
        <f t="shared" si="40"/>
        <v>0.53403141361256545</v>
      </c>
      <c r="H2562" s="579" t="s">
        <v>1666</v>
      </c>
      <c r="I2562" s="577" t="s">
        <v>2952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4" t="str">
        <f>LEFT(base[[#This Row],[Evento / Mercado]],FIND("/",base[[#This Row],[Evento / Mercado]])-2)</f>
        <v>Liaoning Tieren F.C. vs Shanghai Port</v>
      </c>
      <c r="T2562" s="1420">
        <f>base[[#This Row],[Data de liquidação]]</f>
        <v>46171.434131944443</v>
      </c>
    </row>
    <row r="2563" spans="2:20" ht="15" customHeight="1">
      <c r="B2563" s="799" t="s">
        <v>3084</v>
      </c>
      <c r="C2563" s="911" t="s">
        <v>3556</v>
      </c>
      <c r="D2563" s="1362">
        <v>46171.641041666669</v>
      </c>
      <c r="E2563" s="892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1666</v>
      </c>
      <c r="I2563" s="539" t="s">
        <v>1558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4" t="str">
        <f>LEFT(base[[#This Row],[Evento / Mercado]],FIND("/",base[[#This Row],[Evento / Mercado]])-2)</f>
        <v>Fredrikstad vs Start</v>
      </c>
      <c r="T2563" s="1420">
        <f>base[[#This Row],[Data de liquidação]]</f>
        <v>46171.641041666669</v>
      </c>
    </row>
    <row r="2564" spans="2:20" ht="15" customHeight="1">
      <c r="B2564" s="799" t="s">
        <v>3083</v>
      </c>
      <c r="C2564" s="911" t="s">
        <v>3556</v>
      </c>
      <c r="D2564" s="1362">
        <v>46171.644780092596</v>
      </c>
      <c r="E2564" s="892">
        <v>-15</v>
      </c>
      <c r="F2564" s="408">
        <v>4.4999999999999998E-2</v>
      </c>
      <c r="G2564" s="579">
        <f t="shared" si="41"/>
        <v>-15</v>
      </c>
      <c r="H2564" s="526" t="s">
        <v>1666</v>
      </c>
      <c r="I2564" s="577" t="s">
        <v>1663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4" t="str">
        <f>LEFT(base[[#This Row],[Evento / Mercado]],FIND("/",base[[#This Row],[Evento / Mercado]])-2)</f>
        <v>Rosenborg BK vs Bod</v>
      </c>
      <c r="T2564" s="1420">
        <f>base[[#This Row],[Data de liquidação]]</f>
        <v>46171.644780092596</v>
      </c>
    </row>
    <row r="2565" spans="2:20" ht="15" customHeight="1">
      <c r="B2565" s="799" t="s">
        <v>3082</v>
      </c>
      <c r="C2565" s="911" t="s">
        <v>3556</v>
      </c>
      <c r="D2565" s="1362">
        <v>46171.696446759262</v>
      </c>
      <c r="E2565" s="892">
        <v>-4.0199999999999996</v>
      </c>
      <c r="F2565" s="408">
        <v>4.4999999999999998E-2</v>
      </c>
      <c r="G2565" s="579">
        <f t="shared" si="41"/>
        <v>-4.0199999999999996</v>
      </c>
      <c r="H2565" s="526" t="s">
        <v>1666</v>
      </c>
      <c r="I2565" s="539" t="s">
        <v>1558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4" t="str">
        <f>LEFT(base[[#This Row],[Evento / Mercado]],FIND("/",base[[#This Row],[Evento / Mercado]])-2)</f>
        <v>Monza vs Catanzaro</v>
      </c>
      <c r="T2565" s="1420">
        <f>base[[#This Row],[Data de liquidação]]</f>
        <v>46171.696446759262</v>
      </c>
    </row>
    <row r="2566" spans="2:20" ht="15" customHeight="1">
      <c r="B2566" s="799" t="s">
        <v>3081</v>
      </c>
      <c r="C2566" s="911" t="s">
        <v>3556</v>
      </c>
      <c r="D2566" s="1362">
        <v>46171.715370370373</v>
      </c>
      <c r="E2566" s="892">
        <v>4.1500000000000004</v>
      </c>
      <c r="F2566" s="408">
        <v>4.4999999999999998E-2</v>
      </c>
      <c r="G2566" s="579">
        <f t="shared" si="41"/>
        <v>4.345549738219896</v>
      </c>
      <c r="H2566" s="526" t="s">
        <v>1666</v>
      </c>
      <c r="I2566" s="577" t="s">
        <v>2883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4" t="str">
        <f>LEFT(base[[#This Row],[Evento / Mercado]],FIND("/",base[[#This Row],[Evento / Mercado]])-2)</f>
        <v>Shelbourne FC vs Galway United</v>
      </c>
      <c r="T2566" s="1420">
        <f>base[[#This Row],[Data de liquidação]]</f>
        <v>46171.715370370373</v>
      </c>
    </row>
    <row r="2567" spans="2:20" ht="15" customHeight="1">
      <c r="B2567" s="799" t="s">
        <v>3080</v>
      </c>
      <c r="C2567" s="911" t="s">
        <v>3556</v>
      </c>
      <c r="D2567" s="1362">
        <v>46171.735532407409</v>
      </c>
      <c r="E2567" s="892">
        <v>6.16</v>
      </c>
      <c r="F2567" s="408">
        <v>4.4999999999999998E-2</v>
      </c>
      <c r="G2567" s="579">
        <f t="shared" si="41"/>
        <v>6.4502617801047126</v>
      </c>
      <c r="H2567" s="526" t="s">
        <v>1666</v>
      </c>
      <c r="I2567" s="577" t="s">
        <v>1715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4" t="str">
        <f>LEFT(base[[#This Row],[Evento / Mercado]],FIND("/",base[[#This Row],[Evento / Mercado]])-2)</f>
        <v>Shelbourne FC vs Galway United</v>
      </c>
      <c r="T2567" s="1420">
        <f>base[[#This Row],[Data de liquidação]]</f>
        <v>46171.735532407409</v>
      </c>
    </row>
    <row r="2568" spans="2:20" ht="15" customHeight="1">
      <c r="B2568" s="799" t="s">
        <v>3079</v>
      </c>
      <c r="C2568" s="911" t="s">
        <v>3556</v>
      </c>
      <c r="D2568" s="1362">
        <v>46171.747430555559</v>
      </c>
      <c r="E2568" s="892">
        <v>5.97</v>
      </c>
      <c r="F2568" s="408">
        <v>4.4999999999999998E-2</v>
      </c>
      <c r="G2568" s="579">
        <f t="shared" si="41"/>
        <v>6.2513089005235605</v>
      </c>
      <c r="H2568" s="526" t="s">
        <v>1666</v>
      </c>
      <c r="I2568" s="577" t="s">
        <v>1715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4" t="str">
        <f>LEFT(base[[#This Row],[Evento / Mercado]],FIND("/",base[[#This Row],[Evento / Mercado]])-2)</f>
        <v>San Antonio vs Guabira</v>
      </c>
      <c r="T2568" s="1420">
        <f>base[[#This Row],[Data de liquidação]]</f>
        <v>46171.747430555559</v>
      </c>
    </row>
    <row r="2569" spans="2:20" ht="15" customHeight="1">
      <c r="B2569" s="799" t="s">
        <v>3078</v>
      </c>
      <c r="C2569" s="911" t="s">
        <v>3556</v>
      </c>
      <c r="D2569" s="1362">
        <v>46171.747511574074</v>
      </c>
      <c r="E2569" s="892">
        <v>-2</v>
      </c>
      <c r="F2569" s="408">
        <v>4.4999999999999998E-2</v>
      </c>
      <c r="G2569" s="579">
        <f t="shared" si="41"/>
        <v>-2</v>
      </c>
      <c r="H2569" s="526" t="s">
        <v>1666</v>
      </c>
      <c r="I2569" s="577" t="s">
        <v>1758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4" t="str">
        <f>LEFT(base[[#This Row],[Evento / Mercado]],FIND("/",base[[#This Row],[Evento / Mercado]])-2)</f>
        <v>San Antonio vs Guabira</v>
      </c>
      <c r="T2569" s="1420">
        <f>base[[#This Row],[Data de liquidação]]</f>
        <v>46171.747511574074</v>
      </c>
    </row>
    <row r="2570" spans="2:20" ht="15" customHeight="1">
      <c r="B2570" s="799" t="s">
        <v>3123</v>
      </c>
      <c r="C2570" s="911" t="s">
        <v>3556</v>
      </c>
      <c r="D2570" s="1362">
        <v>46172.324456018519</v>
      </c>
      <c r="E2570" s="892">
        <v>3.72</v>
      </c>
      <c r="F2570" s="408">
        <v>4.4999999999999998E-2</v>
      </c>
      <c r="G2570" s="579">
        <f t="shared" si="41"/>
        <v>3.8952879581151838</v>
      </c>
      <c r="H2570" s="526" t="s">
        <v>1666</v>
      </c>
      <c r="I2570" s="577" t="s">
        <v>2883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4" t="str">
        <f>LEFT(base[[#This Row],[Evento / Mercado]],FIND("/",base[[#This Row],[Evento / Mercado]])-2)</f>
        <v>Qingdao West Coast vs Shanghai Shenhua</v>
      </c>
      <c r="T2570" s="1420">
        <f>base[[#This Row],[Data de liquidação]]</f>
        <v>46172.324456018519</v>
      </c>
    </row>
    <row r="2571" spans="2:20" ht="15" customHeight="1">
      <c r="B2571" s="799" t="s">
        <v>3122</v>
      </c>
      <c r="C2571" s="911" t="s">
        <v>3556</v>
      </c>
      <c r="D2571" s="1362">
        <v>46172.375381944446</v>
      </c>
      <c r="E2571" s="892">
        <v>3.68</v>
      </c>
      <c r="F2571" s="408">
        <v>4.4999999999999998E-2</v>
      </c>
      <c r="G2571" s="579">
        <f t="shared" si="41"/>
        <v>3.8534031413612571</v>
      </c>
      <c r="H2571" s="526" t="s">
        <v>1666</v>
      </c>
      <c r="I2571" s="577" t="s">
        <v>1715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4" t="str">
        <f>LEFT(base[[#This Row],[Evento / Mercado]],FIND("/",base[[#This Row],[Evento / Mercado]])-2)</f>
        <v>Qingdao West Coast vs Shanghai Shenhua</v>
      </c>
      <c r="T2571" s="1420">
        <f>base[[#This Row],[Data de liquidação]]</f>
        <v>46172.375381944446</v>
      </c>
    </row>
    <row r="2572" spans="2:20" ht="15" customHeight="1">
      <c r="B2572" s="799" t="s">
        <v>3121</v>
      </c>
      <c r="C2572" s="911" t="s">
        <v>3556</v>
      </c>
      <c r="D2572" s="1362">
        <v>46172.416481481479</v>
      </c>
      <c r="E2572" s="892">
        <v>-10</v>
      </c>
      <c r="F2572" s="408">
        <v>4.4999999999999998E-2</v>
      </c>
      <c r="G2572" s="579">
        <f t="shared" si="41"/>
        <v>-10</v>
      </c>
      <c r="H2572" s="526" t="s">
        <v>1666</v>
      </c>
      <c r="I2572" s="539" t="s">
        <v>1558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4" t="str">
        <f>LEFT(base[[#This Row],[Evento / Mercado]],FIND("/",base[[#This Row],[Evento / Mercado]])-2)</f>
        <v>Henan Songshan Longmen vs Zhejiang Professional</v>
      </c>
      <c r="T2572" s="1420">
        <f>base[[#This Row],[Data de liquidação]]</f>
        <v>46172.416481481479</v>
      </c>
    </row>
    <row r="2573" spans="2:20" ht="15" customHeight="1">
      <c r="B2573" s="799" t="s">
        <v>3120</v>
      </c>
      <c r="C2573" s="911" t="s">
        <v>3556</v>
      </c>
      <c r="D2573" s="1362">
        <v>46172.418553240743</v>
      </c>
      <c r="E2573" s="892">
        <v>0.46</v>
      </c>
      <c r="F2573" s="408">
        <v>4.4999999999999998E-2</v>
      </c>
      <c r="G2573" s="579">
        <f t="shared" si="41"/>
        <v>0.48167539267015713</v>
      </c>
      <c r="H2573" s="579" t="s">
        <v>1666</v>
      </c>
      <c r="I2573" s="577" t="s">
        <v>2952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4" t="str">
        <f>LEFT(base[[#This Row],[Evento / Mercado]],FIND("/",base[[#This Row],[Evento / Mercado]])-2)</f>
        <v>Henan Songshan Longmen vs Zhejiang Professional</v>
      </c>
      <c r="T2573" s="1420">
        <f>base[[#This Row],[Data de liquidação]]</f>
        <v>46172.418553240743</v>
      </c>
    </row>
    <row r="2574" spans="2:20" ht="15" customHeight="1">
      <c r="B2574" s="799" t="s">
        <v>3119</v>
      </c>
      <c r="C2574" s="911" t="s">
        <v>3556</v>
      </c>
      <c r="D2574" s="1362">
        <v>46172.440081018518</v>
      </c>
      <c r="E2574" s="892">
        <v>-16.32</v>
      </c>
      <c r="F2574" s="408">
        <v>4.4999999999999998E-2</v>
      </c>
      <c r="G2574" s="579">
        <f t="shared" si="41"/>
        <v>-16.32</v>
      </c>
      <c r="H2574" s="526" t="s">
        <v>1666</v>
      </c>
      <c r="I2574" s="539" t="s">
        <v>1558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4" t="str">
        <f>LEFT(base[[#This Row],[Evento / Mercado]],FIND("/",base[[#This Row],[Evento / Mercado]])-2)</f>
        <v>Chengdu Rongcheng vs Shandong Taishan</v>
      </c>
      <c r="T2574" s="1420">
        <f>base[[#This Row],[Data de liquidação]]</f>
        <v>46172.440081018518</v>
      </c>
    </row>
    <row r="2575" spans="2:20" ht="15" customHeight="1">
      <c r="B2575" s="799" t="s">
        <v>3118</v>
      </c>
      <c r="C2575" s="911" t="s">
        <v>3556</v>
      </c>
      <c r="D2575" s="1362">
        <v>46172.440092592595</v>
      </c>
      <c r="E2575" s="892">
        <v>0.45</v>
      </c>
      <c r="F2575" s="408">
        <v>4.4999999999999998E-2</v>
      </c>
      <c r="G2575" s="579">
        <f t="shared" si="41"/>
        <v>0.47120418848167545</v>
      </c>
      <c r="H2575" s="579" t="s">
        <v>1666</v>
      </c>
      <c r="I2575" s="577" t="s">
        <v>2952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4" t="str">
        <f>LEFT(base[[#This Row],[Evento / Mercado]],FIND("/",base[[#This Row],[Evento / Mercado]])-2)</f>
        <v>Chengdu Rongcheng vs Shandong Taishan</v>
      </c>
      <c r="T2575" s="1420">
        <f>base[[#This Row],[Data de liquidação]]</f>
        <v>46172.440092592595</v>
      </c>
    </row>
    <row r="2576" spans="2:20" ht="15" customHeight="1">
      <c r="B2576" s="799" t="s">
        <v>3117</v>
      </c>
      <c r="C2576" s="911" t="s">
        <v>3556</v>
      </c>
      <c r="D2576" s="1362">
        <v>46172.445069444446</v>
      </c>
      <c r="E2576" s="892">
        <v>14.33</v>
      </c>
      <c r="F2576" s="408">
        <v>4.4999999999999998E-2</v>
      </c>
      <c r="G2576" s="579">
        <f t="shared" si="41"/>
        <v>15.005235602094242</v>
      </c>
      <c r="H2576" s="526" t="s">
        <v>1666</v>
      </c>
      <c r="I2576" s="539" t="s">
        <v>1558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4" t="str">
        <f>LEFT(base[[#This Row],[Evento / Mercado]],FIND("/",base[[#This Row],[Evento / Mercado]])-2)</f>
        <v>AIK vs IK Sirius</v>
      </c>
      <c r="T2576" s="1420">
        <f>base[[#This Row],[Data de liquidação]]</f>
        <v>46172.445069444446</v>
      </c>
    </row>
    <row r="2577" spans="2:22" ht="15" customHeight="1">
      <c r="B2577" s="799" t="s">
        <v>3116</v>
      </c>
      <c r="C2577" s="911" t="s">
        <v>3556</v>
      </c>
      <c r="D2577" s="1362">
        <v>46172.492881944447</v>
      </c>
      <c r="E2577" s="892">
        <v>-5</v>
      </c>
      <c r="F2577" s="408">
        <v>4.4999999999999998E-2</v>
      </c>
      <c r="G2577" s="579">
        <f t="shared" si="41"/>
        <v>-5</v>
      </c>
      <c r="H2577" s="526" t="s">
        <v>1666</v>
      </c>
      <c r="I2577" s="577" t="s">
        <v>2883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4" t="str">
        <f>LEFT(base[[#This Row],[Evento / Mercado]],FIND("/",base[[#This Row],[Evento / Mercado]])-2)</f>
        <v>GIF Sundsvall vs Sandvikens IF</v>
      </c>
      <c r="T2577" s="1420">
        <f>base[[#This Row],[Data de liquidação]]</f>
        <v>46172.492881944447</v>
      </c>
    </row>
    <row r="2578" spans="2:22" ht="15" customHeight="1">
      <c r="B2578" s="799" t="s">
        <v>3115</v>
      </c>
      <c r="C2578" s="911" t="s">
        <v>3556</v>
      </c>
      <c r="D2578" s="1362">
        <v>46172.495115740741</v>
      </c>
      <c r="E2578" s="892">
        <v>5.17</v>
      </c>
      <c r="F2578" s="408">
        <v>4.4999999999999998E-2</v>
      </c>
      <c r="G2578" s="579">
        <f t="shared" si="41"/>
        <v>5.4136125654450264</v>
      </c>
      <c r="H2578" s="526" t="s">
        <v>1666</v>
      </c>
      <c r="I2578" s="577" t="s">
        <v>1759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4" t="str">
        <f>LEFT(base[[#This Row],[Evento / Mercado]],FIND("/",base[[#This Row],[Evento / Mercado]])-2)</f>
        <v>GAIS vs Kalmar FF</v>
      </c>
      <c r="T2578" s="1420">
        <f>base[[#This Row],[Data de liquidação]]</f>
        <v>46172.495115740741</v>
      </c>
    </row>
    <row r="2579" spans="2:22" ht="15" customHeight="1">
      <c r="B2579" s="799" t="s">
        <v>3114</v>
      </c>
      <c r="C2579" s="911" t="s">
        <v>3556</v>
      </c>
      <c r="D2579" s="1362">
        <v>46172.498622685183</v>
      </c>
      <c r="E2579" s="892">
        <v>0.39</v>
      </c>
      <c r="F2579" s="408">
        <v>4.4999999999999998E-2</v>
      </c>
      <c r="G2579" s="579">
        <f t="shared" si="41"/>
        <v>0.40837696335078538</v>
      </c>
      <c r="H2579" s="579" t="s">
        <v>1666</v>
      </c>
      <c r="I2579" s="577" t="s">
        <v>2952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4" t="str">
        <f>LEFT(base[[#This Row],[Evento / Mercado]],FIND("/",base[[#This Row],[Evento / Mercado]])-2)</f>
        <v>AIK vs IK Sirius</v>
      </c>
      <c r="T2579" s="1420">
        <f>base[[#This Row],[Data de liquidação]]</f>
        <v>46172.498622685183</v>
      </c>
    </row>
    <row r="2580" spans="2:22" ht="15" customHeight="1">
      <c r="B2580" s="799" t="s">
        <v>3113</v>
      </c>
      <c r="C2580" s="911" t="s">
        <v>3556</v>
      </c>
      <c r="D2580" s="1362">
        <v>46172.5237037037</v>
      </c>
      <c r="E2580" s="892">
        <v>-5</v>
      </c>
      <c r="F2580" s="408">
        <v>4.4999999999999998E-2</v>
      </c>
      <c r="G2580" s="579">
        <f t="shared" si="41"/>
        <v>-5</v>
      </c>
      <c r="H2580" s="579" t="s">
        <v>1666</v>
      </c>
      <c r="I2580" s="577" t="s">
        <v>2952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4" t="str">
        <f>LEFT(base[[#This Row],[Evento / Mercado]],FIND("/",base[[#This Row],[Evento / Mercado]])-2)</f>
        <v>IF Gnistan vs SJK</v>
      </c>
      <c r="T2580" s="1420">
        <f>base[[#This Row],[Data de liquidação]]</f>
        <v>46172.5237037037</v>
      </c>
    </row>
    <row r="2581" spans="2:22" ht="15" customHeight="1">
      <c r="B2581" s="799" t="s">
        <v>3112</v>
      </c>
      <c r="C2581" s="911" t="s">
        <v>3556</v>
      </c>
      <c r="D2581" s="1362">
        <v>46172.540520833332</v>
      </c>
      <c r="E2581" s="892">
        <v>1.91</v>
      </c>
      <c r="F2581" s="408">
        <v>4.4999999999999998E-2</v>
      </c>
      <c r="G2581" s="579">
        <f t="shared" si="41"/>
        <v>2</v>
      </c>
      <c r="H2581" s="579" t="s">
        <v>1666</v>
      </c>
      <c r="I2581" s="577" t="s">
        <v>2331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4" t="str">
        <f>LEFT(base[[#This Row],[Evento / Mercado]],FIND("/",base[[#This Row],[Evento / Mercado]])-2)</f>
        <v>Molde vs Sandefjord Fotball</v>
      </c>
      <c r="T2581" s="1420">
        <f>base[[#This Row],[Data de liquidação]]</f>
        <v>46172.540520833332</v>
      </c>
    </row>
    <row r="2582" spans="2:22" ht="15" customHeight="1">
      <c r="B2582" s="799" t="s">
        <v>3111</v>
      </c>
      <c r="C2582" s="911" t="s">
        <v>3556</v>
      </c>
      <c r="D2582" s="1362">
        <v>46172.540555555555</v>
      </c>
      <c r="E2582" s="892">
        <v>36.29</v>
      </c>
      <c r="F2582" s="408">
        <v>4.4999999999999998E-2</v>
      </c>
      <c r="G2582" s="579">
        <f t="shared" si="41"/>
        <v>38</v>
      </c>
      <c r="H2582" s="579" t="s">
        <v>179</v>
      </c>
      <c r="I2582" s="577" t="s">
        <v>1594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2032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4" t="str">
        <f>LEFT(base[[#This Row],[Evento / Mercado]],FIND("/",base[[#This Row],[Evento / Mercado]])-2)</f>
        <v>Molde vs Sandefjord Fotball</v>
      </c>
      <c r="T2582" s="1420">
        <f>base[[#This Row],[Data de liquidação]]</f>
        <v>46172.540555555555</v>
      </c>
    </row>
    <row r="2583" spans="2:22" ht="15" customHeight="1">
      <c r="B2583" s="799" t="s">
        <v>3110</v>
      </c>
      <c r="C2583" s="911" t="s">
        <v>3556</v>
      </c>
      <c r="D2583" s="1362">
        <v>46172.550567129627</v>
      </c>
      <c r="E2583" s="892">
        <v>6.82</v>
      </c>
      <c r="F2583" s="408">
        <v>4.4999999999999998E-2</v>
      </c>
      <c r="G2583" s="579">
        <f t="shared" si="41"/>
        <v>7.1413612565445028</v>
      </c>
      <c r="H2583" s="579" t="s">
        <v>1666</v>
      </c>
      <c r="I2583" s="577" t="s">
        <v>1759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4" t="str">
        <f>LEFT(base[[#This Row],[Evento / Mercado]],FIND("/",base[[#This Row],[Evento / Mercado]])-2)</f>
        <v>AD Ceuta FC vs Albacete Balompié</v>
      </c>
      <c r="T2583" s="1420">
        <f>base[[#This Row],[Data de liquidação]]</f>
        <v>46172.550567129627</v>
      </c>
    </row>
    <row r="2584" spans="2:22" ht="15" customHeight="1">
      <c r="B2584" s="799" t="s">
        <v>3109</v>
      </c>
      <c r="C2584" s="911" t="s">
        <v>3556</v>
      </c>
      <c r="D2584" s="1362">
        <v>46172.55059027778</v>
      </c>
      <c r="E2584" s="892">
        <v>-14.31</v>
      </c>
      <c r="F2584" s="408">
        <v>4.4999999999999998E-2</v>
      </c>
      <c r="G2584" s="579">
        <f t="shared" si="41"/>
        <v>-14.31</v>
      </c>
      <c r="H2584" s="526" t="s">
        <v>1666</v>
      </c>
      <c r="I2584" s="539" t="s">
        <v>1558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4" t="str">
        <f>LEFT(base[[#This Row],[Evento / Mercado]],FIND("/",base[[#This Row],[Evento / Mercado]])-2)</f>
        <v>AD Ceuta FC vs Albacete Balompié</v>
      </c>
      <c r="T2584" s="1420">
        <f>base[[#This Row],[Data de liquidação]]</f>
        <v>46172.55059027778</v>
      </c>
    </row>
    <row r="2585" spans="2:22" ht="15" customHeight="1">
      <c r="B2585" s="799" t="s">
        <v>3108</v>
      </c>
      <c r="C2585" s="911" t="s">
        <v>3556</v>
      </c>
      <c r="D2585" s="1362">
        <v>46172.564918981479</v>
      </c>
      <c r="E2585" s="892">
        <v>5.25</v>
      </c>
      <c r="F2585" s="408">
        <v>4.4999999999999998E-2</v>
      </c>
      <c r="G2585" s="579">
        <f t="shared" si="41"/>
        <v>5.4973821989528799</v>
      </c>
      <c r="H2585" s="526" t="s">
        <v>1666</v>
      </c>
      <c r="I2585" s="577" t="s">
        <v>2301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4" t="str">
        <f>LEFT(base[[#This Row],[Evento / Mercado]],FIND("/",base[[#This Row],[Evento / Mercado]])-2)</f>
        <v>MB Rouissat vs USM Alger</v>
      </c>
      <c r="T2585" s="1420">
        <f>base[[#This Row],[Data de liquidação]]</f>
        <v>46172.564918981479</v>
      </c>
    </row>
    <row r="2586" spans="2:22" ht="15" customHeight="1">
      <c r="B2586" s="799" t="s">
        <v>3107</v>
      </c>
      <c r="C2586" s="911" t="s">
        <v>3556</v>
      </c>
      <c r="D2586" s="1362">
        <v>46172.595150462963</v>
      </c>
      <c r="E2586" s="892">
        <v>2.98</v>
      </c>
      <c r="F2586" s="408">
        <v>4.4999999999999998E-2</v>
      </c>
      <c r="G2586" s="579">
        <f t="shared" si="41"/>
        <v>3.1204188481675392</v>
      </c>
      <c r="H2586" s="526" t="s">
        <v>1666</v>
      </c>
      <c r="I2586" s="577" t="s">
        <v>2883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4" t="str">
        <f>LEFT(base[[#This Row],[Evento / Mercado]],FIND("/",base[[#This Row],[Evento / Mercado]])-2)</f>
        <v>Santiago Wanderers vs Unión Española</v>
      </c>
      <c r="T2586" s="1420">
        <f>base[[#This Row],[Data de liquidação]]</f>
        <v>46172.595150462963</v>
      </c>
    </row>
    <row r="2587" spans="2:22" ht="15" customHeight="1">
      <c r="B2587" s="799" t="s">
        <v>3106</v>
      </c>
      <c r="C2587" s="911" t="s">
        <v>3556</v>
      </c>
      <c r="D2587" s="1362">
        <v>46172.701307870368</v>
      </c>
      <c r="E2587" s="892">
        <v>14.33</v>
      </c>
      <c r="F2587" s="408">
        <v>4.4999999999999998E-2</v>
      </c>
      <c r="G2587" s="579">
        <f t="shared" si="41"/>
        <v>15.005235602094242</v>
      </c>
      <c r="H2587" s="526" t="s">
        <v>1666</v>
      </c>
      <c r="I2587" s="539" t="s">
        <v>1558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4" t="str">
        <f>LEFT(base[[#This Row],[Evento / Mercado]],FIND("/",base[[#This Row],[Evento / Mercado]])-2)</f>
        <v>Granada CF vs Real Sporting de Gijon</v>
      </c>
      <c r="T2587" s="1420">
        <f>base[[#This Row],[Data de liquidação]]</f>
        <v>46172.701307870368</v>
      </c>
    </row>
    <row r="2588" spans="2:22" ht="15" customHeight="1">
      <c r="B2588" s="799" t="s">
        <v>3105</v>
      </c>
      <c r="C2588" s="911" t="s">
        <v>3556</v>
      </c>
      <c r="D2588" s="1362">
        <v>46172.740381944444</v>
      </c>
      <c r="E2588" s="892">
        <v>2.39</v>
      </c>
      <c r="F2588" s="408">
        <v>4.4999999999999998E-2</v>
      </c>
      <c r="G2588" s="579">
        <f t="shared" si="41"/>
        <v>2.5026178010471205</v>
      </c>
      <c r="H2588" s="526" t="s">
        <v>1666</v>
      </c>
      <c r="I2588" s="577" t="s">
        <v>2883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4" t="str">
        <f>LEFT(base[[#This Row],[Evento / Mercado]],FIND("/",base[[#This Row],[Evento / Mercado]])-2)</f>
        <v>Academia de Balompie Boliviano vs Always Ready</v>
      </c>
      <c r="T2588" s="1420">
        <f>base[[#This Row],[Data de liquidação]]</f>
        <v>46172.740381944444</v>
      </c>
    </row>
    <row r="2589" spans="2:22" ht="15" customHeight="1">
      <c r="B2589" s="799" t="s">
        <v>3104</v>
      </c>
      <c r="C2589" s="911" t="s">
        <v>3556</v>
      </c>
      <c r="D2589" s="1362">
        <v>46172.747997685183</v>
      </c>
      <c r="E2589" s="892">
        <v>57.3</v>
      </c>
      <c r="F2589" s="408">
        <v>4.4999999999999998E-2</v>
      </c>
      <c r="G2589" s="579">
        <f t="shared" si="41"/>
        <v>60</v>
      </c>
      <c r="H2589" s="579" t="s">
        <v>179</v>
      </c>
      <c r="I2589" s="577" t="s">
        <v>392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1370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4" t="str">
        <f>LEFT(base[[#This Row],[Evento / Mercado]],FIND("/",base[[#This Row],[Evento / Mercado]])-2)</f>
        <v>Flamengo vs Coritiba</v>
      </c>
      <c r="T2589" s="142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99" t="s">
        <v>3104</v>
      </c>
      <c r="C2590" s="911" t="s">
        <v>3556</v>
      </c>
      <c r="D2590" s="1362">
        <v>46172.747997685183</v>
      </c>
      <c r="E2590" s="892">
        <v>4.3452500000000001</v>
      </c>
      <c r="F2590" s="408">
        <v>4.4999999999999998E-2</v>
      </c>
      <c r="G2590" s="579">
        <f t="shared" si="41"/>
        <v>4.55</v>
      </c>
      <c r="H2590" s="526" t="s">
        <v>1666</v>
      </c>
      <c r="I2590" s="577" t="s">
        <v>1717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4" t="str">
        <f>LEFT(base[[#This Row],[Evento / Mercado]],FIND("/",base[[#This Row],[Evento / Mercado]])-2)</f>
        <v>Flamengo vs Coritiba</v>
      </c>
      <c r="T2590" s="142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99" t="s">
        <v>3103</v>
      </c>
      <c r="C2591" s="911" t="s">
        <v>3556</v>
      </c>
      <c r="D2591" s="1362">
        <v>46172.748645833337</v>
      </c>
      <c r="E2591" s="892">
        <v>50.93</v>
      </c>
      <c r="F2591" s="408">
        <v>4.4999999999999998E-2</v>
      </c>
      <c r="G2591" s="579">
        <f t="shared" si="41"/>
        <v>53.329842931937172</v>
      </c>
      <c r="H2591" s="579" t="s">
        <v>179</v>
      </c>
      <c r="I2591" s="577" t="s">
        <v>1594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1370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4" t="str">
        <f>LEFT(base[[#This Row],[Evento / Mercado]],FIND("/",base[[#This Row],[Evento / Mercado]])-2)</f>
        <v>Athlético Paranaense vs Mirassol FC</v>
      </c>
      <c r="T2591" s="1420">
        <f>base[[#This Row],[Data de liquidação]]</f>
        <v>46172.748645833337</v>
      </c>
    </row>
    <row r="2592" spans="2:22" ht="15" customHeight="1">
      <c r="B2592" s="799" t="s">
        <v>3102</v>
      </c>
      <c r="C2592" s="911" t="s">
        <v>3556</v>
      </c>
      <c r="D2592" s="1362">
        <v>46172.748680555553</v>
      </c>
      <c r="E2592" s="892">
        <v>2.37</v>
      </c>
      <c r="F2592" s="408">
        <v>4.4999999999999998E-2</v>
      </c>
      <c r="G2592" s="579">
        <f t="shared" si="41"/>
        <v>2.4816753926701574</v>
      </c>
      <c r="H2592" s="526" t="s">
        <v>1666</v>
      </c>
      <c r="I2592" s="577" t="s">
        <v>1758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4" t="str">
        <f>LEFT(base[[#This Row],[Evento / Mercado]],FIND("/",base[[#This Row],[Evento / Mercado]])-2)</f>
        <v>Athlético Paranaense vs Mirassol FC</v>
      </c>
      <c r="T2592" s="1420">
        <f>base[[#This Row],[Data de liquidação]]</f>
        <v>46172.748680555553</v>
      </c>
    </row>
    <row r="2593" spans="2:20" ht="15" customHeight="1">
      <c r="B2593" s="799" t="s">
        <v>3101</v>
      </c>
      <c r="C2593" s="911" t="s">
        <v>3556</v>
      </c>
      <c r="D2593" s="1362">
        <v>46172.749074074076</v>
      </c>
      <c r="E2593" s="892">
        <v>6.12</v>
      </c>
      <c r="F2593" s="408">
        <v>4.4999999999999998E-2</v>
      </c>
      <c r="G2593" s="579">
        <f t="shared" si="41"/>
        <v>6.4083769633507854</v>
      </c>
      <c r="H2593" s="526" t="s">
        <v>1666</v>
      </c>
      <c r="I2593" s="577" t="s">
        <v>2950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4" t="str">
        <f>LEFT(base[[#This Row],[Evento / Mercado]],FIND("/",base[[#This Row],[Evento / Mercado]])-2)</f>
        <v>La Serena vs Colo-Colo</v>
      </c>
      <c r="T2593" s="1420">
        <f>base[[#This Row],[Data de liquidação]]</f>
        <v>46172.749074074076</v>
      </c>
    </row>
    <row r="2594" spans="2:20" ht="15" customHeight="1">
      <c r="B2594" s="799" t="s">
        <v>3100</v>
      </c>
      <c r="C2594" s="911" t="s">
        <v>3556</v>
      </c>
      <c r="D2594" s="1362">
        <v>46172.776122685187</v>
      </c>
      <c r="E2594" s="892">
        <v>4.68</v>
      </c>
      <c r="F2594" s="408">
        <v>4.4999999999999998E-2</v>
      </c>
      <c r="G2594" s="579">
        <f t="shared" si="41"/>
        <v>4.9005235602094244</v>
      </c>
      <c r="H2594" s="526" t="s">
        <v>1666</v>
      </c>
      <c r="I2594" s="577" t="s">
        <v>2883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4" t="str">
        <f>LEFT(base[[#This Row],[Evento / Mercado]],FIND("/",base[[#This Row],[Evento / Mercado]])-2)</f>
        <v>Deportivo Garcilaso vs Juan Pablo II College</v>
      </c>
      <c r="T2594" s="1420">
        <f>base[[#This Row],[Data de liquidação]]</f>
        <v>46172.776122685187</v>
      </c>
    </row>
    <row r="2595" spans="2:20" ht="15" customHeight="1">
      <c r="B2595" s="799" t="s">
        <v>3098</v>
      </c>
      <c r="C2595" s="911" t="s">
        <v>3556</v>
      </c>
      <c r="D2595" s="1362">
        <v>46172.788090277776</v>
      </c>
      <c r="E2595" s="892">
        <v>-14.46</v>
      </c>
      <c r="F2595" s="408">
        <v>4.4999999999999998E-2</v>
      </c>
      <c r="G2595" s="579">
        <f t="shared" si="41"/>
        <v>-14.46</v>
      </c>
      <c r="H2595" s="526" t="s">
        <v>1666</v>
      </c>
      <c r="I2595" s="539" t="s">
        <v>1558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4" t="str">
        <f>LEFT(base[[#This Row],[Evento / Mercado]],FIND("/",base[[#This Row],[Evento / Mercado]])-2)</f>
        <v>Esporte Clube Bahia vs Botafogo FR</v>
      </c>
      <c r="T2595" s="1420">
        <f>base[[#This Row],[Data de liquidação]]</f>
        <v>46172.788090277776</v>
      </c>
    </row>
    <row r="2596" spans="2:20" ht="15" customHeight="1">
      <c r="B2596" s="799" t="s">
        <v>3098</v>
      </c>
      <c r="C2596" s="911" t="s">
        <v>3556</v>
      </c>
      <c r="D2596" s="1362">
        <v>46172.788090277776</v>
      </c>
      <c r="E2596" s="892">
        <v>-2</v>
      </c>
      <c r="F2596" s="408">
        <v>4.4999999999999998E-2</v>
      </c>
      <c r="G2596" s="579">
        <f t="shared" si="41"/>
        <v>-2</v>
      </c>
      <c r="H2596" s="526" t="s">
        <v>1666</v>
      </c>
      <c r="I2596" s="577" t="s">
        <v>2363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4" t="str">
        <f>LEFT(base[[#This Row],[Evento / Mercado]],FIND("/",base[[#This Row],[Evento / Mercado]])-2)</f>
        <v>Esporte Clube Bahia vs Botafogo FR</v>
      </c>
      <c r="T2596" s="1420">
        <f>base[[#This Row],[Data de liquidação]]</f>
        <v>46172.788090277776</v>
      </c>
    </row>
    <row r="2597" spans="2:20" ht="15" customHeight="1">
      <c r="B2597" s="799" t="s">
        <v>3099</v>
      </c>
      <c r="C2597" s="911" t="s">
        <v>3556</v>
      </c>
      <c r="D2597" s="1362">
        <v>46172.788090277776</v>
      </c>
      <c r="E2597" s="892">
        <v>3.06</v>
      </c>
      <c r="F2597" s="408">
        <v>4.4999999999999998E-2</v>
      </c>
      <c r="G2597" s="579">
        <f t="shared" si="41"/>
        <v>3.2041884816753927</v>
      </c>
      <c r="H2597" s="526" t="s">
        <v>1666</v>
      </c>
      <c r="I2597" s="577" t="s">
        <v>2883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4" t="str">
        <f>LEFT(base[[#This Row],[Evento / Mercado]],FIND("/",base[[#This Row],[Evento / Mercado]])-2)</f>
        <v>Esporte Clube Bahia vs Botafogo FR</v>
      </c>
      <c r="T2597" s="1420">
        <f>base[[#This Row],[Data de liquidação]]</f>
        <v>46172.788090277776</v>
      </c>
    </row>
    <row r="2598" spans="2:20" ht="15" customHeight="1">
      <c r="B2598" s="799" t="s">
        <v>3097</v>
      </c>
      <c r="C2598" s="911" t="s">
        <v>3556</v>
      </c>
      <c r="D2598" s="1362">
        <v>46172.788101851853</v>
      </c>
      <c r="E2598" s="892">
        <v>5.42</v>
      </c>
      <c r="F2598" s="408">
        <v>4.4999999999999998E-2</v>
      </c>
      <c r="G2598" s="579">
        <f t="shared" si="41"/>
        <v>5.6753926701570681</v>
      </c>
      <c r="H2598" s="526" t="s">
        <v>1666</v>
      </c>
      <c r="I2598" s="577" t="s">
        <v>1717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4" t="str">
        <f>LEFT(base[[#This Row],[Evento / Mercado]],FIND("/",base[[#This Row],[Evento / Mercado]])-2)</f>
        <v>Deportivo Garcilaso vs Juan Pablo II College</v>
      </c>
      <c r="T2598" s="1420">
        <f>base[[#This Row],[Data de liquidação]]</f>
        <v>46172.788101851853</v>
      </c>
    </row>
    <row r="2599" spans="2:20" ht="15" customHeight="1">
      <c r="B2599" s="799" t="s">
        <v>3096</v>
      </c>
      <c r="C2599" s="911" t="s">
        <v>3556</v>
      </c>
      <c r="D2599" s="1362">
        <v>46172.828449074077</v>
      </c>
      <c r="E2599" s="892">
        <v>-8.5399999999999991</v>
      </c>
      <c r="F2599" s="408">
        <v>4.4999999999999998E-2</v>
      </c>
      <c r="G2599" s="579">
        <f t="shared" si="41"/>
        <v>-8.5399999999999991</v>
      </c>
      <c r="H2599" s="526" t="s">
        <v>1666</v>
      </c>
      <c r="I2599" s="539" t="s">
        <v>1558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4" t="str">
        <f>LEFT(base[[#This Row],[Evento / Mercado]],FIND("/",base[[#This Row],[Evento / Mercado]])-2)</f>
        <v>Universidad de Chile vs Deportes Concepción</v>
      </c>
      <c r="T2599" s="1420">
        <f>base[[#This Row],[Data de liquidação]]</f>
        <v>46172.828449074077</v>
      </c>
    </row>
    <row r="2600" spans="2:20" ht="15" customHeight="1">
      <c r="B2600" s="799" t="s">
        <v>3095</v>
      </c>
      <c r="C2600" s="911" t="s">
        <v>3556</v>
      </c>
      <c r="D2600" s="1362">
        <v>46172.84883101852</v>
      </c>
      <c r="E2600" s="892">
        <v>14.33</v>
      </c>
      <c r="F2600" s="408">
        <v>4.4999999999999998E-2</v>
      </c>
      <c r="G2600" s="579">
        <f t="shared" si="41"/>
        <v>15.005235602094242</v>
      </c>
      <c r="H2600" s="526" t="s">
        <v>1666</v>
      </c>
      <c r="I2600" s="539" t="s">
        <v>1558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4" t="str">
        <f>LEFT(base[[#This Row],[Evento / Mercado]],FIND("/",base[[#This Row],[Evento / Mercado]])-2)</f>
        <v>Pacific vs Atletico Ottawa</v>
      </c>
      <c r="T2600" s="1420">
        <f>base[[#This Row],[Data de liquidação]]</f>
        <v>46172.84883101852</v>
      </c>
    </row>
    <row r="2601" spans="2:20" ht="15" customHeight="1">
      <c r="B2601" s="799" t="s">
        <v>3094</v>
      </c>
      <c r="C2601" s="911" t="s">
        <v>3556</v>
      </c>
      <c r="D2601" s="1362">
        <v>46172.886597222219</v>
      </c>
      <c r="E2601" s="892">
        <v>-2.8</v>
      </c>
      <c r="F2601" s="408">
        <v>4.4999999999999998E-2</v>
      </c>
      <c r="G2601" s="579">
        <f t="shared" si="41"/>
        <v>-2.8</v>
      </c>
      <c r="H2601" s="526" t="s">
        <v>1666</v>
      </c>
      <c r="I2601" s="539" t="s">
        <v>1558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4" t="str">
        <f>LEFT(base[[#This Row],[Evento / Mercado]],FIND("/",base[[#This Row],[Evento / Mercado]])-2)</f>
        <v>Santos FC vs EC Vitória</v>
      </c>
      <c r="T2601" s="1420">
        <f>base[[#This Row],[Data de liquidação]]</f>
        <v>46172.886597222219</v>
      </c>
    </row>
    <row r="2602" spans="2:20" ht="15" customHeight="1">
      <c r="B2602" s="799" t="s">
        <v>3093</v>
      </c>
      <c r="C2602" s="911" t="s">
        <v>3556</v>
      </c>
      <c r="D2602" s="1362">
        <v>46172.889502314814</v>
      </c>
      <c r="E2602" s="892">
        <v>4.92</v>
      </c>
      <c r="F2602" s="408">
        <v>4.4999999999999998E-2</v>
      </c>
      <c r="G2602" s="579">
        <f t="shared" si="41"/>
        <v>5.1518324607329848</v>
      </c>
      <c r="H2602" s="526" t="s">
        <v>1666</v>
      </c>
      <c r="I2602" s="577" t="s">
        <v>2301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4" t="str">
        <f>LEFT(base[[#This Row],[Evento / Mercado]],FIND("/",base[[#This Row],[Evento / Mercado]])-2)</f>
        <v>Sport Boys vs Comerciantes Unidos</v>
      </c>
      <c r="T2602" s="1420">
        <f>base[[#This Row],[Data de liquidação]]</f>
        <v>46172.889502314814</v>
      </c>
    </row>
    <row r="2603" spans="2:20" ht="15" customHeight="1">
      <c r="B2603" s="799" t="s">
        <v>3092</v>
      </c>
      <c r="C2603" s="911" t="s">
        <v>3556</v>
      </c>
      <c r="D2603" s="1362">
        <v>46172.938506944447</v>
      </c>
      <c r="E2603" s="892">
        <v>6.82</v>
      </c>
      <c r="F2603" s="408">
        <v>4.4999999999999998E-2</v>
      </c>
      <c r="G2603" s="579">
        <f t="shared" si="41"/>
        <v>7.1413612565445028</v>
      </c>
      <c r="H2603" s="526" t="s">
        <v>1666</v>
      </c>
      <c r="I2603" s="577" t="s">
        <v>1759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4" t="str">
        <f>LEFT(base[[#This Row],[Evento / Mercado]],FIND("/",base[[#This Row],[Evento / Mercado]])-2)</f>
        <v>Sport Club do Recife vs Clube Náutico Capibaribe</v>
      </c>
      <c r="T2603" s="1420">
        <f>base[[#This Row],[Data de liquidação]]</f>
        <v>46172.938506944447</v>
      </c>
    </row>
    <row r="2604" spans="2:20" ht="15" customHeight="1">
      <c r="B2604" s="799" t="s">
        <v>3091</v>
      </c>
      <c r="C2604" s="911" t="s">
        <v>3556</v>
      </c>
      <c r="D2604" s="1362">
        <v>46172.946400462963</v>
      </c>
      <c r="E2604" s="892">
        <v>4.78</v>
      </c>
      <c r="F2604" s="408">
        <v>4.4999999999999998E-2</v>
      </c>
      <c r="G2604" s="579">
        <f t="shared" si="41"/>
        <v>5.005235602094241</v>
      </c>
      <c r="H2604" s="526" t="s">
        <v>1666</v>
      </c>
      <c r="I2604" s="577" t="s">
        <v>2301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4" t="str">
        <f>LEFT(base[[#This Row],[Evento / Mercado]],FIND("/",base[[#This Row],[Evento / Mercado]])-2)</f>
        <v>Deportivo Cuenca vs Delfin SC</v>
      </c>
      <c r="T2604" s="1420">
        <f>base[[#This Row],[Data de liquidação]]</f>
        <v>46172.946400462963</v>
      </c>
    </row>
    <row r="2605" spans="2:20" ht="15" customHeight="1">
      <c r="B2605" s="799" t="s">
        <v>3090</v>
      </c>
      <c r="C2605" s="911" t="s">
        <v>3556</v>
      </c>
      <c r="D2605" s="1362">
        <v>46172.959849537037</v>
      </c>
      <c r="E2605" s="892">
        <v>6.02</v>
      </c>
      <c r="F2605" s="408">
        <v>4.4999999999999998E-2</v>
      </c>
      <c r="G2605" s="579">
        <f t="shared" si="41"/>
        <v>6.3036649214659688</v>
      </c>
      <c r="H2605" s="526" t="s">
        <v>1666</v>
      </c>
      <c r="I2605" s="577" t="s">
        <v>2363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4" t="str">
        <f>LEFT(base[[#This Row],[Evento / Mercado]],FIND("/",base[[#This Row],[Evento / Mercado]])-2)</f>
        <v>Oakland Roots vs Colorado Springs Switchbacks FC</v>
      </c>
      <c r="T2605" s="1420">
        <f>base[[#This Row],[Data de liquidação]]</f>
        <v>46172.959849537037</v>
      </c>
    </row>
    <row r="2606" spans="2:20" ht="15" customHeight="1">
      <c r="B2606" s="799" t="s">
        <v>3089</v>
      </c>
      <c r="C2606" s="911" t="s">
        <v>3556</v>
      </c>
      <c r="D2606" s="1362">
        <v>46172.960300925923</v>
      </c>
      <c r="E2606" s="892">
        <v>4.3499999999999996</v>
      </c>
      <c r="F2606" s="408">
        <v>4.4999999999999998E-2</v>
      </c>
      <c r="G2606" s="579">
        <f t="shared" si="41"/>
        <v>4.5549738219895284</v>
      </c>
      <c r="H2606" s="526" t="s">
        <v>1666</v>
      </c>
      <c r="I2606" s="577" t="s">
        <v>1715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4" t="str">
        <f>LEFT(base[[#This Row],[Evento / Mercado]],FIND("/",base[[#This Row],[Evento / Mercado]])-2)</f>
        <v>Deportivo Toluca vs Tigres de la UANL</v>
      </c>
      <c r="T2606" s="1420">
        <f>base[[#This Row],[Data de liquidação]]</f>
        <v>46172.960300925923</v>
      </c>
    </row>
    <row r="2607" spans="2:20" ht="15" customHeight="1">
      <c r="B2607" s="799" t="s">
        <v>3088</v>
      </c>
      <c r="C2607" s="911" t="s">
        <v>3556</v>
      </c>
      <c r="D2607" s="1362">
        <v>46172.996527777781</v>
      </c>
      <c r="E2607" s="892">
        <v>6.82</v>
      </c>
      <c r="F2607" s="408">
        <v>4.4999999999999998E-2</v>
      </c>
      <c r="G2607" s="579">
        <f t="shared" si="41"/>
        <v>7.1413612565445028</v>
      </c>
      <c r="H2607" s="526" t="s">
        <v>1666</v>
      </c>
      <c r="I2607" s="577" t="s">
        <v>1717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4" t="str">
        <f>LEFT(base[[#This Row],[Evento / Mercado]],FIND("/",base[[#This Row],[Evento / Mercado]])-2)</f>
        <v>Universitario de Deportes vs Sport Huancayo</v>
      </c>
      <c r="T2607" s="1420">
        <f>base[[#This Row],[Data de liquidação]]</f>
        <v>46172.996527777781</v>
      </c>
    </row>
    <row r="2608" spans="2:20" ht="15" customHeight="1">
      <c r="B2608" s="799" t="s">
        <v>3166</v>
      </c>
      <c r="C2608" s="911" t="s">
        <v>3556</v>
      </c>
      <c r="D2608" s="1362">
        <v>46173.044525462959</v>
      </c>
      <c r="E2608" s="892">
        <v>-8.24</v>
      </c>
      <c r="F2608" s="408">
        <v>4.4999999999999998E-2</v>
      </c>
      <c r="G2608" s="579">
        <f t="shared" si="41"/>
        <v>-8.24</v>
      </c>
      <c r="H2608" s="526" t="s">
        <v>1666</v>
      </c>
      <c r="I2608" s="539" t="s">
        <v>1558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4" t="str">
        <f>LEFT(base[[#This Row],[Evento / Mercado]],FIND("/",base[[#This Row],[Evento / Mercado]])-2)</f>
        <v>Mexico vs Australia</v>
      </c>
      <c r="T2608" s="1420">
        <f>base[[#This Row],[Data de liquidação]]</f>
        <v>46173.044525462959</v>
      </c>
    </row>
    <row r="2609" spans="2:20" ht="15" customHeight="1">
      <c r="B2609" s="799" t="s">
        <v>3165</v>
      </c>
      <c r="C2609" s="911" t="s">
        <v>3556</v>
      </c>
      <c r="D2609" s="1362">
        <v>46173.402754629627</v>
      </c>
      <c r="E2609" s="892">
        <v>14.33</v>
      </c>
      <c r="F2609" s="408">
        <v>4.4999999999999998E-2</v>
      </c>
      <c r="G2609" s="579">
        <f t="shared" si="41"/>
        <v>15.005235602094242</v>
      </c>
      <c r="H2609" s="526" t="s">
        <v>1666</v>
      </c>
      <c r="I2609" s="539" t="s">
        <v>1558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4" t="str">
        <f>LEFT(base[[#This Row],[Evento / Mercado]],FIND("/",base[[#This Row],[Evento / Mercado]])-2)</f>
        <v>BK Häcken vs Hammarby IF</v>
      </c>
      <c r="T2609" s="1420">
        <f>base[[#This Row],[Data de liquidação]]</f>
        <v>46173.402754629627</v>
      </c>
    </row>
    <row r="2610" spans="2:20" ht="15" customHeight="1">
      <c r="B2610" s="799" t="s">
        <v>3164</v>
      </c>
      <c r="C2610" s="911" t="s">
        <v>3556</v>
      </c>
      <c r="D2610" s="1362">
        <v>46173.413946759261</v>
      </c>
      <c r="E2610" s="892">
        <v>12.57</v>
      </c>
      <c r="F2610" s="408">
        <v>4.4999999999999998E-2</v>
      </c>
      <c r="G2610" s="579">
        <f t="shared" si="41"/>
        <v>13.162303664921467</v>
      </c>
      <c r="H2610" s="526" t="s">
        <v>1666</v>
      </c>
      <c r="I2610" s="577" t="s">
        <v>1759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4" t="str">
        <f>LEFT(base[[#This Row],[Evento / Mercado]],FIND("/",base[[#This Row],[Evento / Mercado]])-2)</f>
        <v>Tianjin Jinmenhu vs Dalian Yingbo</v>
      </c>
      <c r="T2610" s="1420">
        <f>base[[#This Row],[Data de liquidação]]</f>
        <v>46173.413946759261</v>
      </c>
    </row>
    <row r="2611" spans="2:20" ht="15" customHeight="1">
      <c r="B2611" s="799" t="s">
        <v>3163</v>
      </c>
      <c r="C2611" s="911" t="s">
        <v>3556</v>
      </c>
      <c r="D2611" s="1362">
        <v>46173.413958333331</v>
      </c>
      <c r="E2611" s="892">
        <v>-5</v>
      </c>
      <c r="F2611" s="408">
        <v>4.4999999999999998E-2</v>
      </c>
      <c r="G2611" s="579">
        <f t="shared" si="41"/>
        <v>-5</v>
      </c>
      <c r="H2611" s="526" t="s">
        <v>1666</v>
      </c>
      <c r="I2611" s="577" t="s">
        <v>2883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4" t="str">
        <f>LEFT(base[[#This Row],[Evento / Mercado]],FIND("/",base[[#This Row],[Evento / Mercado]])-2)</f>
        <v>Tianjin Jinmenhu vs Dalian Yingbo</v>
      </c>
      <c r="T2611" s="1420">
        <f>base[[#This Row],[Data de liquidação]]</f>
        <v>46173.413958333331</v>
      </c>
    </row>
    <row r="2612" spans="2:20" ht="15" customHeight="1">
      <c r="B2612" s="799" t="s">
        <v>3162</v>
      </c>
      <c r="C2612" s="911" t="s">
        <v>3556</v>
      </c>
      <c r="D2612" s="1362">
        <v>46173.438472222224</v>
      </c>
      <c r="E2612" s="892">
        <v>5.31</v>
      </c>
      <c r="F2612" s="408">
        <v>4.4999999999999998E-2</v>
      </c>
      <c r="G2612" s="579">
        <f t="shared" si="41"/>
        <v>5.5602094240837694</v>
      </c>
      <c r="H2612" s="526" t="s">
        <v>1666</v>
      </c>
      <c r="I2612" s="577" t="s">
        <v>2951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4" t="str">
        <f>LEFT(base[[#This Row],[Evento / Mercado]],FIND("/",base[[#This Row],[Evento / Mercado]])-2)</f>
        <v>Wuhan Three Towns vs Yunnan Yukun</v>
      </c>
      <c r="T2612" s="1420">
        <f>base[[#This Row],[Data de liquidação]]</f>
        <v>46173.438472222224</v>
      </c>
    </row>
    <row r="2613" spans="2:20" ht="15" customHeight="1">
      <c r="B2613" s="799" t="s">
        <v>3161</v>
      </c>
      <c r="C2613" s="911" t="s">
        <v>3556</v>
      </c>
      <c r="D2613" s="1362">
        <v>46173.438784722224</v>
      </c>
      <c r="E2613" s="892">
        <v>3.98</v>
      </c>
      <c r="F2613" s="408">
        <v>4.4999999999999998E-2</v>
      </c>
      <c r="G2613" s="579">
        <f t="shared" si="41"/>
        <v>4.167539267015707</v>
      </c>
      <c r="H2613" s="526" t="s">
        <v>1666</v>
      </c>
      <c r="I2613" s="577" t="s">
        <v>1759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4" t="str">
        <f>LEFT(base[[#This Row],[Evento / Mercado]],FIND("/",base[[#This Row],[Evento / Mercado]])-2)</f>
        <v>Wuhan Three Towns vs Yunnan Yukun</v>
      </c>
      <c r="T2613" s="1420">
        <f>base[[#This Row],[Data de liquidação]]</f>
        <v>46173.438784722224</v>
      </c>
    </row>
    <row r="2614" spans="2:20" ht="15" customHeight="1">
      <c r="B2614" s="799" t="s">
        <v>3160</v>
      </c>
      <c r="C2614" s="911" t="s">
        <v>3556</v>
      </c>
      <c r="D2614" s="1362">
        <v>46173.441643518519</v>
      </c>
      <c r="E2614" s="892">
        <v>-5</v>
      </c>
      <c r="F2614" s="408">
        <v>4.4999999999999998E-2</v>
      </c>
      <c r="G2614" s="579">
        <f t="shared" si="41"/>
        <v>-5</v>
      </c>
      <c r="H2614" s="526" t="s">
        <v>1666</v>
      </c>
      <c r="I2614" s="577" t="s">
        <v>2952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4" t="str">
        <f>LEFT(base[[#This Row],[Evento / Mercado]],FIND("/",base[[#This Row],[Evento / Mercado]])-2)</f>
        <v>BK Häcken vs Hammarby IF</v>
      </c>
      <c r="T2614" s="1420">
        <f>base[[#This Row],[Data de liquidação]]</f>
        <v>46173.441643518519</v>
      </c>
    </row>
    <row r="2615" spans="2:20" ht="15" customHeight="1">
      <c r="B2615" s="799" t="s">
        <v>3159</v>
      </c>
      <c r="C2615" s="911" t="s">
        <v>3556</v>
      </c>
      <c r="D2615" s="1362">
        <v>46173.495844907404</v>
      </c>
      <c r="E2615" s="892">
        <v>14.33</v>
      </c>
      <c r="F2615" s="408">
        <v>4.4999999999999998E-2</v>
      </c>
      <c r="G2615" s="579">
        <f t="shared" si="41"/>
        <v>15.005235602094242</v>
      </c>
      <c r="H2615" s="526" t="s">
        <v>1666</v>
      </c>
      <c r="I2615" s="539" t="s">
        <v>1558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4" t="str">
        <f>LEFT(base[[#This Row],[Evento / Mercado]],FIND("/",base[[#This Row],[Evento / Mercado]])-2)</f>
        <v>Red Bull Bragantino vs SC Internacional</v>
      </c>
      <c r="T2615" s="1420">
        <f>base[[#This Row],[Data de liquidação]]</f>
        <v>46173.495844907404</v>
      </c>
    </row>
    <row r="2616" spans="2:20" ht="15" customHeight="1">
      <c r="B2616" s="799" t="s">
        <v>3158</v>
      </c>
      <c r="C2616" s="911" t="s">
        <v>3556</v>
      </c>
      <c r="D2616" s="1362">
        <v>46173.496006944442</v>
      </c>
      <c r="E2616" s="892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392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3338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4" t="str">
        <f>LEFT(base[[#This Row],[Evento / Mercado]],FIND("/",base[[#This Row],[Evento / Mercado]])-2)</f>
        <v>AC Horsens vs Kolding IF</v>
      </c>
      <c r="T2616" s="1420">
        <f>base[[#This Row],[Data de liquidação]]</f>
        <v>46173.496006944442</v>
      </c>
    </row>
    <row r="2617" spans="2:20" ht="15" customHeight="1">
      <c r="B2617" s="799" t="s">
        <v>3157</v>
      </c>
      <c r="C2617" s="911" t="s">
        <v>3556</v>
      </c>
      <c r="D2617" s="1362">
        <v>46173.580289351848</v>
      </c>
      <c r="E2617" s="892">
        <v>44</v>
      </c>
      <c r="F2617" s="408">
        <v>4.4999999999999998E-2</v>
      </c>
      <c r="G2617" s="579">
        <f t="shared" si="41"/>
        <v>46.073298429319372</v>
      </c>
      <c r="H2617" s="579" t="s">
        <v>179</v>
      </c>
      <c r="I2617" s="577" t="s">
        <v>392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3059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4" t="str">
        <f>LEFT(base[[#This Row],[Evento / Mercado]],FIND("/",base[[#This Row],[Evento / Mercado]])-2)</f>
        <v>Kongsvinger IL vs Åsane</v>
      </c>
      <c r="T2617" s="1420">
        <f>base[[#This Row],[Data de liquidação]]</f>
        <v>46173.580289351848</v>
      </c>
    </row>
    <row r="2618" spans="2:20" ht="15" customHeight="1">
      <c r="B2618" s="799" t="s">
        <v>3156</v>
      </c>
      <c r="C2618" s="911" t="s">
        <v>3556</v>
      </c>
      <c r="D2618" s="1362">
        <v>46173.592800925922</v>
      </c>
      <c r="E2618" s="892">
        <v>0.34</v>
      </c>
      <c r="F2618" s="408">
        <v>4.4999999999999998E-2</v>
      </c>
      <c r="G2618" s="579">
        <f t="shared" si="41"/>
        <v>0.35602094240837701</v>
      </c>
      <c r="H2618" s="526" t="s">
        <v>1666</v>
      </c>
      <c r="I2618" s="577" t="s">
        <v>2362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4" t="str">
        <f>LEFT(base[[#This Row],[Evento / Mercado]],FIND("/",base[[#This Row],[Evento / Mercado]])-2)</f>
        <v>CD Castellon vs SD Eibar</v>
      </c>
      <c r="T2618" s="1420">
        <f>base[[#This Row],[Data de liquidação]]</f>
        <v>46173.592800925922</v>
      </c>
    </row>
    <row r="2619" spans="2:20" ht="15" customHeight="1">
      <c r="B2619" s="799" t="s">
        <v>3155</v>
      </c>
      <c r="C2619" s="911" t="s">
        <v>3556</v>
      </c>
      <c r="D2619" s="1362">
        <v>46173.596273148149</v>
      </c>
      <c r="E2619" s="892">
        <v>-2</v>
      </c>
      <c r="F2619" s="408">
        <v>4.4999999999999998E-2</v>
      </c>
      <c r="G2619" s="579">
        <f t="shared" si="41"/>
        <v>-2</v>
      </c>
      <c r="H2619" s="526" t="s">
        <v>1666</v>
      </c>
      <c r="I2619" s="577" t="s">
        <v>1795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4" t="str">
        <f>LEFT(base[[#This Row],[Evento / Mercado]],FIND("/",base[[#This Row],[Evento / Mercado]])-2)</f>
        <v>UD Almería vs Real Valladolid</v>
      </c>
      <c r="T2619" s="1420">
        <f>base[[#This Row],[Data de liquidação]]</f>
        <v>46173.596273148149</v>
      </c>
    </row>
    <row r="2620" spans="2:20" ht="15" customHeight="1">
      <c r="B2620" s="799" t="s">
        <v>3154</v>
      </c>
      <c r="C2620" s="911" t="s">
        <v>3556</v>
      </c>
      <c r="D2620" s="1362">
        <v>46173.599004629628</v>
      </c>
      <c r="E2620" s="892">
        <v>-2</v>
      </c>
      <c r="F2620" s="408">
        <v>4.4999999999999998E-2</v>
      </c>
      <c r="G2620" s="579">
        <f t="shared" si="41"/>
        <v>-2</v>
      </c>
      <c r="H2620" s="526" t="s">
        <v>1666</v>
      </c>
      <c r="I2620" s="577" t="s">
        <v>2363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4" t="str">
        <f>LEFT(base[[#This Row],[Evento / Mercado]],FIND("/",base[[#This Row],[Evento / Mercado]])-2)</f>
        <v>FBC Melgar vs Alianza Atletico</v>
      </c>
      <c r="T2620" s="1420">
        <f>base[[#This Row],[Data de liquidação]]</f>
        <v>46173.599004629628</v>
      </c>
    </row>
    <row r="2621" spans="2:20" ht="15" customHeight="1">
      <c r="B2621" s="799" t="s">
        <v>3153</v>
      </c>
      <c r="C2621" s="911" t="s">
        <v>3556</v>
      </c>
      <c r="D2621" s="1362">
        <v>46173.616597222222</v>
      </c>
      <c r="E2621" s="892">
        <v>0.35</v>
      </c>
      <c r="F2621" s="408">
        <v>4.4999999999999998E-2</v>
      </c>
      <c r="G2621" s="579">
        <f t="shared" si="41"/>
        <v>0.36649214659685864</v>
      </c>
      <c r="H2621" s="526" t="s">
        <v>1666</v>
      </c>
      <c r="I2621" s="577" t="s">
        <v>2362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4" t="str">
        <f>LEFT(base[[#This Row],[Evento / Mercado]],FIND("/",base[[#This Row],[Evento / Mercado]])-2)</f>
        <v>UD Almería vs Real Valladolid</v>
      </c>
      <c r="T2621" s="1420">
        <f>base[[#This Row],[Data de liquidação]]</f>
        <v>46173.616597222222</v>
      </c>
    </row>
    <row r="2622" spans="2:20" ht="15" customHeight="1">
      <c r="B2622" s="799" t="s">
        <v>3152</v>
      </c>
      <c r="C2622" s="911" t="s">
        <v>3556</v>
      </c>
      <c r="D2622" s="1362">
        <v>46173.621458333335</v>
      </c>
      <c r="E2622" s="892">
        <v>6.2</v>
      </c>
      <c r="F2622" s="408">
        <v>4.4999999999999998E-2</v>
      </c>
      <c r="G2622" s="579">
        <f t="shared" si="41"/>
        <v>6.4921465968586389</v>
      </c>
      <c r="H2622" s="526" t="s">
        <v>1666</v>
      </c>
      <c r="I2622" s="577" t="s">
        <v>1777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4" t="str">
        <f>LEFT(base[[#This Row],[Evento / Mercado]],FIND("/",base[[#This Row],[Evento / Mercado]])-2)</f>
        <v>FBC Melgar vs Alianza Atletico</v>
      </c>
      <c r="T2622" s="1420">
        <f>base[[#This Row],[Data de liquidação]]</f>
        <v>46173.621458333335</v>
      </c>
    </row>
    <row r="2623" spans="2:20" ht="15" customHeight="1">
      <c r="B2623" s="799" t="s">
        <v>3151</v>
      </c>
      <c r="C2623" s="911" t="s">
        <v>3556</v>
      </c>
      <c r="D2623" s="1362">
        <v>46173.63003472222</v>
      </c>
      <c r="E2623" s="892">
        <v>-8.48</v>
      </c>
      <c r="F2623" s="408">
        <v>4.4999999999999998E-2</v>
      </c>
      <c r="G2623" s="579">
        <f t="shared" si="41"/>
        <v>-8.48</v>
      </c>
      <c r="H2623" s="526" t="s">
        <v>1666</v>
      </c>
      <c r="I2623" s="539" t="s">
        <v>1558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4" t="str">
        <f>LEFT(base[[#This Row],[Evento / Mercado]],FIND("/",base[[#This Row],[Evento / Mercado]])-2)</f>
        <v>Real Zaragoza vs Málaga</v>
      </c>
      <c r="T2623" s="1420">
        <f>base[[#This Row],[Data de liquidação]]</f>
        <v>46173.63003472222</v>
      </c>
    </row>
    <row r="2624" spans="2:20" ht="15" customHeight="1">
      <c r="B2624" s="799" t="s">
        <v>3150</v>
      </c>
      <c r="C2624" s="911" t="s">
        <v>3556</v>
      </c>
      <c r="D2624" s="1362">
        <v>46173.640601851854</v>
      </c>
      <c r="E2624" s="892">
        <v>40.32</v>
      </c>
      <c r="F2624" s="408">
        <v>4.4999999999999998E-2</v>
      </c>
      <c r="G2624" s="579">
        <f t="shared" si="41"/>
        <v>42.219895287958117</v>
      </c>
      <c r="H2624" s="579" t="s">
        <v>179</v>
      </c>
      <c r="I2624" s="577" t="s">
        <v>392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1215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4" t="str">
        <f>LEFT(base[[#This Row],[Evento / Mercado]],FIND("/",base[[#This Row],[Evento / Mercado]])-2)</f>
        <v>Racing Santander vs Cádiz</v>
      </c>
      <c r="T2624" s="1420">
        <f>base[[#This Row],[Data de liquidação]]</f>
        <v>46173.640601851854</v>
      </c>
    </row>
    <row r="2625" spans="2:20" ht="15" customHeight="1">
      <c r="B2625" s="799" t="s">
        <v>3149</v>
      </c>
      <c r="C2625" s="911" t="s">
        <v>3556</v>
      </c>
      <c r="D2625" s="1362">
        <v>46173.642372685186</v>
      </c>
      <c r="E2625" s="892">
        <v>3.08</v>
      </c>
      <c r="F2625" s="408">
        <v>4.4999999999999998E-2</v>
      </c>
      <c r="G2625" s="579">
        <f t="shared" si="41"/>
        <v>3.2251308900523563</v>
      </c>
      <c r="H2625" s="526" t="s">
        <v>1666</v>
      </c>
      <c r="I2625" s="577" t="s">
        <v>1759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4" t="str">
        <f>LEFT(base[[#This Row],[Evento / Mercado]],FIND("/",base[[#This Row],[Evento / Mercado]])-2)</f>
        <v>Burgos CF vs Andorra FC</v>
      </c>
      <c r="T2625" s="1420">
        <f>base[[#This Row],[Data de liquidação]]</f>
        <v>46173.642372685186</v>
      </c>
    </row>
    <row r="2626" spans="2:20" ht="15" customHeight="1">
      <c r="B2626" s="799" t="s">
        <v>3148</v>
      </c>
      <c r="C2626" s="911" t="s">
        <v>3556</v>
      </c>
      <c r="D2626" s="1362">
        <v>46173.644479166665</v>
      </c>
      <c r="E2626" s="892">
        <v>-5</v>
      </c>
      <c r="F2626" s="408">
        <v>4.4999999999999998E-2</v>
      </c>
      <c r="G2626" s="579">
        <f t="shared" si="41"/>
        <v>-5</v>
      </c>
      <c r="H2626" s="526" t="s">
        <v>1666</v>
      </c>
      <c r="I2626" s="577" t="s">
        <v>2883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4" t="str">
        <f>LEFT(base[[#This Row],[Evento / Mercado]],FIND("/",base[[#This Row],[Evento / Mercado]])-2)</f>
        <v>UD Almería vs Real Valladolid</v>
      </c>
      <c r="T2626" s="1420">
        <f>base[[#This Row],[Data de liquidação]]</f>
        <v>46173.644479166665</v>
      </c>
    </row>
    <row r="2627" spans="2:20" ht="15" customHeight="1">
      <c r="B2627" s="799" t="s">
        <v>3147</v>
      </c>
      <c r="C2627" s="911" t="s">
        <v>3556</v>
      </c>
      <c r="D2627" s="1362">
        <v>46173.644502314812</v>
      </c>
      <c r="E2627" s="892">
        <v>47.75</v>
      </c>
      <c r="F2627" s="408">
        <v>4.4999999999999998E-2</v>
      </c>
      <c r="G2627" s="579">
        <f t="shared" ref="G2627:G2690" si="42">IF(E2627&gt;0,E2627/(1-F2627),E2627)</f>
        <v>50</v>
      </c>
      <c r="H2627" s="579" t="s">
        <v>179</v>
      </c>
      <c r="I2627" s="577" t="s">
        <v>392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1215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4" t="str">
        <f>LEFT(base[[#This Row],[Evento / Mercado]],FIND("/",base[[#This Row],[Evento / Mercado]])-2)</f>
        <v>UD Almería vs Real Valladolid</v>
      </c>
      <c r="T2627" s="1420">
        <f>base[[#This Row],[Data de liquidação]]</f>
        <v>46173.644502314812</v>
      </c>
    </row>
    <row r="2628" spans="2:20" ht="15" customHeight="1">
      <c r="B2628" s="799" t="s">
        <v>3146</v>
      </c>
      <c r="C2628" s="911" t="s">
        <v>3556</v>
      </c>
      <c r="D2628" s="1362">
        <v>46173.703159722223</v>
      </c>
      <c r="E2628" s="892">
        <v>14.33</v>
      </c>
      <c r="F2628" s="408">
        <v>4.4999999999999998E-2</v>
      </c>
      <c r="G2628" s="579">
        <f t="shared" si="42"/>
        <v>15.005235602094242</v>
      </c>
      <c r="H2628" s="526" t="s">
        <v>1666</v>
      </c>
      <c r="I2628" s="539" t="s">
        <v>1558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4" t="str">
        <f>LEFT(base[[#This Row],[Evento / Mercado]],FIND("/",base[[#This Row],[Evento / Mercado]])-2)</f>
        <v>Germany vs Finland</v>
      </c>
      <c r="T2628" s="1420">
        <f>base[[#This Row],[Data de liquidação]]</f>
        <v>46173.703159722223</v>
      </c>
    </row>
    <row r="2629" spans="2:20" ht="15" customHeight="1">
      <c r="B2629" s="799" t="s">
        <v>3145</v>
      </c>
      <c r="C2629" s="911" t="s">
        <v>3556</v>
      </c>
      <c r="D2629" s="1362">
        <v>46173.748148148145</v>
      </c>
      <c r="E2629" s="892">
        <v>2.34</v>
      </c>
      <c r="F2629" s="408">
        <v>4.4999999999999998E-2</v>
      </c>
      <c r="G2629" s="579">
        <f t="shared" si="42"/>
        <v>2.4502617801047122</v>
      </c>
      <c r="H2629" s="526" t="s">
        <v>1666</v>
      </c>
      <c r="I2629" s="577" t="s">
        <v>1716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4" t="str">
        <f>LEFT(base[[#This Row],[Evento / Mercado]],FIND("/",base[[#This Row],[Evento / Mercado]])-2)</f>
        <v>Vasco da Gama vs Atlético Mineiro</v>
      </c>
      <c r="T2629" s="1420">
        <f>base[[#This Row],[Data de liquidação]]</f>
        <v>46173.748148148145</v>
      </c>
    </row>
    <row r="2630" spans="2:20" ht="15" customHeight="1">
      <c r="B2630" s="799" t="s">
        <v>3144</v>
      </c>
      <c r="C2630" s="911" t="s">
        <v>3556</v>
      </c>
      <c r="D2630" s="1362">
        <v>46173.749293981484</v>
      </c>
      <c r="E2630" s="892">
        <v>6.46</v>
      </c>
      <c r="F2630" s="408">
        <v>4.4999999999999998E-2</v>
      </c>
      <c r="G2630" s="579">
        <f t="shared" si="42"/>
        <v>6.7643979057591626</v>
      </c>
      <c r="H2630" s="526" t="s">
        <v>1666</v>
      </c>
      <c r="I2630" s="577" t="s">
        <v>2950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4" t="str">
        <f>LEFT(base[[#This Row],[Evento / Mercado]],FIND("/",base[[#This Row],[Evento / Mercado]])-2)</f>
        <v>Huachipato vs Universidad Católica</v>
      </c>
      <c r="T2630" s="1420">
        <f>base[[#This Row],[Data de liquidação]]</f>
        <v>46173.749293981484</v>
      </c>
    </row>
    <row r="2631" spans="2:20" ht="15" customHeight="1">
      <c r="B2631" s="799" t="s">
        <v>3143</v>
      </c>
      <c r="C2631" s="911" t="s">
        <v>3556</v>
      </c>
      <c r="D2631" s="1362">
        <v>46173.750937500001</v>
      </c>
      <c r="E2631" s="892">
        <v>2.87</v>
      </c>
      <c r="F2631" s="408">
        <v>4.4999999999999998E-2</v>
      </c>
      <c r="G2631" s="579">
        <f t="shared" si="42"/>
        <v>3.005235602094241</v>
      </c>
      <c r="H2631" s="526" t="s">
        <v>1666</v>
      </c>
      <c r="I2631" s="577" t="s">
        <v>1716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4" t="str">
        <f>LEFT(base[[#This Row],[Evento / Mercado]],FIND("/",base[[#This Row],[Evento / Mercado]])-2)</f>
        <v>Leganés vs Mirandés</v>
      </c>
      <c r="T2631" s="1420">
        <f>base[[#This Row],[Data de liquidação]]</f>
        <v>46173.750937500001</v>
      </c>
    </row>
    <row r="2632" spans="2:20" ht="15" customHeight="1">
      <c r="B2632" s="799" t="s">
        <v>3142</v>
      </c>
      <c r="C2632" s="911" t="s">
        <v>3556</v>
      </c>
      <c r="D2632" s="1362">
        <v>46173.757870370369</v>
      </c>
      <c r="E2632" s="892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627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1370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4" t="str">
        <f>LEFT(base[[#This Row],[Evento / Mercado]],FIND("/",base[[#This Row],[Evento / Mercado]])-2)</f>
        <v>Palmeiras vs Chapecoense</v>
      </c>
      <c r="T2632" s="1420">
        <f>base[[#This Row],[Data de liquidação]]</f>
        <v>46173.757870370369</v>
      </c>
    </row>
    <row r="2633" spans="2:20" ht="15" customHeight="1">
      <c r="B2633" s="799" t="s">
        <v>3141</v>
      </c>
      <c r="C2633" s="911" t="s">
        <v>3556</v>
      </c>
      <c r="D2633" s="1362">
        <v>46173.759062500001</v>
      </c>
      <c r="E2633" s="892">
        <v>34.56</v>
      </c>
      <c r="F2633" s="408">
        <v>4.4999999999999998E-2</v>
      </c>
      <c r="G2633" s="579">
        <f t="shared" si="42"/>
        <v>36.188481675392673</v>
      </c>
      <c r="H2633" s="579" t="s">
        <v>179</v>
      </c>
      <c r="I2633" s="577" t="s">
        <v>392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1370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4" t="str">
        <f>LEFT(base[[#This Row],[Evento / Mercado]],FIND("/",base[[#This Row],[Evento / Mercado]])-2)</f>
        <v>Palmeiras vs Chapecoense</v>
      </c>
      <c r="T2633" s="1420">
        <f>base[[#This Row],[Data de liquidação]]</f>
        <v>46173.759062500001</v>
      </c>
    </row>
    <row r="2634" spans="2:20" ht="15" customHeight="1">
      <c r="B2634" s="799" t="s">
        <v>3140</v>
      </c>
      <c r="C2634" s="911" t="s">
        <v>3556</v>
      </c>
      <c r="D2634" s="1362">
        <v>46173.816284722219</v>
      </c>
      <c r="E2634" s="892">
        <v>3.27</v>
      </c>
      <c r="F2634" s="408">
        <v>4.4999999999999998E-2</v>
      </c>
      <c r="G2634" s="579">
        <f t="shared" si="42"/>
        <v>3.424083769633508</v>
      </c>
      <c r="H2634" s="526" t="s">
        <v>1666</v>
      </c>
      <c r="I2634" s="577" t="s">
        <v>2883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4" t="str">
        <f>LEFT(base[[#This Row],[Evento / Mercado]],FIND("/",base[[#This Row],[Evento / Mercado]])-2)</f>
        <v>Cienciano del Cuzco vs Sporting Cristal</v>
      </c>
      <c r="T2634" s="1420">
        <f>base[[#This Row],[Data de liquidação]]</f>
        <v>46173.816284722219</v>
      </c>
    </row>
    <row r="2635" spans="2:20" ht="15" customHeight="1">
      <c r="B2635" s="799" t="s">
        <v>3139</v>
      </c>
      <c r="C2635" s="911" t="s">
        <v>3556</v>
      </c>
      <c r="D2635" s="1362">
        <v>46173.816296296296</v>
      </c>
      <c r="E2635" s="892">
        <v>14.33</v>
      </c>
      <c r="F2635" s="408">
        <v>4.4999999999999998E-2</v>
      </c>
      <c r="G2635" s="579">
        <f t="shared" si="42"/>
        <v>15.005235602094242</v>
      </c>
      <c r="H2635" s="526" t="s">
        <v>1666</v>
      </c>
      <c r="I2635" s="539" t="s">
        <v>1558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4" t="str">
        <f>LEFT(base[[#This Row],[Evento / Mercado]],FIND("/",base[[#This Row],[Evento / Mercado]])-2)</f>
        <v>Cienciano del Cuzco vs Sporting Cristal</v>
      </c>
      <c r="T2635" s="1420">
        <f>base[[#This Row],[Data de liquidação]]</f>
        <v>46173.816296296296</v>
      </c>
    </row>
    <row r="2636" spans="2:20" ht="15" customHeight="1">
      <c r="B2636" s="799" t="s">
        <v>3138</v>
      </c>
      <c r="C2636" s="911" t="s">
        <v>3556</v>
      </c>
      <c r="D2636" s="1362">
        <v>46173.850752314815</v>
      </c>
      <c r="E2636" s="892">
        <v>-5</v>
      </c>
      <c r="F2636" s="408">
        <v>4.4999999999999998E-2</v>
      </c>
      <c r="G2636" s="579">
        <f t="shared" si="42"/>
        <v>-5</v>
      </c>
      <c r="H2636" s="526" t="s">
        <v>1666</v>
      </c>
      <c r="I2636" s="577" t="s">
        <v>2883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4" t="str">
        <f>LEFT(base[[#This Row],[Evento / Mercado]],FIND("/",base[[#This Row],[Evento / Mercado]])-2)</f>
        <v>Cobreloa vs CSD Rangers</v>
      </c>
      <c r="T2636" s="1420">
        <f>base[[#This Row],[Data de liquidação]]</f>
        <v>46173.850752314815</v>
      </c>
    </row>
    <row r="2637" spans="2:20" ht="15" customHeight="1">
      <c r="B2637" s="799" t="s">
        <v>3137</v>
      </c>
      <c r="C2637" s="911" t="s">
        <v>3556</v>
      </c>
      <c r="D2637" s="1362">
        <v>46173.871412037035</v>
      </c>
      <c r="E2637" s="892">
        <v>1.51</v>
      </c>
      <c r="F2637" s="408">
        <v>4.4999999999999998E-2</v>
      </c>
      <c r="G2637" s="579">
        <f t="shared" si="42"/>
        <v>1.581151832460733</v>
      </c>
      <c r="H2637" s="526" t="s">
        <v>1666</v>
      </c>
      <c r="I2637" s="577" t="s">
        <v>1758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4" t="str">
        <f>LEFT(base[[#This Row],[Evento / Mercado]],FIND("/",base[[#This Row],[Evento / Mercado]])-2)</f>
        <v>Cienciano del Cuzco vs Sporting Cristal</v>
      </c>
      <c r="T2637" s="1420">
        <f>base[[#This Row],[Data de liquidação]]</f>
        <v>46173.871412037035</v>
      </c>
    </row>
    <row r="2638" spans="2:20" ht="15" customHeight="1">
      <c r="B2638" s="799" t="s">
        <v>3136</v>
      </c>
      <c r="C2638" s="911" t="s">
        <v>3556</v>
      </c>
      <c r="D2638" s="1362">
        <v>46173.871493055558</v>
      </c>
      <c r="E2638" s="892">
        <v>5.79</v>
      </c>
      <c r="F2638" s="408">
        <v>4.4999999999999998E-2</v>
      </c>
      <c r="G2638" s="579">
        <f t="shared" si="42"/>
        <v>6.0628272251308903</v>
      </c>
      <c r="H2638" s="526" t="s">
        <v>1666</v>
      </c>
      <c r="I2638" s="577" t="s">
        <v>1715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4" t="str">
        <f>LEFT(base[[#This Row],[Evento / Mercado]],FIND("/",base[[#This Row],[Evento / Mercado]])-2)</f>
        <v>Cienciano del Cuzco vs Sporting Cristal</v>
      </c>
      <c r="T2638" s="1420">
        <f>base[[#This Row],[Data de liquidação]]</f>
        <v>46173.871493055558</v>
      </c>
    </row>
    <row r="2639" spans="2:20" ht="15" customHeight="1">
      <c r="B2639" s="799" t="s">
        <v>3135</v>
      </c>
      <c r="C2639" s="911" t="s">
        <v>3556</v>
      </c>
      <c r="D2639" s="1362">
        <v>46173.884432870371</v>
      </c>
      <c r="E2639" s="892">
        <v>0.96</v>
      </c>
      <c r="F2639" s="408">
        <v>4.4999999999999998E-2</v>
      </c>
      <c r="G2639" s="579">
        <f t="shared" si="42"/>
        <v>1.0052356020942408</v>
      </c>
      <c r="H2639" s="526" t="s">
        <v>1666</v>
      </c>
      <c r="I2639" s="577" t="s">
        <v>2362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4" t="str">
        <f>LEFT(base[[#This Row],[Evento / Mercado]],FIND("/",base[[#This Row],[Evento / Mercado]])-2)</f>
        <v>Cruzeiro vs Fluminense FC</v>
      </c>
      <c r="T2639" s="1420">
        <f>base[[#This Row],[Data de liquidação]]</f>
        <v>46173.884432870371</v>
      </c>
    </row>
    <row r="2640" spans="2:20" ht="15" customHeight="1">
      <c r="B2640" s="799" t="s">
        <v>3134</v>
      </c>
      <c r="C2640" s="911" t="s">
        <v>3556</v>
      </c>
      <c r="D2640" s="1362">
        <v>46173.912766203706</v>
      </c>
      <c r="E2640" s="892">
        <v>4.97</v>
      </c>
      <c r="F2640" s="408">
        <v>4.4999999999999998E-2</v>
      </c>
      <c r="G2640" s="579">
        <f t="shared" si="42"/>
        <v>5.2041884816753923</v>
      </c>
      <c r="H2640" s="526" t="s">
        <v>1666</v>
      </c>
      <c r="I2640" s="577" t="s">
        <v>2301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4" t="str">
        <f>LEFT(base[[#This Row],[Evento / Mercado]],FIND("/",base[[#This Row],[Evento / Mercado]])-2)</f>
        <v>Emelec vs Universidad Católica del Ecuador</v>
      </c>
      <c r="T2640" s="1420">
        <f>base[[#This Row],[Data de liquidação]]</f>
        <v>46173.912766203706</v>
      </c>
    </row>
    <row r="2641" spans="2:20" ht="15" customHeight="1">
      <c r="B2641" s="799" t="s">
        <v>3133</v>
      </c>
      <c r="C2641" s="911" t="s">
        <v>3556</v>
      </c>
      <c r="D2641" s="1362">
        <v>46173.93509259259</v>
      </c>
      <c r="E2641" s="892">
        <v>0.82</v>
      </c>
      <c r="F2641" s="408">
        <v>4.4999999999999998E-2</v>
      </c>
      <c r="G2641" s="579">
        <f t="shared" si="42"/>
        <v>0.8586387434554974</v>
      </c>
      <c r="H2641" s="526" t="s">
        <v>1666</v>
      </c>
      <c r="I2641" s="577" t="s">
        <v>2362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4" t="str">
        <f>LEFT(base[[#This Row],[Evento / Mercado]],FIND("/",base[[#This Row],[Evento / Mercado]])-2)</f>
        <v>Clube do Remo vs São Paulo</v>
      </c>
      <c r="T2641" s="1420">
        <f>base[[#This Row],[Data de liquidação]]</f>
        <v>46173.93509259259</v>
      </c>
    </row>
    <row r="2642" spans="2:20" ht="15" customHeight="1">
      <c r="B2642" s="799" t="s">
        <v>3132</v>
      </c>
      <c r="C2642" s="911" t="s">
        <v>3556</v>
      </c>
      <c r="D2642" s="1362">
        <v>46173.936203703706</v>
      </c>
      <c r="E2642" s="892">
        <v>-5</v>
      </c>
      <c r="F2642" s="408">
        <v>4.4999999999999998E-2</v>
      </c>
      <c r="G2642" s="579">
        <f t="shared" si="42"/>
        <v>-5</v>
      </c>
      <c r="H2642" s="526" t="s">
        <v>1666</v>
      </c>
      <c r="I2642" s="577" t="s">
        <v>2883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4" t="str">
        <f>LEFT(base[[#This Row],[Evento / Mercado]],FIND("/",base[[#This Row],[Evento / Mercado]])-2)</f>
        <v>Clube do Remo vs São Paulo</v>
      </c>
      <c r="T2642" s="1420">
        <f>base[[#This Row],[Data de liquidação]]</f>
        <v>46173.936203703706</v>
      </c>
    </row>
    <row r="2643" spans="2:20" ht="15" customHeight="1">
      <c r="B2643" s="799" t="s">
        <v>3131</v>
      </c>
      <c r="C2643" s="911" t="s">
        <v>3556</v>
      </c>
      <c r="D2643" s="1362">
        <v>46173.937858796293</v>
      </c>
      <c r="E2643" s="892">
        <v>-2</v>
      </c>
      <c r="F2643" s="408">
        <v>4.4999999999999998E-2</v>
      </c>
      <c r="G2643" s="579">
        <f t="shared" si="42"/>
        <v>-2</v>
      </c>
      <c r="H2643" s="526" t="s">
        <v>1666</v>
      </c>
      <c r="I2643" s="577" t="s">
        <v>1758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4" t="str">
        <f>LEFT(base[[#This Row],[Evento / Mercado]],FIND("/",base[[#This Row],[Evento / Mercado]])-2)</f>
        <v>Cruzeiro vs Fluminense FC</v>
      </c>
      <c r="T2643" s="1420">
        <f>base[[#This Row],[Data de liquidação]]</f>
        <v>46173.937858796293</v>
      </c>
    </row>
    <row r="2644" spans="2:20" ht="15" customHeight="1">
      <c r="B2644" s="799" t="s">
        <v>3130</v>
      </c>
      <c r="C2644" s="911" t="s">
        <v>3556</v>
      </c>
      <c r="D2644" s="1362">
        <v>46173.956759259258</v>
      </c>
      <c r="E2644" s="892">
        <v>-2</v>
      </c>
      <c r="F2644" s="408">
        <v>4.4999999999999998E-2</v>
      </c>
      <c r="G2644" s="579">
        <f t="shared" si="42"/>
        <v>-2</v>
      </c>
      <c r="H2644" s="526" t="s">
        <v>1666</v>
      </c>
      <c r="I2644" s="577" t="s">
        <v>1760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4" t="str">
        <f>LEFT(base[[#This Row],[Evento / Mercado]],FIND("/",base[[#This Row],[Evento / Mercado]])-2)</f>
        <v>Palestino vs Audax Italiano</v>
      </c>
      <c r="T2644" s="1420">
        <f>base[[#This Row],[Data de liquidação]]</f>
        <v>46173.956759259258</v>
      </c>
    </row>
    <row r="2645" spans="2:20" ht="15" customHeight="1">
      <c r="B2645" s="800" t="s">
        <v>3181</v>
      </c>
      <c r="C2645" s="911" t="s">
        <v>3556</v>
      </c>
      <c r="D2645" s="1363">
        <v>46174.873194444444</v>
      </c>
      <c r="E2645" s="893">
        <v>-2</v>
      </c>
      <c r="F2645" s="408">
        <v>4.4999999999999998E-2</v>
      </c>
      <c r="G2645" s="588">
        <f t="shared" si="42"/>
        <v>-2</v>
      </c>
      <c r="H2645" s="526" t="s">
        <v>1666</v>
      </c>
      <c r="I2645" s="577" t="s">
        <v>1760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4" t="str">
        <f>LEFT(base[[#This Row],[Evento / Mercado]],FIND("/",base[[#This Row],[Evento / Mercado]])-2)</f>
        <v>Atlética Ponte Preta vs Botafogo SP</v>
      </c>
      <c r="T2645" s="1420">
        <f>base[[#This Row],[Data de liquidação]]</f>
        <v>46174.873194444444</v>
      </c>
    </row>
    <row r="2646" spans="2:20" ht="15" customHeight="1">
      <c r="B2646" s="800" t="s">
        <v>3180</v>
      </c>
      <c r="C2646" s="911" t="s">
        <v>3556</v>
      </c>
      <c r="D2646" s="1363">
        <v>46174.885567129626</v>
      </c>
      <c r="E2646" s="893">
        <v>3.82</v>
      </c>
      <c r="F2646" s="408">
        <v>4.4999999999999998E-2</v>
      </c>
      <c r="G2646" s="588">
        <f t="shared" si="42"/>
        <v>4</v>
      </c>
      <c r="H2646" s="526" t="s">
        <v>1666</v>
      </c>
      <c r="I2646" s="586" t="s">
        <v>2883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4" t="str">
        <f>LEFT(base[[#This Row],[Evento / Mercado]],FIND("/",base[[#This Row],[Evento / Mercado]])-2)</f>
        <v>Club Deportes Santa Cruz vs Deportes Copiapó</v>
      </c>
      <c r="T2646" s="1420">
        <f>base[[#This Row],[Data de liquidação]]</f>
        <v>46174.885567129626</v>
      </c>
    </row>
    <row r="2647" spans="2:20" ht="15" customHeight="1">
      <c r="B2647" s="800" t="s">
        <v>3179</v>
      </c>
      <c r="C2647" s="911" t="s">
        <v>3556</v>
      </c>
      <c r="D2647" s="1363">
        <v>46174.959363425929</v>
      </c>
      <c r="E2647" s="893">
        <v>0.43</v>
      </c>
      <c r="F2647" s="408">
        <v>4.4999999999999998E-2</v>
      </c>
      <c r="G2647" s="588">
        <f t="shared" si="42"/>
        <v>0.45026178010471207</v>
      </c>
      <c r="H2647" s="526" t="s">
        <v>1666</v>
      </c>
      <c r="I2647" s="586" t="s">
        <v>2952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4" t="str">
        <f>LEFT(base[[#This Row],[Evento / Mercado]],FIND("/",base[[#This Row],[Evento / Mercado]])-2)</f>
        <v>Universitario de Vinto vs Club Aurora</v>
      </c>
      <c r="T2647" s="1420">
        <f>base[[#This Row],[Data de liquidação]]</f>
        <v>46174.959363425929</v>
      </c>
    </row>
    <row r="2648" spans="2:20" ht="15" customHeight="1">
      <c r="B2648" s="801" t="s">
        <v>3187</v>
      </c>
      <c r="C2648" s="911" t="s">
        <v>3556</v>
      </c>
      <c r="D2648" s="1364">
        <v>46175.623518518521</v>
      </c>
      <c r="E2648" s="894">
        <v>38.200000000000003</v>
      </c>
      <c r="F2648" s="408">
        <v>4.4999999999999998E-2</v>
      </c>
      <c r="G2648" s="597">
        <f t="shared" si="42"/>
        <v>40.000000000000007</v>
      </c>
      <c r="H2648" s="597" t="s">
        <v>3188</v>
      </c>
      <c r="I2648" s="595" t="s">
        <v>1572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4" t="str">
        <f>LEFT(base[[#This Row],[Evento / Mercado]],FIND("/",base[[#This Row],[Evento / Mercado]])-2)</f>
        <v>Croatia vs Belgium</v>
      </c>
      <c r="T2648" s="1420">
        <f>base[[#This Row],[Data de liquidação]]</f>
        <v>46175.623518518521</v>
      </c>
    </row>
    <row r="2649" spans="2:20" ht="15" customHeight="1">
      <c r="B2649" s="801" t="s">
        <v>3186</v>
      </c>
      <c r="C2649" s="911" t="s">
        <v>3556</v>
      </c>
      <c r="D2649" s="1364">
        <v>46175.623726851853</v>
      </c>
      <c r="E2649" s="894">
        <v>-5</v>
      </c>
      <c r="F2649" s="408">
        <v>4.4999999999999998E-2</v>
      </c>
      <c r="G2649" s="597">
        <f t="shared" si="42"/>
        <v>-5</v>
      </c>
      <c r="H2649" s="526" t="s">
        <v>1666</v>
      </c>
      <c r="I2649" s="586" t="s">
        <v>2883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4" t="str">
        <f>LEFT(base[[#This Row],[Evento / Mercado]],FIND("/",base[[#This Row],[Evento / Mercado]])-2)</f>
        <v>Croatia vs Belgium</v>
      </c>
      <c r="T2649" s="1420">
        <f>base[[#This Row],[Data de liquidação]]</f>
        <v>46175.623726851853</v>
      </c>
    </row>
    <row r="2650" spans="2:20" ht="15" customHeight="1">
      <c r="B2650" s="801" t="s">
        <v>3185</v>
      </c>
      <c r="C2650" s="911" t="s">
        <v>3556</v>
      </c>
      <c r="D2650" s="1364">
        <v>46175.73709490741</v>
      </c>
      <c r="E2650" s="894">
        <v>4.78</v>
      </c>
      <c r="F2650" s="408">
        <v>4.4999999999999998E-2</v>
      </c>
      <c r="G2650" s="597">
        <f t="shared" si="42"/>
        <v>5.005235602094241</v>
      </c>
      <c r="H2650" s="526" t="s">
        <v>1666</v>
      </c>
      <c r="I2650" s="586" t="s">
        <v>2883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4" t="str">
        <f>LEFT(base[[#This Row],[Evento / Mercado]],FIND("/",base[[#This Row],[Evento / Mercado]])-2)</f>
        <v>Wales vs Ghana</v>
      </c>
      <c r="T2650" s="1420">
        <f>base[[#This Row],[Data de liquidação]]</f>
        <v>46175.73709490741</v>
      </c>
    </row>
    <row r="2651" spans="2:20" ht="15" customHeight="1">
      <c r="B2651" s="802" t="s">
        <v>3208</v>
      </c>
      <c r="C2651" s="911" t="s">
        <v>3556</v>
      </c>
      <c r="D2651" s="1365">
        <v>46177.622361111113</v>
      </c>
      <c r="E2651" s="895">
        <v>7.96</v>
      </c>
      <c r="F2651" s="408">
        <v>4.4999999999999998E-2</v>
      </c>
      <c r="G2651" s="601">
        <f t="shared" si="42"/>
        <v>8.335078534031414</v>
      </c>
      <c r="H2651" s="526" t="s">
        <v>1666</v>
      </c>
      <c r="I2651" s="599" t="s">
        <v>1777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4" t="str">
        <f>LEFT(base[[#This Row],[Evento / Mercado]],FIND("/",base[[#This Row],[Evento / Mercado]])-2)</f>
        <v>Slovenia vs Cyprus</v>
      </c>
      <c r="T2651" s="1420">
        <f>base[[#This Row],[Data de liquidação]]</f>
        <v>46177.622361111113</v>
      </c>
    </row>
    <row r="2652" spans="2:20" ht="15" customHeight="1">
      <c r="B2652" s="802" t="s">
        <v>3207</v>
      </c>
      <c r="C2652" s="911" t="s">
        <v>3556</v>
      </c>
      <c r="D2652" s="1365">
        <v>46177.63480324074</v>
      </c>
      <c r="E2652" s="895">
        <v>-8.18</v>
      </c>
      <c r="F2652" s="408">
        <v>4.4999999999999998E-2</v>
      </c>
      <c r="G2652" s="601">
        <f t="shared" si="42"/>
        <v>-8.18</v>
      </c>
      <c r="H2652" s="526" t="s">
        <v>1666</v>
      </c>
      <c r="I2652" s="539" t="s">
        <v>1558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4" t="str">
        <f>LEFT(base[[#This Row],[Evento / Mercado]],FIND("/",base[[#This Row],[Evento / Mercado]])-2)</f>
        <v>Sweden vs Greece</v>
      </c>
      <c r="T2652" s="1420">
        <f>base[[#This Row],[Data de liquidação]]</f>
        <v>46177.63480324074</v>
      </c>
    </row>
    <row r="2653" spans="2:20" ht="15" customHeight="1">
      <c r="B2653" s="802" t="s">
        <v>3206</v>
      </c>
      <c r="C2653" s="911" t="s">
        <v>3556</v>
      </c>
      <c r="D2653" s="1365">
        <v>46177.64675925926</v>
      </c>
      <c r="E2653" s="895">
        <v>38.200000000000003</v>
      </c>
      <c r="F2653" s="408">
        <v>4.4999999999999998E-2</v>
      </c>
      <c r="G2653" s="601">
        <f t="shared" si="42"/>
        <v>40.000000000000007</v>
      </c>
      <c r="H2653" s="597" t="s">
        <v>3188</v>
      </c>
      <c r="I2653" s="599" t="s">
        <v>498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4" t="str">
        <f>LEFT(base[[#This Row],[Evento / Mercado]],FIND("/",base[[#This Row],[Evento / Mercado]])-2)</f>
        <v>Andorra vs Liechtenstein</v>
      </c>
      <c r="T2653" s="1420">
        <f>base[[#This Row],[Data de liquidação]]</f>
        <v>46177.64675925926</v>
      </c>
    </row>
    <row r="2654" spans="2:20" ht="15" customHeight="1">
      <c r="B2654" s="802" t="s">
        <v>3205</v>
      </c>
      <c r="C2654" s="911" t="s">
        <v>3556</v>
      </c>
      <c r="D2654" s="1365">
        <v>46178.038101851853</v>
      </c>
      <c r="E2654" s="895">
        <v>4.55</v>
      </c>
      <c r="F2654" s="408">
        <v>4.4999999999999998E-2</v>
      </c>
      <c r="G2654" s="601">
        <f t="shared" si="42"/>
        <v>4.7643979057591626</v>
      </c>
      <c r="H2654" s="526" t="s">
        <v>1666</v>
      </c>
      <c r="I2654" s="599" t="s">
        <v>1717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4" t="str">
        <f>LEFT(base[[#This Row],[Evento / Mercado]],FIND("/",base[[#This Row],[Evento / Mercado]])-2)</f>
        <v>Mexico vs Serbia</v>
      </c>
      <c r="T2654" s="1420">
        <f>base[[#This Row],[Data de liquidação]]</f>
        <v>46178.038101851853</v>
      </c>
    </row>
    <row r="2655" spans="2:20" ht="15" customHeight="1">
      <c r="B2655" s="802" t="s">
        <v>3204</v>
      </c>
      <c r="C2655" s="911" t="s">
        <v>3556</v>
      </c>
      <c r="D2655" s="1365">
        <v>46178.399976851855</v>
      </c>
      <c r="E2655" s="895">
        <v>12.32</v>
      </c>
      <c r="F2655" s="408">
        <v>4.4999999999999998E-2</v>
      </c>
      <c r="G2655" s="601">
        <f t="shared" si="42"/>
        <v>12.900523560209425</v>
      </c>
      <c r="H2655" s="635" t="s">
        <v>3334</v>
      </c>
      <c r="I2655" s="599" t="s">
        <v>627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4" t="str">
        <f>LEFT(base[[#This Row],[Evento / Mercado]],FIND("/",base[[#This Row],[Evento / Mercado]])-2)</f>
        <v>Daegu FC vs Paju Citizen FC</v>
      </c>
      <c r="T2655" s="1420">
        <f>base[[#This Row],[Data de liquidação]]</f>
        <v>46178.399976851855</v>
      </c>
    </row>
    <row r="2656" spans="2:20" ht="15" customHeight="1">
      <c r="B2656" s="802" t="s">
        <v>3203</v>
      </c>
      <c r="C2656" s="911" t="s">
        <v>3556</v>
      </c>
      <c r="D2656" s="1365">
        <v>46178.64571759259</v>
      </c>
      <c r="E2656" s="895">
        <v>14.33</v>
      </c>
      <c r="F2656" s="408">
        <v>4.4999999999999998E-2</v>
      </c>
      <c r="G2656" s="601">
        <f t="shared" si="42"/>
        <v>15.005235602094242</v>
      </c>
      <c r="H2656" s="526" t="s">
        <v>1666</v>
      </c>
      <c r="I2656" s="539" t="s">
        <v>1558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4" t="str">
        <f>LEFT(base[[#This Row],[Evento / Mercado]],FIND("/",base[[#This Row],[Evento / Mercado]])-2)</f>
        <v>Hungary vs Finland</v>
      </c>
      <c r="T2656" s="1420">
        <f>base[[#This Row],[Data de liquidação]]</f>
        <v>46178.64571759259</v>
      </c>
    </row>
    <row r="2657" spans="2:20" ht="15" customHeight="1">
      <c r="B2657" s="802" t="s">
        <v>3202</v>
      </c>
      <c r="C2657" s="911" t="s">
        <v>3556</v>
      </c>
      <c r="D2657" s="1365">
        <v>46178.746458333335</v>
      </c>
      <c r="E2657" s="895">
        <v>-15</v>
      </c>
      <c r="F2657" s="408">
        <v>4.4999999999999998E-2</v>
      </c>
      <c r="G2657" s="601">
        <f t="shared" si="42"/>
        <v>-15</v>
      </c>
      <c r="H2657" s="526" t="s">
        <v>1666</v>
      </c>
      <c r="I2657" s="599" t="s">
        <v>2301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4" t="str">
        <f>LEFT(base[[#This Row],[Evento / Mercado]],FIND("/",base[[#This Row],[Evento / Mercado]])-2)</f>
        <v>JS Kabylie vs CR Belouizdad</v>
      </c>
      <c r="T2657" s="1420">
        <f>base[[#This Row],[Data de liquidação]]</f>
        <v>46178.746458333335</v>
      </c>
    </row>
    <row r="2658" spans="2:20" ht="15" customHeight="1">
      <c r="B2658" s="802" t="s">
        <v>3201</v>
      </c>
      <c r="C2658" s="911" t="s">
        <v>3556</v>
      </c>
      <c r="D2658" s="1365">
        <v>46178.954583333332</v>
      </c>
      <c r="E2658" s="895">
        <v>-125.62</v>
      </c>
      <c r="F2658" s="408">
        <v>4.4999999999999998E-2</v>
      </c>
      <c r="G2658" s="601">
        <f t="shared" si="42"/>
        <v>-125.62</v>
      </c>
      <c r="H2658" s="526" t="s">
        <v>1666</v>
      </c>
      <c r="I2658" s="599" t="s">
        <v>1759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4" t="str">
        <f>LEFT(base[[#This Row],[Evento / Mercado]],FIND("/",base[[#This Row],[Evento / Mercado]])-2)</f>
        <v>Haiti vs Peru</v>
      </c>
      <c r="T2658" s="1420">
        <f>base[[#This Row],[Data de liquidação]]</f>
        <v>46178.954583333332</v>
      </c>
    </row>
    <row r="2659" spans="2:20" ht="15" customHeight="1">
      <c r="B2659" s="802" t="s">
        <v>3200</v>
      </c>
      <c r="C2659" s="911" t="s">
        <v>3556</v>
      </c>
      <c r="D2659" s="1365">
        <v>46179.467962962961</v>
      </c>
      <c r="E2659" s="895">
        <v>-11.04</v>
      </c>
      <c r="F2659" s="408">
        <v>4.4999999999999998E-2</v>
      </c>
      <c r="G2659" s="601">
        <f t="shared" si="42"/>
        <v>-11.04</v>
      </c>
      <c r="H2659" s="526" t="s">
        <v>1666</v>
      </c>
      <c r="I2659" s="539" t="s">
        <v>1558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4" t="str">
        <f>LEFT(base[[#This Row],[Evento / Mercado]],FIND("/",base[[#This Row],[Evento / Mercado]])-2)</f>
        <v>Belgium vs Tunisia</v>
      </c>
      <c r="T2659" s="1420">
        <f>base[[#This Row],[Data de liquidação]]</f>
        <v>46179.467962962961</v>
      </c>
    </row>
    <row r="2660" spans="2:20" ht="15" customHeight="1">
      <c r="B2660" s="802" t="s">
        <v>3199</v>
      </c>
      <c r="C2660" s="911" t="s">
        <v>3556</v>
      </c>
      <c r="D2660" s="1365">
        <v>46179.539074074077</v>
      </c>
      <c r="E2660" s="895">
        <v>40.340000000000003</v>
      </c>
      <c r="F2660" s="408">
        <v>4.4999999999999998E-2</v>
      </c>
      <c r="G2660" s="601">
        <f t="shared" si="42"/>
        <v>42.240837696335085</v>
      </c>
      <c r="H2660" s="601" t="s">
        <v>3209</v>
      </c>
      <c r="I2660" s="599" t="s">
        <v>3210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4" t="str">
        <f>LEFT(base[[#This Row],[Evento / Mercado]],FIND("/",base[[#This Row],[Evento / Mercado]])-2)</f>
        <v>Criciúma EC vs Londrina</v>
      </c>
      <c r="T2660" s="1420">
        <f>base[[#This Row],[Data de liquidação]]</f>
        <v>46179.539074074077</v>
      </c>
    </row>
    <row r="2661" spans="2:20" ht="15" customHeight="1">
      <c r="B2661" s="802" t="s">
        <v>3198</v>
      </c>
      <c r="C2661" s="911" t="s">
        <v>3556</v>
      </c>
      <c r="D2661" s="1365">
        <v>46179.599560185183</v>
      </c>
      <c r="E2661" s="895">
        <v>7.88</v>
      </c>
      <c r="F2661" s="408">
        <v>4.4999999999999998E-2</v>
      </c>
      <c r="G2661" s="601">
        <f t="shared" si="42"/>
        <v>8.2513089005235596</v>
      </c>
      <c r="H2661" s="526" t="s">
        <v>1666</v>
      </c>
      <c r="I2661" s="599" t="s">
        <v>2301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4" t="str">
        <f>LEFT(base[[#This Row],[Evento / Mercado]],FIND("/",base[[#This Row],[Evento / Mercado]])-2)</f>
        <v>Olympique Akbou vs ES Ben Aknoun</v>
      </c>
      <c r="T2661" s="1420">
        <f>base[[#This Row],[Data de liquidação]]</f>
        <v>46179.599560185183</v>
      </c>
    </row>
    <row r="2662" spans="2:20" ht="15" customHeight="1">
      <c r="B2662" s="802" t="s">
        <v>3197</v>
      </c>
      <c r="C2662" s="911" t="s">
        <v>3556</v>
      </c>
      <c r="D2662" s="1365">
        <v>46179.677418981482</v>
      </c>
      <c r="E2662" s="895">
        <v>2.46</v>
      </c>
      <c r="F2662" s="408">
        <v>4.4999999999999998E-2</v>
      </c>
      <c r="G2662" s="601">
        <f t="shared" si="42"/>
        <v>2.5759162303664924</v>
      </c>
      <c r="H2662" s="526" t="s">
        <v>1666</v>
      </c>
      <c r="I2662" s="599" t="s">
        <v>2883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4" t="str">
        <f>LEFT(base[[#This Row],[Evento / Mercado]],FIND("/",base[[#This Row],[Evento / Mercado]])-2)</f>
        <v>USA vs Germany</v>
      </c>
      <c r="T2662" s="1420">
        <f>base[[#This Row],[Data de liquidação]]</f>
        <v>46179.677418981482</v>
      </c>
    </row>
    <row r="2663" spans="2:20" ht="15" customHeight="1">
      <c r="B2663" s="802" t="s">
        <v>3196</v>
      </c>
      <c r="C2663" s="911" t="s">
        <v>3556</v>
      </c>
      <c r="D2663" s="1365">
        <v>46179.934074074074</v>
      </c>
      <c r="E2663" s="895">
        <v>-4.5</v>
      </c>
      <c r="F2663" s="408">
        <v>4.4999999999999998E-2</v>
      </c>
      <c r="G2663" s="601">
        <f t="shared" si="42"/>
        <v>-4.5</v>
      </c>
      <c r="H2663" s="526" t="s">
        <v>1666</v>
      </c>
      <c r="I2663" s="539" t="s">
        <v>1558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4" t="str">
        <f>LEFT(base[[#This Row],[Evento / Mercado]],FIND("/",base[[#This Row],[Evento / Mercado]])-2)</f>
        <v>Argentina vs Honduras</v>
      </c>
      <c r="T2663" s="1420">
        <f>base[[#This Row],[Data de liquidação]]</f>
        <v>46179.934074074074</v>
      </c>
    </row>
    <row r="2664" spans="2:20" ht="15" customHeight="1">
      <c r="B2664" s="802" t="s">
        <v>3195</v>
      </c>
      <c r="C2664" s="911" t="s">
        <v>3556</v>
      </c>
      <c r="D2664" s="1365">
        <v>46180.494351851848</v>
      </c>
      <c r="E2664" s="895">
        <v>-6.95</v>
      </c>
      <c r="F2664" s="408">
        <v>4.4999999999999998E-2</v>
      </c>
      <c r="G2664" s="601">
        <f t="shared" si="42"/>
        <v>-6.95</v>
      </c>
      <c r="H2664" s="526" t="s">
        <v>1666</v>
      </c>
      <c r="I2664" s="539" t="s">
        <v>1558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4" t="str">
        <f>LEFT(base[[#This Row],[Evento / Mercado]],FIND("/",base[[#This Row],[Evento / Mercado]])-2)</f>
        <v>Liechtenstein vs Cyprus</v>
      </c>
      <c r="T2664" s="1420">
        <f>base[[#This Row],[Data de liquidação]]</f>
        <v>46180.494351851848</v>
      </c>
    </row>
    <row r="2665" spans="2:20" ht="15" customHeight="1">
      <c r="B2665" s="802" t="s">
        <v>3194</v>
      </c>
      <c r="C2665" s="911" t="s">
        <v>3556</v>
      </c>
      <c r="D2665" s="1365">
        <v>46180.581863425927</v>
      </c>
      <c r="E2665" s="895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392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3059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4" t="str">
        <f>LEFT(base[[#This Row],[Evento / Mercado]],FIND("/",base[[#This Row],[Evento / Mercado]])-2)</f>
        <v>Ranheim vs Strømmen</v>
      </c>
      <c r="T2665" s="1420">
        <f>base[[#This Row],[Data de liquidação]]</f>
        <v>46180.581863425927</v>
      </c>
    </row>
    <row r="2666" spans="2:20" ht="15" customHeight="1">
      <c r="B2666" s="802" t="s">
        <v>3193</v>
      </c>
      <c r="C2666" s="911" t="s">
        <v>3556</v>
      </c>
      <c r="D2666" s="1365">
        <v>46180.750208333331</v>
      </c>
      <c r="E2666" s="895">
        <v>8.49</v>
      </c>
      <c r="F2666" s="408">
        <v>4.4999999999999998E-2</v>
      </c>
      <c r="G2666" s="601">
        <f t="shared" si="42"/>
        <v>8.8900523560209432</v>
      </c>
      <c r="H2666" s="526" t="s">
        <v>1666</v>
      </c>
      <c r="I2666" s="599" t="s">
        <v>1759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4" t="str">
        <f>LEFT(base[[#This Row],[Evento / Mercado]],FIND("/",base[[#This Row],[Evento / Mercado]])-2)</f>
        <v>Morocco vs Norway</v>
      </c>
      <c r="T2666" s="1420">
        <f>base[[#This Row],[Data de liquidação]]</f>
        <v>46180.750208333331</v>
      </c>
    </row>
    <row r="2667" spans="2:20" ht="15" customHeight="1">
      <c r="B2667" s="802" t="s">
        <v>3192</v>
      </c>
      <c r="C2667" s="911" t="s">
        <v>3556</v>
      </c>
      <c r="D2667" s="1365">
        <v>46180.752916666665</v>
      </c>
      <c r="E2667" s="895">
        <v>-99.99</v>
      </c>
      <c r="F2667" s="408">
        <v>4.4999999999999998E-2</v>
      </c>
      <c r="G2667" s="601">
        <f t="shared" si="42"/>
        <v>-99.99</v>
      </c>
      <c r="H2667" s="601" t="s">
        <v>3209</v>
      </c>
      <c r="I2667" s="599" t="s">
        <v>3211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4" t="str">
        <f>LEFT(base[[#This Row],[Evento / Mercado]],FIND("/",base[[#This Row],[Evento / Mercado]])-2)</f>
        <v>CRB vs São Bernardo FC</v>
      </c>
      <c r="T2667" s="1420">
        <f>base[[#This Row],[Data de liquidação]]</f>
        <v>46180.752916666665</v>
      </c>
    </row>
    <row r="2668" spans="2:20" ht="15" customHeight="1">
      <c r="B2668" s="802" t="s">
        <v>3192</v>
      </c>
      <c r="C2668" s="911" t="s">
        <v>3556</v>
      </c>
      <c r="D2668" s="1365">
        <v>46180.752916666665</v>
      </c>
      <c r="E2668" s="895">
        <v>4.8</v>
      </c>
      <c r="F2668" s="408">
        <v>4.4999999999999998E-2</v>
      </c>
      <c r="G2668" s="601">
        <f t="shared" si="42"/>
        <v>5.0261780104712042</v>
      </c>
      <c r="H2668" s="526" t="s">
        <v>1666</v>
      </c>
      <c r="I2668" s="599" t="s">
        <v>1715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4" t="str">
        <f>LEFT(base[[#This Row],[Evento / Mercado]],FIND("/",base[[#This Row],[Evento / Mercado]])-2)</f>
        <v>CRB vs São Bernardo FC</v>
      </c>
      <c r="T2668" s="1420">
        <f>base[[#This Row],[Data de liquidação]]</f>
        <v>46180.752916666665</v>
      </c>
    </row>
    <row r="2669" spans="2:20" ht="15" customHeight="1">
      <c r="B2669" s="802" t="s">
        <v>3191</v>
      </c>
      <c r="C2669" s="911" t="s">
        <v>3556</v>
      </c>
      <c r="D2669" s="1365">
        <v>46180.768831018519</v>
      </c>
      <c r="E2669" s="895">
        <v>-5</v>
      </c>
      <c r="F2669" s="408">
        <v>4.4999999999999998E-2</v>
      </c>
      <c r="G2669" s="601">
        <f t="shared" si="42"/>
        <v>-5</v>
      </c>
      <c r="H2669" s="526" t="s">
        <v>1666</v>
      </c>
      <c r="I2669" s="599" t="s">
        <v>2883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4" t="str">
        <f>LEFT(base[[#This Row],[Evento / Mercado]],FIND("/",base[[#This Row],[Evento / Mercado]])-2)</f>
        <v>Antofagasta vs Magallanes</v>
      </c>
      <c r="T2669" s="1420">
        <f>base[[#This Row],[Data de liquidação]]</f>
        <v>46180.768831018519</v>
      </c>
    </row>
    <row r="2670" spans="2:20" ht="15" customHeight="1">
      <c r="B2670" s="802" t="s">
        <v>3190</v>
      </c>
      <c r="C2670" s="911" t="s">
        <v>3556</v>
      </c>
      <c r="D2670" s="1365">
        <v>46180.797997685186</v>
      </c>
      <c r="E2670" s="895">
        <v>-5.18</v>
      </c>
      <c r="F2670" s="408">
        <v>4.4999999999999998E-2</v>
      </c>
      <c r="G2670" s="601">
        <f t="shared" si="42"/>
        <v>-5.18</v>
      </c>
      <c r="H2670" s="526" t="s">
        <v>1666</v>
      </c>
      <c r="I2670" s="539" t="s">
        <v>1558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4" t="str">
        <f>LEFT(base[[#This Row],[Evento / Mercado]],FIND("/",base[[#This Row],[Evento / Mercado]])-2)</f>
        <v>Ecuador vs Guatemala</v>
      </c>
      <c r="T2670" s="1420">
        <f>base[[#This Row],[Data de liquidação]]</f>
        <v>46180.797997685186</v>
      </c>
    </row>
    <row r="2671" spans="2:20" ht="15" customHeight="1">
      <c r="B2671" s="802" t="s">
        <v>3189</v>
      </c>
      <c r="C2671" s="911" t="s">
        <v>3556</v>
      </c>
      <c r="D2671" s="1365">
        <v>46180.890347222223</v>
      </c>
      <c r="E2671" s="895">
        <v>-3.41</v>
      </c>
      <c r="F2671" s="408">
        <v>4.4999999999999998E-2</v>
      </c>
      <c r="G2671" s="601">
        <f t="shared" si="42"/>
        <v>-3.41</v>
      </c>
      <c r="H2671" s="526" t="s">
        <v>1666</v>
      </c>
      <c r="I2671" s="539" t="s">
        <v>1558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4" t="str">
        <f>LEFT(base[[#This Row],[Evento / Mercado]],FIND("/",base[[#This Row],[Evento / Mercado]])-2)</f>
        <v>Colombia vs Jordan</v>
      </c>
      <c r="T2671" s="1420">
        <f>base[[#This Row],[Data de liquidação]]</f>
        <v>46180.890347222223</v>
      </c>
    </row>
    <row r="2672" spans="2:20" ht="15" customHeight="1">
      <c r="B2672" s="803" t="s">
        <v>3226</v>
      </c>
      <c r="C2672" s="911" t="s">
        <v>3556</v>
      </c>
      <c r="D2672" s="1366">
        <v>46181.738379629627</v>
      </c>
      <c r="E2672" s="896">
        <v>-9.7799999999999994</v>
      </c>
      <c r="F2672" s="408">
        <v>4.4999999999999998E-2</v>
      </c>
      <c r="G2672" s="610">
        <f t="shared" si="42"/>
        <v>-9.7799999999999994</v>
      </c>
      <c r="H2672" s="526" t="s">
        <v>1666</v>
      </c>
      <c r="I2672" s="539" t="s">
        <v>1558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4" t="str">
        <f>LEFT(base[[#This Row],[Evento / Mercado]],FIND("/",base[[#This Row],[Evento / Mercado]])-2)</f>
        <v>Netherlands vs Uzbekistan</v>
      </c>
      <c r="T2672" s="1420">
        <f>base[[#This Row],[Data de liquidação]]</f>
        <v>46181.738379629627</v>
      </c>
    </row>
    <row r="2673" spans="2:20" ht="15" customHeight="1">
      <c r="B2673" s="803" t="s">
        <v>3225</v>
      </c>
      <c r="C2673" s="911" t="s">
        <v>3556</v>
      </c>
      <c r="D2673" s="1366">
        <v>46181.743483796294</v>
      </c>
      <c r="E2673" s="896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3227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4" t="str">
        <f>LEFT(base[[#This Row],[Evento / Mercado]],FIND("/",base[[#This Row],[Evento / Mercado]])-2)</f>
        <v>Netherlands vs Uzbekistan</v>
      </c>
      <c r="T2673" s="1420">
        <f>base[[#This Row],[Data de liquidação]]</f>
        <v>46181.743483796294</v>
      </c>
    </row>
    <row r="2674" spans="2:20" ht="15" customHeight="1">
      <c r="B2674" s="803" t="s">
        <v>3224</v>
      </c>
      <c r="C2674" s="911" t="s">
        <v>3556</v>
      </c>
      <c r="D2674" s="1366">
        <v>46181.876921296294</v>
      </c>
      <c r="E2674" s="896">
        <v>16.16</v>
      </c>
      <c r="F2674" s="408">
        <v>4.4999999999999998E-2</v>
      </c>
      <c r="G2674" s="610">
        <f t="shared" si="42"/>
        <v>16.921465968586389</v>
      </c>
      <c r="H2674" s="635" t="s">
        <v>3334</v>
      </c>
      <c r="I2674" s="599" t="s">
        <v>627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4" t="str">
        <f>LEFT(base[[#This Row],[Evento / Mercado]],FIND("/",base[[#This Row],[Evento / Mercado]])-2)</f>
        <v>Atlético Nacional vs Junior</v>
      </c>
      <c r="T2674" s="1420">
        <f>base[[#This Row],[Data de liquidação]]</f>
        <v>46181.876921296294</v>
      </c>
    </row>
    <row r="2675" spans="2:20" ht="15" customHeight="1">
      <c r="B2675" s="803" t="s">
        <v>3223</v>
      </c>
      <c r="C2675" s="911" t="s">
        <v>3556</v>
      </c>
      <c r="D2675" s="1366">
        <v>46181.919953703706</v>
      </c>
      <c r="E2675" s="896">
        <v>30.28</v>
      </c>
      <c r="F2675" s="408">
        <v>4.4999999999999998E-2</v>
      </c>
      <c r="G2675" s="610">
        <f t="shared" si="42"/>
        <v>31.706806282722514</v>
      </c>
      <c r="H2675" s="601" t="s">
        <v>3209</v>
      </c>
      <c r="I2675" s="608" t="s">
        <v>3211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4" t="str">
        <f>LEFT(base[[#This Row],[Evento / Mercado]],FIND("/",base[[#This Row],[Evento / Mercado]])-2)</f>
        <v>Vila Nova FC vs Botafogo SP</v>
      </c>
      <c r="T2675" s="1420">
        <f>base[[#This Row],[Data de liquidação]]</f>
        <v>46181.919953703706</v>
      </c>
    </row>
    <row r="2676" spans="2:20" ht="15" customHeight="1">
      <c r="B2676" s="804" t="s">
        <v>3252</v>
      </c>
      <c r="C2676" s="911" t="s">
        <v>3556</v>
      </c>
      <c r="D2676" s="1367">
        <v>46182.577569444446</v>
      </c>
      <c r="E2676" s="897">
        <v>4.2</v>
      </c>
      <c r="F2676" s="408">
        <v>4.4999999999999998E-2</v>
      </c>
      <c r="G2676" s="618">
        <f t="shared" si="42"/>
        <v>4.3979057591623043</v>
      </c>
      <c r="H2676" s="526" t="s">
        <v>1666</v>
      </c>
      <c r="I2676" s="599" t="s">
        <v>2883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4" t="str">
        <f>LEFT(base[[#This Row],[Evento / Mercado]],FIND("/",base[[#This Row],[Evento / Mercado]])-2)</f>
        <v>Armenia vs Moldova</v>
      </c>
      <c r="T2676" s="1420">
        <f>base[[#This Row],[Data de liquidação]]</f>
        <v>46182.577569444446</v>
      </c>
    </row>
    <row r="2677" spans="2:20" ht="15" customHeight="1">
      <c r="B2677" s="804" t="s">
        <v>3251</v>
      </c>
      <c r="C2677" s="911" t="s">
        <v>3556</v>
      </c>
      <c r="D2677" s="1367">
        <v>46182.580138888887</v>
      </c>
      <c r="E2677" s="897">
        <v>9.24</v>
      </c>
      <c r="F2677" s="408">
        <v>4.4999999999999998E-2</v>
      </c>
      <c r="G2677" s="618">
        <f t="shared" si="42"/>
        <v>9.6753926701570681</v>
      </c>
      <c r="H2677" s="526" t="s">
        <v>1666</v>
      </c>
      <c r="I2677" s="599" t="s">
        <v>1715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4" t="str">
        <f>LEFT(base[[#This Row],[Evento / Mercado]],FIND("/",base[[#This Row],[Evento / Mercado]])-2)</f>
        <v>Armenia vs Moldova</v>
      </c>
      <c r="T2677" s="1420">
        <f>base[[#This Row],[Data de liquidação]]</f>
        <v>46182.580138888887</v>
      </c>
    </row>
    <row r="2678" spans="2:20" ht="15" customHeight="1">
      <c r="B2678" s="804" t="s">
        <v>3250</v>
      </c>
      <c r="C2678" s="911" t="s">
        <v>3556</v>
      </c>
      <c r="D2678" s="1367">
        <v>46182.63553240741</v>
      </c>
      <c r="E2678" s="897">
        <v>-10.4</v>
      </c>
      <c r="F2678" s="408">
        <v>4.4999999999999998E-2</v>
      </c>
      <c r="G2678" s="618">
        <f t="shared" si="42"/>
        <v>-10.4</v>
      </c>
      <c r="H2678" s="526" t="s">
        <v>1666</v>
      </c>
      <c r="I2678" s="539" t="s">
        <v>1558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4" t="str">
        <f>LEFT(base[[#This Row],[Evento / Mercado]],FIND("/",base[[#This Row],[Evento / Mercado]])-2)</f>
        <v>Hungary vs Kazakhstan</v>
      </c>
      <c r="T2678" s="1420">
        <f>base[[#This Row],[Data de liquidação]]</f>
        <v>46182.63553240741</v>
      </c>
    </row>
    <row r="2679" spans="2:20" ht="15" customHeight="1">
      <c r="B2679" s="804" t="s">
        <v>3249</v>
      </c>
      <c r="C2679" s="911" t="s">
        <v>3556</v>
      </c>
      <c r="D2679" s="1367">
        <v>46182.660925925928</v>
      </c>
      <c r="E2679" s="897">
        <v>-12.82</v>
      </c>
      <c r="F2679" s="408">
        <v>4.4999999999999998E-2</v>
      </c>
      <c r="G2679" s="618">
        <f t="shared" si="42"/>
        <v>-12.82</v>
      </c>
      <c r="H2679" s="618" t="s">
        <v>3253</v>
      </c>
      <c r="I2679" s="616" t="s">
        <v>3254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4" t="str">
        <f>LEFT(base[[#This Row],[Evento / Mercado]],FIND("/",base[[#This Row],[Evento / Mercado]])-2)</f>
        <v>Östers IF vs IFK Värnamo</v>
      </c>
      <c r="T2679" s="1420">
        <f>base[[#This Row],[Data de liquidação]]</f>
        <v>46182.660925925928</v>
      </c>
    </row>
    <row r="2680" spans="2:20" ht="15" customHeight="1">
      <c r="B2680" s="804" t="s">
        <v>3248</v>
      </c>
      <c r="C2680" s="911" t="s">
        <v>3556</v>
      </c>
      <c r="D2680" s="1367">
        <v>46182.661076388889</v>
      </c>
      <c r="E2680" s="897">
        <v>30.81</v>
      </c>
      <c r="F2680" s="408">
        <v>4.4999999999999998E-2</v>
      </c>
      <c r="G2680" s="618">
        <f t="shared" si="42"/>
        <v>32.261780104712045</v>
      </c>
      <c r="H2680" s="618" t="s">
        <v>3253</v>
      </c>
      <c r="I2680" s="616" t="s">
        <v>1555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4" t="str">
        <f>LEFT(base[[#This Row],[Evento / Mercado]],FIND("/",base[[#This Row],[Evento / Mercado]])-2)</f>
        <v>Östers IF vs IFK Värnamo</v>
      </c>
      <c r="T2680" s="1420">
        <f>base[[#This Row],[Data de liquidação]]</f>
        <v>46182.661076388889</v>
      </c>
    </row>
    <row r="2681" spans="2:20" ht="15" customHeight="1">
      <c r="B2681" s="804" t="s">
        <v>3247</v>
      </c>
      <c r="C2681" s="911" t="s">
        <v>3556</v>
      </c>
      <c r="D2681" s="1367">
        <v>46182.664039351854</v>
      </c>
      <c r="E2681" s="897">
        <v>-70</v>
      </c>
      <c r="F2681" s="408">
        <v>4.4999999999999998E-2</v>
      </c>
      <c r="G2681" s="618">
        <f t="shared" si="42"/>
        <v>-70</v>
      </c>
      <c r="H2681" s="526" t="s">
        <v>1666</v>
      </c>
      <c r="I2681" s="616" t="s">
        <v>2331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4" t="str">
        <f>LEFT(base[[#This Row],[Evento / Mercado]],FIND("/",base[[#This Row],[Evento / Mercado]])-2)</f>
        <v>IK Brage vs Ljungskile SK</v>
      </c>
      <c r="T2681" s="1420">
        <f>base[[#This Row],[Data de liquidação]]</f>
        <v>46182.664039351854</v>
      </c>
    </row>
    <row r="2682" spans="2:20" ht="15" customHeight="1">
      <c r="B2682" s="804" t="s">
        <v>3246</v>
      </c>
      <c r="C2682" s="911" t="s">
        <v>3556</v>
      </c>
      <c r="D2682" s="1367">
        <v>46182.666030092594</v>
      </c>
      <c r="E2682" s="897">
        <v>14.62</v>
      </c>
      <c r="F2682" s="408">
        <v>4.4999999999999998E-2</v>
      </c>
      <c r="G2682" s="618">
        <f t="shared" si="42"/>
        <v>15.30890052356021</v>
      </c>
      <c r="H2682" s="526" t="s">
        <v>1666</v>
      </c>
      <c r="I2682" s="616" t="s">
        <v>1777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4" t="str">
        <f>LEFT(base[[#This Row],[Evento / Mercado]],FIND("/",base[[#This Row],[Evento / Mercado]])-2)</f>
        <v>Hungary vs Kazakhstan</v>
      </c>
      <c r="T2682" s="1420">
        <f>base[[#This Row],[Data de liquidação]]</f>
        <v>46182.666030092594</v>
      </c>
    </row>
    <row r="2683" spans="2:20" ht="15" customHeight="1">
      <c r="B2683" s="804" t="s">
        <v>3245</v>
      </c>
      <c r="C2683" s="911" t="s">
        <v>3556</v>
      </c>
      <c r="D2683" s="1367">
        <v>46182.751307870371</v>
      </c>
      <c r="E2683" s="897">
        <v>19.63</v>
      </c>
      <c r="F2683" s="408">
        <v>4.4999999999999998E-2</v>
      </c>
      <c r="G2683" s="618">
        <f t="shared" si="42"/>
        <v>20.554973821989527</v>
      </c>
      <c r="H2683" s="601" t="s">
        <v>3209</v>
      </c>
      <c r="I2683" s="616" t="s">
        <v>3211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4" t="str">
        <f>LEFT(base[[#This Row],[Evento / Mercado]],FIND("/",base[[#This Row],[Evento / Mercado]])-2)</f>
        <v>UD Almería vs CD Castellon</v>
      </c>
      <c r="T2683" s="1420">
        <f>base[[#This Row],[Data de liquidação]]</f>
        <v>46182.751307870371</v>
      </c>
    </row>
    <row r="2684" spans="2:20" ht="15" customHeight="1">
      <c r="B2684" s="804" t="s">
        <v>3244</v>
      </c>
      <c r="C2684" s="911" t="s">
        <v>3556</v>
      </c>
      <c r="D2684" s="1367">
        <v>46182.876446759263</v>
      </c>
      <c r="E2684" s="897">
        <v>33.9</v>
      </c>
      <c r="F2684" s="408">
        <v>4.4999999999999998E-2</v>
      </c>
      <c r="G2684" s="618">
        <f t="shared" si="42"/>
        <v>35.497382198952877</v>
      </c>
      <c r="H2684" s="601" t="s">
        <v>3209</v>
      </c>
      <c r="I2684" s="616" t="s">
        <v>3210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4" t="str">
        <f>LEFT(base[[#This Row],[Evento / Mercado]],FIND("/",base[[#This Row],[Evento / Mercado]])-2)</f>
        <v>Clube Náutico Capibaribe vs Fortaleza EC</v>
      </c>
      <c r="T2684" s="1420">
        <f>base[[#This Row],[Data de liquidação]]</f>
        <v>46182.876446759263</v>
      </c>
    </row>
    <row r="2685" spans="2:20" ht="15" customHeight="1">
      <c r="B2685" s="804" t="s">
        <v>3243</v>
      </c>
      <c r="C2685" s="911" t="s">
        <v>3556</v>
      </c>
      <c r="D2685" s="1367">
        <v>46182.924004629633</v>
      </c>
      <c r="E2685" s="897">
        <v>-150.04</v>
      </c>
      <c r="F2685" s="408">
        <v>4.4999999999999998E-2</v>
      </c>
      <c r="G2685" s="618">
        <f t="shared" si="42"/>
        <v>-150.04</v>
      </c>
      <c r="H2685" s="526" t="s">
        <v>1666</v>
      </c>
      <c r="I2685" s="599" t="s">
        <v>1715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4" t="str">
        <f>LEFT(base[[#This Row],[Evento / Mercado]],FIND("/",base[[#This Row],[Evento / Mercado]])-2)</f>
        <v>Atletico Ottawa vs FC Supra du Quebec</v>
      </c>
      <c r="T2685" s="1420">
        <f>base[[#This Row],[Data de liquidação]]</f>
        <v>46182.924004629633</v>
      </c>
    </row>
    <row r="2686" spans="2:20" ht="15" customHeight="1">
      <c r="B2686" s="805" t="s">
        <v>3267</v>
      </c>
      <c r="C2686" s="911" t="s">
        <v>3556</v>
      </c>
      <c r="D2686" s="1368">
        <v>46183.661041666666</v>
      </c>
      <c r="E2686" s="898">
        <v>-117.48</v>
      </c>
      <c r="F2686" s="408">
        <v>4.4999999999999998E-2</v>
      </c>
      <c r="G2686" s="622">
        <f t="shared" si="42"/>
        <v>-117.48</v>
      </c>
      <c r="H2686" s="622" t="s">
        <v>3188</v>
      </c>
      <c r="I2686" s="620" t="s">
        <v>1572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4" t="str">
        <f>LEFT(base[[#This Row],[Evento / Mercado]],FIND("/",base[[#This Row],[Evento / Mercado]])-2)</f>
        <v>Varbergs BoIS vs Norrby IF</v>
      </c>
      <c r="T2686" s="1420">
        <f>base[[#This Row],[Data de liquidação]]</f>
        <v>46183.661041666666</v>
      </c>
    </row>
    <row r="2687" spans="2:20" ht="15" customHeight="1">
      <c r="B2687" s="805" t="s">
        <v>3266</v>
      </c>
      <c r="C2687" s="911" t="s">
        <v>3556</v>
      </c>
      <c r="D2687" s="1368">
        <v>46183.661874999998</v>
      </c>
      <c r="E2687" s="898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392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2434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4" t="str">
        <f>LEFT(base[[#This Row],[Evento / Mercado]],FIND("/",base[[#This Row],[Evento / Mercado]])-2)</f>
        <v>Varbergs BoIS vs Norrby IF</v>
      </c>
      <c r="T2687" s="1420">
        <f>base[[#This Row],[Data de liquidação]]</f>
        <v>46183.661874999998</v>
      </c>
    </row>
    <row r="2688" spans="2:20" ht="15" customHeight="1">
      <c r="B2688" s="805" t="s">
        <v>3265</v>
      </c>
      <c r="C2688" s="911" t="s">
        <v>3556</v>
      </c>
      <c r="D2688" s="1368">
        <v>46183.728194444448</v>
      </c>
      <c r="E2688" s="898">
        <v>4.3499999999999996</v>
      </c>
      <c r="F2688" s="408">
        <v>4.4999999999999998E-2</v>
      </c>
      <c r="G2688" s="622">
        <f t="shared" si="42"/>
        <v>4.5549738219895284</v>
      </c>
      <c r="H2688" s="622" t="s">
        <v>1666</v>
      </c>
      <c r="I2688" s="620" t="s">
        <v>2883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4" t="str">
        <f>LEFT(base[[#This Row],[Evento / Mercado]],FIND("/",base[[#This Row],[Evento / Mercado]])-2)</f>
        <v>Portugal vs Nigeria</v>
      </c>
      <c r="T2688" s="1420">
        <f>base[[#This Row],[Data de liquidação]]</f>
        <v>46183.728194444448</v>
      </c>
    </row>
    <row r="2689" spans="2:22" ht="15" customHeight="1">
      <c r="B2689" s="805" t="s">
        <v>3264</v>
      </c>
      <c r="C2689" s="911" t="s">
        <v>3556</v>
      </c>
      <c r="D2689" s="1368">
        <v>46183.728217592594</v>
      </c>
      <c r="E2689" s="898">
        <v>14.33</v>
      </c>
      <c r="F2689" s="408">
        <v>4.4999999999999998E-2</v>
      </c>
      <c r="G2689" s="622">
        <f t="shared" si="42"/>
        <v>15.005235602094242</v>
      </c>
      <c r="H2689" s="526" t="s">
        <v>1666</v>
      </c>
      <c r="I2689" s="539" t="s">
        <v>1558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4" t="str">
        <f>LEFT(base[[#This Row],[Evento / Mercado]],FIND("/",base[[#This Row],[Evento / Mercado]])-2)</f>
        <v>Portugal vs Nigeria</v>
      </c>
      <c r="T2689" s="1420">
        <f>base[[#This Row],[Data de liquidação]]</f>
        <v>46183.728217592594</v>
      </c>
    </row>
    <row r="2690" spans="2:22" ht="15" customHeight="1">
      <c r="B2690" s="805" t="s">
        <v>3263</v>
      </c>
      <c r="C2690" s="911" t="s">
        <v>3556</v>
      </c>
      <c r="D2690" s="1368">
        <v>46183.728356481479</v>
      </c>
      <c r="E2690" s="898">
        <v>38.200000000000003</v>
      </c>
      <c r="F2690" s="408">
        <v>4.4999999999999998E-2</v>
      </c>
      <c r="G2690" s="622">
        <f t="shared" si="42"/>
        <v>40.000000000000007</v>
      </c>
      <c r="H2690" s="622" t="s">
        <v>3188</v>
      </c>
      <c r="I2690" s="620" t="s">
        <v>1572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4" t="str">
        <f>LEFT(base[[#This Row],[Evento / Mercado]],FIND("/",base[[#This Row],[Evento / Mercado]])-2)</f>
        <v>Málaga vs UD Las Palmas</v>
      </c>
      <c r="T2690" s="1420">
        <f>base[[#This Row],[Data de liquidação]]</f>
        <v>46183.728356481479</v>
      </c>
    </row>
    <row r="2691" spans="2:22" ht="15" customHeight="1">
      <c r="B2691" s="805" t="s">
        <v>3262</v>
      </c>
      <c r="C2691" s="911" t="s">
        <v>3556</v>
      </c>
      <c r="D2691" s="1368">
        <v>46183.780798611115</v>
      </c>
      <c r="E2691" s="898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1666</v>
      </c>
      <c r="I2691" s="620" t="s">
        <v>1717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4" t="str">
        <f>LEFT(base[[#This Row],[Evento / Mercado]],FIND("/",base[[#This Row],[Evento / Mercado]])-2)</f>
        <v>Portugal vs Nigeria</v>
      </c>
      <c r="T2691" s="1420">
        <f>base[[#This Row],[Data de liquidação]]</f>
        <v>46183.780798611115</v>
      </c>
    </row>
    <row r="2692" spans="2:22" ht="15" customHeight="1">
      <c r="B2692" s="805" t="s">
        <v>3261</v>
      </c>
      <c r="C2692" s="911" t="s">
        <v>3556</v>
      </c>
      <c r="D2692" s="1368">
        <v>46183.818460648145</v>
      </c>
      <c r="E2692" s="898">
        <v>-13.13</v>
      </c>
      <c r="F2692" s="408">
        <v>4.4999999999999998E-2</v>
      </c>
      <c r="G2692" s="622">
        <f t="shared" si="43"/>
        <v>-13.13</v>
      </c>
      <c r="H2692" s="526" t="s">
        <v>1666</v>
      </c>
      <c r="I2692" s="539" t="s">
        <v>1558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4" t="str">
        <f>LEFT(base[[#This Row],[Evento / Mercado]],FIND("/",base[[#This Row],[Evento / Mercado]])-2)</f>
        <v>England vs Costa Rica</v>
      </c>
      <c r="T2692" s="1420">
        <f>base[[#This Row],[Data de liquidação]]</f>
        <v>46183.818460648145</v>
      </c>
    </row>
    <row r="2693" spans="2:22" ht="15" customHeight="1">
      <c r="B2693" s="805" t="s">
        <v>3260</v>
      </c>
      <c r="C2693" s="911" t="s">
        <v>3556</v>
      </c>
      <c r="D2693" s="1368">
        <v>46183.917662037034</v>
      </c>
      <c r="E2693" s="898">
        <v>8.68</v>
      </c>
      <c r="F2693" s="408">
        <v>4.4999999999999998E-2</v>
      </c>
      <c r="G2693" s="622">
        <f t="shared" si="43"/>
        <v>9.0890052356020945</v>
      </c>
      <c r="H2693" s="622" t="s">
        <v>3268</v>
      </c>
      <c r="I2693" s="620" t="s">
        <v>1781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4" t="str">
        <f>LEFT(base[[#This Row],[Evento / Mercado]],FIND("/",base[[#This Row],[Evento / Mercado]])-2)</f>
        <v>Ceará SC vs Avaí FC</v>
      </c>
      <c r="T2693" s="1420">
        <f>base[[#This Row],[Data de liquidação]]</f>
        <v>46183.917662037034</v>
      </c>
    </row>
    <row r="2694" spans="2:22" ht="15" customHeight="1">
      <c r="B2694" s="805" t="s">
        <v>3259</v>
      </c>
      <c r="C2694" s="911" t="s">
        <v>3556</v>
      </c>
      <c r="D2694" s="1368">
        <v>46183.931539351855</v>
      </c>
      <c r="E2694" s="898">
        <v>38.200000000000003</v>
      </c>
      <c r="F2694" s="408">
        <v>4.4999999999999998E-2</v>
      </c>
      <c r="G2694" s="622">
        <f t="shared" si="43"/>
        <v>40.000000000000007</v>
      </c>
      <c r="H2694" s="622" t="s">
        <v>3188</v>
      </c>
      <c r="I2694" s="620" t="s">
        <v>498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4" t="str">
        <f>LEFT(base[[#This Row],[Evento / Mercado]],FIND("/",base[[#This Row],[Evento / Mercado]])-2)</f>
        <v>Sport Club do Recife vs Athletic Club MG</v>
      </c>
      <c r="T2694" s="1420">
        <f>base[[#This Row],[Data de liquidação]]</f>
        <v>46183.931539351855</v>
      </c>
    </row>
    <row r="2695" spans="2:22" ht="15" customHeight="1">
      <c r="B2695" s="805" t="s">
        <v>3258</v>
      </c>
      <c r="C2695" s="911" t="s">
        <v>3556</v>
      </c>
      <c r="D2695" s="1368">
        <v>46183.955590277779</v>
      </c>
      <c r="E2695" s="898">
        <v>37.722499999999997</v>
      </c>
      <c r="F2695" s="408">
        <v>4.4999999999999998E-2</v>
      </c>
      <c r="G2695" s="622">
        <f t="shared" si="43"/>
        <v>39.5</v>
      </c>
      <c r="H2695" s="622" t="s">
        <v>3271</v>
      </c>
      <c r="I2695" s="620" t="s">
        <v>627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4" t="str">
        <f>LEFT(base[[#This Row],[Evento / Mercado]],FIND("/",base[[#This Row],[Evento / Mercado]])-2)</f>
        <v>Sport Club do Recife vs Athletic Club MG</v>
      </c>
      <c r="T2695" s="142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805" t="s">
        <v>3258</v>
      </c>
      <c r="C2696" s="911" t="s">
        <v>3556</v>
      </c>
      <c r="D2696" s="1368">
        <v>46183.955590277779</v>
      </c>
      <c r="E2696" s="898">
        <v>6.2839</v>
      </c>
      <c r="F2696" s="408">
        <v>4.4999999999999998E-2</v>
      </c>
      <c r="G2696" s="622">
        <f t="shared" si="43"/>
        <v>6.58</v>
      </c>
      <c r="H2696" s="622" t="s">
        <v>1666</v>
      </c>
      <c r="I2696" s="620" t="s">
        <v>2951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4" t="str">
        <f>LEFT(base[[#This Row],[Evento / Mercado]],FIND("/",base[[#This Row],[Evento / Mercado]])-2)</f>
        <v>Sport Club do Recife vs Athletic Club MG</v>
      </c>
      <c r="T2696" s="142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805" t="s">
        <v>3257</v>
      </c>
      <c r="C2697" s="911" t="s">
        <v>3556</v>
      </c>
      <c r="D2697" s="1368">
        <v>46184.03943287037</v>
      </c>
      <c r="E2697" s="898">
        <v>2.98</v>
      </c>
      <c r="F2697" s="408">
        <v>4.4999999999999998E-2</v>
      </c>
      <c r="G2697" s="622">
        <f t="shared" si="43"/>
        <v>3.1204188481675392</v>
      </c>
      <c r="H2697" s="622" t="s">
        <v>1666</v>
      </c>
      <c r="I2697" s="620" t="s">
        <v>1759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4" t="str">
        <f>LEFT(base[[#This Row],[Evento / Mercado]],FIND("/",base[[#This Row],[Evento / Mercado]])-2)</f>
        <v>Monterey Bay FC vs Sporting Club Jacksonville</v>
      </c>
      <c r="T2697" s="1420">
        <f>base[[#This Row],[Data de liquidação]]</f>
        <v>46184.03943287037</v>
      </c>
    </row>
    <row r="2698" spans="2:22" ht="15" customHeight="1">
      <c r="B2698" s="805" t="s">
        <v>3256</v>
      </c>
      <c r="C2698" s="911" t="s">
        <v>3556</v>
      </c>
      <c r="D2698" s="1368">
        <v>46184.062685185185</v>
      </c>
      <c r="E2698" s="898">
        <v>6.63</v>
      </c>
      <c r="F2698" s="408">
        <v>4.4999999999999998E-2</v>
      </c>
      <c r="G2698" s="622">
        <f t="shared" si="43"/>
        <v>6.9424083769633507</v>
      </c>
      <c r="H2698" s="622" t="s">
        <v>1666</v>
      </c>
      <c r="I2698" s="620" t="s">
        <v>2950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4" t="str">
        <f>LEFT(base[[#This Row],[Evento / Mercado]],FIND("/",base[[#This Row],[Evento / Mercado]])-2)</f>
        <v>Phoenix Rising FC vs Louisville City FC</v>
      </c>
      <c r="T2698" s="1420">
        <f>base[[#This Row],[Data de liquidação]]</f>
        <v>46184.062685185185</v>
      </c>
    </row>
    <row r="2699" spans="2:22" ht="15" customHeight="1">
      <c r="B2699" s="806" t="s">
        <v>3277</v>
      </c>
      <c r="C2699" s="911" t="s">
        <v>3556</v>
      </c>
      <c r="D2699" s="1369">
        <v>46184.595289351855</v>
      </c>
      <c r="E2699" s="899">
        <v>38.200000000000003</v>
      </c>
      <c r="F2699" s="408">
        <v>4.4999999999999998E-2</v>
      </c>
      <c r="G2699" s="631">
        <f t="shared" si="43"/>
        <v>40.000000000000007</v>
      </c>
      <c r="H2699" s="622" t="s">
        <v>3188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4" t="str">
        <f>LEFT(base[[#This Row],[Evento / Mercado]],FIND("/",base[[#This Row],[Evento / Mercado]])-2)</f>
        <v>Tampere United vs OLS</v>
      </c>
      <c r="T2699" s="1420">
        <f>base[[#This Row],[Data de liquidação]]</f>
        <v>46184.595289351855</v>
      </c>
    </row>
    <row r="2700" spans="2:22" ht="15" customHeight="1">
      <c r="B2700" s="806" t="s">
        <v>3276</v>
      </c>
      <c r="C2700" s="911" t="s">
        <v>3556</v>
      </c>
      <c r="D2700" s="1369">
        <v>46184.733680555553</v>
      </c>
      <c r="E2700" s="899">
        <v>38.200000000000003</v>
      </c>
      <c r="F2700" s="408">
        <v>4.4999999999999998E-2</v>
      </c>
      <c r="G2700" s="631">
        <f t="shared" si="43"/>
        <v>40.000000000000007</v>
      </c>
      <c r="H2700" s="622" t="s">
        <v>3188</v>
      </c>
      <c r="I2700" s="629" t="s">
        <v>1572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4" t="str">
        <f>LEFT(base[[#This Row],[Evento / Mercado]],FIND("/",base[[#This Row],[Evento / Mercado]])-2)</f>
        <v>Mexico vs South Africa</v>
      </c>
      <c r="T2700" s="1420">
        <f>base[[#This Row],[Data de liquidação]]</f>
        <v>46184.733680555553</v>
      </c>
    </row>
    <row r="2701" spans="2:22" ht="15" customHeight="1">
      <c r="B2701" s="806" t="s">
        <v>3275</v>
      </c>
      <c r="C2701" s="911" t="s">
        <v>3556</v>
      </c>
      <c r="D2701" s="1369">
        <v>46184.752476851849</v>
      </c>
      <c r="E2701" s="899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627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3278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4" t="str">
        <f>LEFT(base[[#This Row],[Evento / Mercado]],FIND("/",base[[#This Row],[Evento / Mercado]])-2)</f>
        <v>Mexico vs South Africa</v>
      </c>
      <c r="T2701" s="1420">
        <f>base[[#This Row],[Data de liquidação]]</f>
        <v>46184.752476851849</v>
      </c>
    </row>
    <row r="2702" spans="2:22" ht="15" customHeight="1">
      <c r="B2702" s="806" t="s">
        <v>3274</v>
      </c>
      <c r="C2702" s="911" t="s">
        <v>3556</v>
      </c>
      <c r="D2702" s="1369">
        <v>46184.760682870372</v>
      </c>
      <c r="E2702" s="899">
        <v>44.42</v>
      </c>
      <c r="F2702" s="408">
        <v>4.4999999999999998E-2</v>
      </c>
      <c r="G2702" s="631">
        <f t="shared" si="43"/>
        <v>46.513089005235607</v>
      </c>
      <c r="H2702" s="631" t="s">
        <v>179</v>
      </c>
      <c r="I2702" s="939" t="s">
        <v>3393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3331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4" t="str">
        <f>LEFT(base[[#This Row],[Evento / Mercado]],FIND("/",base[[#This Row],[Evento / Mercado]])-2)</f>
        <v>Mexico vs South Africa</v>
      </c>
      <c r="T2702" s="1420">
        <f>base[[#This Row],[Data de liquidação]]</f>
        <v>46184.760682870372</v>
      </c>
    </row>
    <row r="2703" spans="2:22" ht="15" customHeight="1">
      <c r="B2703" s="806" t="s">
        <v>3273</v>
      </c>
      <c r="C2703" s="911" t="s">
        <v>3556</v>
      </c>
      <c r="D2703" s="1369">
        <v>46185.012870370374</v>
      </c>
      <c r="E2703" s="899">
        <v>11.53</v>
      </c>
      <c r="F2703" s="408">
        <v>4.4999999999999998E-2</v>
      </c>
      <c r="G2703" s="631">
        <f t="shared" si="43"/>
        <v>12.073298429319372</v>
      </c>
      <c r="H2703" s="622" t="s">
        <v>3268</v>
      </c>
      <c r="I2703" s="620" t="s">
        <v>1781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4" t="str">
        <f>LEFT(base[[#This Row],[Evento / Mercado]],FIND("/",base[[#This Row],[Evento / Mercado]])-2)</f>
        <v>South Korea vs Czech Republic</v>
      </c>
      <c r="T2703" s="1420">
        <f>base[[#This Row],[Data de liquidação]]</f>
        <v>46185.012870370374</v>
      </c>
    </row>
    <row r="2704" spans="2:22" ht="15" customHeight="1">
      <c r="B2704" s="806" t="s">
        <v>3272</v>
      </c>
      <c r="C2704" s="911" t="s">
        <v>3556</v>
      </c>
      <c r="D2704" s="1369">
        <v>46185.03869212963</v>
      </c>
      <c r="E2704" s="899">
        <v>31</v>
      </c>
      <c r="F2704" s="408">
        <v>4.4999999999999998E-2</v>
      </c>
      <c r="G2704" s="631">
        <f t="shared" si="43"/>
        <v>32.460732984293195</v>
      </c>
      <c r="H2704" s="601" t="s">
        <v>3209</v>
      </c>
      <c r="I2704" s="616" t="s">
        <v>3211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4" t="str">
        <f>LEFT(base[[#This Row],[Evento / Mercado]],FIND("/",base[[#This Row],[Evento / Mercado]])-2)</f>
        <v>South Korea vs Czech Republic</v>
      </c>
      <c r="T2704" s="1420">
        <f>base[[#This Row],[Data de liquidação]]</f>
        <v>46185.03869212963</v>
      </c>
    </row>
    <row r="2705" spans="2:22" ht="15" customHeight="1">
      <c r="B2705" s="807" t="s">
        <v>3326</v>
      </c>
      <c r="C2705" s="911" t="s">
        <v>3556</v>
      </c>
      <c r="D2705" s="1370">
        <v>46185.56521990741</v>
      </c>
      <c r="E2705" s="900">
        <v>38.199999999999996</v>
      </c>
      <c r="F2705" s="408">
        <v>4.4999999999999998E-2</v>
      </c>
      <c r="G2705" s="635">
        <f t="shared" si="43"/>
        <v>40</v>
      </c>
      <c r="H2705" s="622" t="s">
        <v>3188</v>
      </c>
      <c r="I2705" s="633" t="s">
        <v>498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4" t="str">
        <f>LEFT(base[[#This Row],[Evento / Mercado]],FIND("/",base[[#This Row],[Evento / Mercado]])-2)</f>
        <v>FK Tukums 2000 vs BFC Daugavpils</v>
      </c>
      <c r="T2705" s="142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807" t="s">
        <v>3326</v>
      </c>
      <c r="C2706" s="911" t="s">
        <v>3556</v>
      </c>
      <c r="D2706" s="1370">
        <v>46185.56521990741</v>
      </c>
      <c r="E2706" s="900">
        <v>9.1870999999999992</v>
      </c>
      <c r="F2706" s="408">
        <v>4.4999999999999998E-2</v>
      </c>
      <c r="G2706" s="635">
        <f t="shared" si="43"/>
        <v>9.6199999999999992</v>
      </c>
      <c r="H2706" s="622" t="s">
        <v>3268</v>
      </c>
      <c r="I2706" s="620" t="s">
        <v>1781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4" t="str">
        <f>LEFT(base[[#This Row],[Evento / Mercado]],FIND("/",base[[#This Row],[Evento / Mercado]])-2)</f>
        <v>FK Tukums 2000 vs BFC Daugavpils</v>
      </c>
      <c r="T2706" s="142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807" t="s">
        <v>3325</v>
      </c>
      <c r="C2707" s="911" t="s">
        <v>3556</v>
      </c>
      <c r="D2707" s="1370">
        <v>46185.714386574073</v>
      </c>
      <c r="E2707" s="900">
        <v>38.200000000000003</v>
      </c>
      <c r="F2707" s="408">
        <v>4.4999999999999998E-2</v>
      </c>
      <c r="G2707" s="635">
        <f t="shared" si="43"/>
        <v>40.000000000000007</v>
      </c>
      <c r="H2707" s="622" t="s">
        <v>3188</v>
      </c>
      <c r="I2707" s="633" t="s">
        <v>1572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4" t="str">
        <f>LEFT(base[[#This Row],[Evento / Mercado]],FIND("/",base[[#This Row],[Evento / Mercado]])-2)</f>
        <v>St. Patrick's Athletic vs Drogheda United</v>
      </c>
      <c r="T2707" s="1420">
        <f>base[[#This Row],[Data de liquidação]]</f>
        <v>46185.714386574073</v>
      </c>
    </row>
    <row r="2708" spans="2:22" ht="15" customHeight="1">
      <c r="B2708" s="807" t="s">
        <v>3324</v>
      </c>
      <c r="C2708" s="911" t="s">
        <v>3556</v>
      </c>
      <c r="D2708" s="1370">
        <v>46185.731041666666</v>
      </c>
      <c r="E2708" s="900">
        <v>9.9224499999999995</v>
      </c>
      <c r="F2708" s="408">
        <v>4.4999999999999998E-2</v>
      </c>
      <c r="G2708" s="635">
        <f t="shared" si="43"/>
        <v>10.39</v>
      </c>
      <c r="H2708" s="622" t="s">
        <v>3268</v>
      </c>
      <c r="I2708" s="620" t="s">
        <v>1781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4" t="str">
        <f>LEFT(base[[#This Row],[Evento / Mercado]],FIND("/",base[[#This Row],[Evento / Mercado]])-2)</f>
        <v>Galway United vs Dundalk</v>
      </c>
      <c r="T2708" s="142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807" t="s">
        <v>3324</v>
      </c>
      <c r="C2709" s="911" t="s">
        <v>3556</v>
      </c>
      <c r="D2709" s="1370">
        <v>46185.731041666666</v>
      </c>
      <c r="E2709" s="900">
        <v>1.0886999999999998</v>
      </c>
      <c r="F2709" s="408">
        <v>4.4999999999999998E-2</v>
      </c>
      <c r="G2709" s="635">
        <f t="shared" si="43"/>
        <v>1.1399999999999999</v>
      </c>
      <c r="H2709" s="635" t="s">
        <v>1666</v>
      </c>
      <c r="I2709" s="633" t="s">
        <v>2362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4" t="str">
        <f>LEFT(base[[#This Row],[Evento / Mercado]],FIND("/",base[[#This Row],[Evento / Mercado]])-2)</f>
        <v>Galway United vs Dundalk</v>
      </c>
      <c r="T2709" s="142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807" t="s">
        <v>3324</v>
      </c>
      <c r="C2710" s="911" t="s">
        <v>3556</v>
      </c>
      <c r="D2710" s="1370">
        <v>46185.731041666666</v>
      </c>
      <c r="E2710" s="900">
        <v>38.199999999999996</v>
      </c>
      <c r="F2710" s="408">
        <v>4.4999999999999998E-2</v>
      </c>
      <c r="G2710" s="635">
        <f t="shared" si="43"/>
        <v>40</v>
      </c>
      <c r="H2710" s="622" t="s">
        <v>3188</v>
      </c>
      <c r="I2710" s="633" t="s">
        <v>498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4" t="str">
        <f>LEFT(base[[#This Row],[Evento / Mercado]],FIND("/",base[[#This Row],[Evento / Mercado]])-2)</f>
        <v>Galway United vs Dundalk</v>
      </c>
      <c r="T2710" s="142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807" t="s">
        <v>3323</v>
      </c>
      <c r="C2711" s="911" t="s">
        <v>3556</v>
      </c>
      <c r="D2711" s="1370">
        <v>46185.732685185183</v>
      </c>
      <c r="E2711" s="900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694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2152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4" t="str">
        <f>LEFT(base[[#This Row],[Evento / Mercado]],FIND("/",base[[#This Row],[Evento / Mercado]])-2)</f>
        <v>Galway United vs Dundalk</v>
      </c>
      <c r="T2711" s="1420">
        <f>base[[#This Row],[Data de liquidação]]</f>
        <v>46185.732685185183</v>
      </c>
    </row>
    <row r="2712" spans="2:22" ht="15" customHeight="1">
      <c r="B2712" s="807" t="s">
        <v>3322</v>
      </c>
      <c r="C2712" s="911" t="s">
        <v>3556</v>
      </c>
      <c r="D2712" s="1370">
        <v>46185.732893518521</v>
      </c>
      <c r="E2712" s="900">
        <v>-5</v>
      </c>
      <c r="F2712" s="408">
        <v>4.4999999999999998E-2</v>
      </c>
      <c r="G2712" s="635">
        <f t="shared" si="43"/>
        <v>-5</v>
      </c>
      <c r="H2712" s="635" t="s">
        <v>1666</v>
      </c>
      <c r="I2712" s="633" t="s">
        <v>2883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4" t="str">
        <f>LEFT(base[[#This Row],[Evento / Mercado]],FIND("/",base[[#This Row],[Evento / Mercado]])-2)</f>
        <v>Galway United vs Dundalk</v>
      </c>
      <c r="T2712" s="1420">
        <f>base[[#This Row],[Data de liquidação]]</f>
        <v>46185.732893518521</v>
      </c>
    </row>
    <row r="2713" spans="2:22" ht="15" customHeight="1">
      <c r="B2713" s="807" t="s">
        <v>3321</v>
      </c>
      <c r="C2713" s="911" t="s">
        <v>3556</v>
      </c>
      <c r="D2713" s="1370">
        <v>46185.737060185187</v>
      </c>
      <c r="E2713" s="900">
        <v>38.200000000000003</v>
      </c>
      <c r="F2713" s="408">
        <v>4.4999999999999998E-2</v>
      </c>
      <c r="G2713" s="635">
        <f t="shared" si="43"/>
        <v>40.000000000000007</v>
      </c>
      <c r="H2713" s="622" t="s">
        <v>3188</v>
      </c>
      <c r="I2713" s="633" t="s">
        <v>1572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4" t="str">
        <f>LEFT(base[[#This Row],[Evento / Mercado]],FIND("/",base[[#This Row],[Evento / Mercado]])-2)</f>
        <v>Canada vs Bosnia-Herzegovina</v>
      </c>
      <c r="T2713" s="1420">
        <f>base[[#This Row],[Data de liquidação]]</f>
        <v>46185.737060185187</v>
      </c>
    </row>
    <row r="2714" spans="2:22" ht="15" customHeight="1">
      <c r="B2714" s="807" t="s">
        <v>3320</v>
      </c>
      <c r="C2714" s="911" t="s">
        <v>3556</v>
      </c>
      <c r="D2714" s="1370">
        <v>46185.737430555557</v>
      </c>
      <c r="E2714" s="900">
        <v>34.71</v>
      </c>
      <c r="F2714" s="408">
        <v>4.4999999999999998E-2</v>
      </c>
      <c r="G2714" s="635">
        <f t="shared" si="43"/>
        <v>36.345549738219894</v>
      </c>
      <c r="H2714" s="635" t="s">
        <v>3209</v>
      </c>
      <c r="I2714" s="633" t="s">
        <v>3211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4" t="str">
        <f>LEFT(base[[#This Row],[Evento / Mercado]],FIND("/",base[[#This Row],[Evento / Mercado]])-2)</f>
        <v>St. Patrick's Athletic vs Drogheda United</v>
      </c>
      <c r="T2714" s="1420">
        <f>base[[#This Row],[Data de liquidação]]</f>
        <v>46185.737430555557</v>
      </c>
    </row>
    <row r="2715" spans="2:22" ht="15" customHeight="1">
      <c r="B2715" s="807" t="s">
        <v>3319</v>
      </c>
      <c r="C2715" s="911" t="s">
        <v>3556</v>
      </c>
      <c r="D2715" s="1370">
        <v>46185.737523148149</v>
      </c>
      <c r="E2715" s="900">
        <v>56.3</v>
      </c>
      <c r="F2715" s="408">
        <v>4.4999999999999998E-2</v>
      </c>
      <c r="G2715" s="635">
        <f t="shared" si="43"/>
        <v>58.952879581151834</v>
      </c>
      <c r="H2715" s="635" t="s">
        <v>179</v>
      </c>
      <c r="I2715" s="633" t="s">
        <v>392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2152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4" t="str">
        <f>LEFT(base[[#This Row],[Evento / Mercado]],FIND("/",base[[#This Row],[Evento / Mercado]])-2)</f>
        <v>St. Patrick's Athletic vs Drogheda United</v>
      </c>
      <c r="T2715" s="1420">
        <f>base[[#This Row],[Data de liquidação]]</f>
        <v>46185.737523148149</v>
      </c>
    </row>
    <row r="2716" spans="2:22" ht="15" customHeight="1">
      <c r="B2716" s="807" t="s">
        <v>3318</v>
      </c>
      <c r="C2716" s="911" t="s">
        <v>3556</v>
      </c>
      <c r="D2716" s="1370">
        <v>46185.842893518522</v>
      </c>
      <c r="E2716" s="900">
        <v>4.63</v>
      </c>
      <c r="F2716" s="408">
        <v>4.4999999999999998E-2</v>
      </c>
      <c r="G2716" s="635">
        <f t="shared" si="43"/>
        <v>4.848167539267016</v>
      </c>
      <c r="H2716" s="635" t="s">
        <v>1666</v>
      </c>
      <c r="I2716" s="633" t="s">
        <v>2883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4" t="str">
        <f>LEFT(base[[#This Row],[Evento / Mercado]],FIND("/",base[[#This Row],[Evento / Mercado]])-2)</f>
        <v>Atlético Goianiense vs CRB</v>
      </c>
      <c r="T2716" s="1420">
        <f>base[[#This Row],[Data de liquidação]]</f>
        <v>46185.842893518522</v>
      </c>
    </row>
    <row r="2717" spans="2:22" ht="15" customHeight="1">
      <c r="B2717" s="807" t="s">
        <v>3317</v>
      </c>
      <c r="C2717" s="911" t="s">
        <v>3556</v>
      </c>
      <c r="D2717" s="1370">
        <v>46185.923738425925</v>
      </c>
      <c r="E2717" s="900">
        <v>15.94</v>
      </c>
      <c r="F2717" s="408">
        <v>4.4999999999999998E-2</v>
      </c>
      <c r="G2717" s="635">
        <f t="shared" si="43"/>
        <v>16.691099476439792</v>
      </c>
      <c r="H2717" s="622" t="s">
        <v>3268</v>
      </c>
      <c r="I2717" s="620" t="s">
        <v>1781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4" t="str">
        <f>LEFT(base[[#This Row],[Evento / Mercado]],FIND("/",base[[#This Row],[Evento / Mercado]])-2)</f>
        <v>USA vs Paraguay</v>
      </c>
      <c r="T2717" s="1420">
        <f>base[[#This Row],[Data de liquidação]]</f>
        <v>46185.923738425925</v>
      </c>
    </row>
    <row r="2718" spans="2:22" ht="15" customHeight="1">
      <c r="B2718" s="807" t="s">
        <v>3316</v>
      </c>
      <c r="C2718" s="911" t="s">
        <v>3556</v>
      </c>
      <c r="D2718" s="1370">
        <v>46186.002592592595</v>
      </c>
      <c r="E2718" s="900">
        <v>36.39</v>
      </c>
      <c r="F2718" s="408">
        <v>4.4999999999999998E-2</v>
      </c>
      <c r="G2718" s="635">
        <f t="shared" si="43"/>
        <v>38.104712041884817</v>
      </c>
      <c r="H2718" s="635" t="s">
        <v>3334</v>
      </c>
      <c r="I2718" s="633" t="s">
        <v>627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4" t="str">
        <f>LEFT(base[[#This Row],[Evento / Mercado]],FIND("/",base[[#This Row],[Evento / Mercado]])-2)</f>
        <v>USA vs Paraguay</v>
      </c>
      <c r="T2718" s="1420">
        <f>base[[#This Row],[Data de liquidação]]</f>
        <v>46186.002592592595</v>
      </c>
    </row>
    <row r="2719" spans="2:22" ht="15" customHeight="1">
      <c r="B2719" s="807" t="s">
        <v>3315</v>
      </c>
      <c r="C2719" s="911" t="s">
        <v>3556</v>
      </c>
      <c r="D2719" s="1370">
        <v>46186.454293981478</v>
      </c>
      <c r="E2719" s="900">
        <v>5.97</v>
      </c>
      <c r="F2719" s="408">
        <v>4.4999999999999998E-2</v>
      </c>
      <c r="G2719" s="635">
        <f t="shared" si="43"/>
        <v>6.2513089005235605</v>
      </c>
      <c r="H2719" s="635" t="s">
        <v>1666</v>
      </c>
      <c r="I2719" s="633" t="s">
        <v>2951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4" t="str">
        <f>LEFT(base[[#This Row],[Evento / Mercado]],FIND("/",base[[#This Row],[Evento / Mercado]])-2)</f>
        <v>Ilves vs TPS</v>
      </c>
      <c r="T2719" s="1420">
        <f>base[[#This Row],[Data de liquidação]]</f>
        <v>46186.454293981478</v>
      </c>
    </row>
    <row r="2720" spans="2:22" ht="15" customHeight="1">
      <c r="B2720" s="807" t="s">
        <v>3314</v>
      </c>
      <c r="C2720" s="911" t="s">
        <v>3556</v>
      </c>
      <c r="D2720" s="1370">
        <v>46186.454687500001</v>
      </c>
      <c r="E2720" s="900">
        <v>26.15</v>
      </c>
      <c r="F2720" s="408">
        <v>4.4999999999999998E-2</v>
      </c>
      <c r="G2720" s="635">
        <f t="shared" si="43"/>
        <v>27.38219895287958</v>
      </c>
      <c r="H2720" s="635" t="s">
        <v>3271</v>
      </c>
      <c r="I2720" s="620" t="s">
        <v>627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4" t="str">
        <f>LEFT(base[[#This Row],[Evento / Mercado]],FIND("/",base[[#This Row],[Evento / Mercado]])-2)</f>
        <v>FC Inter Turku vs AC Oulu</v>
      </c>
      <c r="T2720" s="1420">
        <f>base[[#This Row],[Data de liquidação]]</f>
        <v>46186.454687500001</v>
      </c>
    </row>
    <row r="2721" spans="2:20" ht="15" customHeight="1">
      <c r="B2721" s="807" t="s">
        <v>3313</v>
      </c>
      <c r="C2721" s="911" t="s">
        <v>3556</v>
      </c>
      <c r="D2721" s="1370">
        <v>46186.532372685186</v>
      </c>
      <c r="E2721" s="900">
        <v>38.200000000000003</v>
      </c>
      <c r="F2721" s="408">
        <v>4.4999999999999998E-2</v>
      </c>
      <c r="G2721" s="635">
        <f t="shared" si="43"/>
        <v>40.000000000000007</v>
      </c>
      <c r="H2721" s="622" t="s">
        <v>3188</v>
      </c>
      <c r="I2721" s="633" t="s">
        <v>498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4" t="str">
        <f>LEFT(base[[#This Row],[Evento / Mercado]],FIND("/",base[[#This Row],[Evento / Mercado]])-2)</f>
        <v>Leiknir Reykjavík vs IF Vestri</v>
      </c>
      <c r="T2721" s="1420">
        <f>base[[#This Row],[Data de liquidação]]</f>
        <v>46186.532372685186</v>
      </c>
    </row>
    <row r="2722" spans="2:20" ht="15" customHeight="1">
      <c r="B2722" s="807" t="s">
        <v>3312</v>
      </c>
      <c r="C2722" s="911" t="s">
        <v>3556</v>
      </c>
      <c r="D2722" s="1370">
        <v>46186.579965277779</v>
      </c>
      <c r="E2722" s="900">
        <v>28.65</v>
      </c>
      <c r="F2722" s="408">
        <v>4.4999999999999998E-2</v>
      </c>
      <c r="G2722" s="635">
        <f t="shared" si="43"/>
        <v>30</v>
      </c>
      <c r="H2722" s="635" t="s">
        <v>3271</v>
      </c>
      <c r="I2722" s="633" t="s">
        <v>627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4" t="str">
        <f>LEFT(base[[#This Row],[Evento / Mercado]],FIND("/",base[[#This Row],[Evento / Mercado]])-2)</f>
        <v>FK Auda vs FS Jelgava</v>
      </c>
      <c r="T2722" s="1420">
        <f>base[[#This Row],[Data de liquidação]]</f>
        <v>46186.579965277779</v>
      </c>
    </row>
    <row r="2723" spans="2:20" ht="15" customHeight="1">
      <c r="B2723" s="807" t="s">
        <v>3311</v>
      </c>
      <c r="C2723" s="911" t="s">
        <v>3556</v>
      </c>
      <c r="D2723" s="1370">
        <v>46186.649027777778</v>
      </c>
      <c r="E2723" s="900">
        <v>0.27</v>
      </c>
      <c r="F2723" s="408">
        <v>4.4999999999999998E-2</v>
      </c>
      <c r="G2723" s="635">
        <f t="shared" si="43"/>
        <v>0.28272251308900526</v>
      </c>
      <c r="H2723" s="635" t="s">
        <v>3209</v>
      </c>
      <c r="I2723" s="633" t="s">
        <v>3211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4" t="str">
        <f>LEFT(base[[#This Row],[Evento / Mercado]],FIND("/",base[[#This Row],[Evento / Mercado]])-2)</f>
        <v>Coquimbo Unido vs O'Higgins</v>
      </c>
      <c r="T2723" s="1420">
        <f>base[[#This Row],[Data de liquidação]]</f>
        <v>46186.649027777778</v>
      </c>
    </row>
    <row r="2724" spans="2:20" ht="15" customHeight="1">
      <c r="B2724" s="807" t="s">
        <v>3310</v>
      </c>
      <c r="C2724" s="911" t="s">
        <v>3556</v>
      </c>
      <c r="D2724" s="1370">
        <v>46186.649178240739</v>
      </c>
      <c r="E2724" s="900">
        <v>8.17</v>
      </c>
      <c r="F2724" s="408">
        <v>4.4999999999999998E-2</v>
      </c>
      <c r="G2724" s="635">
        <f t="shared" si="43"/>
        <v>8.5549738219895293</v>
      </c>
      <c r="H2724" s="635" t="s">
        <v>3330</v>
      </c>
      <c r="I2724" s="926" t="s">
        <v>3570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4" t="str">
        <f>LEFT(base[[#This Row],[Evento / Mercado]],FIND("/",base[[#This Row],[Evento / Mercado]])-2)</f>
        <v>Coquimbo Unido vs O'Higgins</v>
      </c>
      <c r="T2724" s="1420">
        <f>base[[#This Row],[Data de liquidação]]</f>
        <v>46186.649178240739</v>
      </c>
    </row>
    <row r="2725" spans="2:20" ht="15" customHeight="1">
      <c r="B2725" s="807" t="s">
        <v>3309</v>
      </c>
      <c r="C2725" s="911" t="s">
        <v>3556</v>
      </c>
      <c r="D2725" s="1370">
        <v>46186.649201388886</v>
      </c>
      <c r="E2725" s="900">
        <v>-156.9</v>
      </c>
      <c r="F2725" s="408">
        <v>4.4999999999999998E-2</v>
      </c>
      <c r="G2725" s="635">
        <f t="shared" si="43"/>
        <v>-156.9</v>
      </c>
      <c r="H2725" s="622" t="s">
        <v>3268</v>
      </c>
      <c r="I2725" s="620" t="s">
        <v>1781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4" t="str">
        <f>LEFT(base[[#This Row],[Evento / Mercado]],FIND("/",base[[#This Row],[Evento / Mercado]])-2)</f>
        <v>Coquimbo Unido vs O'Higgins</v>
      </c>
      <c r="T2725" s="1420">
        <f>base[[#This Row],[Data de liquidação]]</f>
        <v>46186.649201388886</v>
      </c>
    </row>
    <row r="2726" spans="2:20" ht="15" customHeight="1">
      <c r="B2726" s="807" t="s">
        <v>3309</v>
      </c>
      <c r="C2726" s="911" t="s">
        <v>3556</v>
      </c>
      <c r="D2726" s="1370">
        <v>46186.649201388886</v>
      </c>
      <c r="E2726" s="900">
        <v>-2</v>
      </c>
      <c r="F2726" s="408">
        <v>4.4999999999999998E-2</v>
      </c>
      <c r="G2726" s="635">
        <f t="shared" si="43"/>
        <v>-2</v>
      </c>
      <c r="H2726" s="635" t="s">
        <v>1666</v>
      </c>
      <c r="I2726" s="633" t="s">
        <v>1760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4" t="str">
        <f>LEFT(base[[#This Row],[Evento / Mercado]],FIND("/",base[[#This Row],[Evento / Mercado]])-2)</f>
        <v>Coquimbo Unido vs O'Higgins</v>
      </c>
      <c r="T2726" s="1420">
        <f>base[[#This Row],[Data de liquidação]]</f>
        <v>46186.649201388886</v>
      </c>
    </row>
    <row r="2727" spans="2:20" ht="15" customHeight="1">
      <c r="B2727" s="807" t="s">
        <v>3308</v>
      </c>
      <c r="C2727" s="911" t="s">
        <v>3556</v>
      </c>
      <c r="D2727" s="1370">
        <v>46186.752199074072</v>
      </c>
      <c r="E2727" s="900">
        <v>38.200000000000003</v>
      </c>
      <c r="F2727" s="408">
        <v>4.4999999999999998E-2</v>
      </c>
      <c r="G2727" s="635">
        <f t="shared" si="43"/>
        <v>40.000000000000007</v>
      </c>
      <c r="H2727" s="622" t="s">
        <v>3188</v>
      </c>
      <c r="I2727" s="633" t="s">
        <v>1572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4" t="str">
        <f>LEFT(base[[#This Row],[Evento / Mercado]],FIND("/",base[[#This Row],[Evento / Mercado]])-2)</f>
        <v>Qatar vs Switzerland</v>
      </c>
      <c r="T2727" s="1420">
        <f>base[[#This Row],[Data de liquidação]]</f>
        <v>46186.752199074072</v>
      </c>
    </row>
    <row r="2728" spans="2:20" ht="15" customHeight="1">
      <c r="B2728" s="807" t="s">
        <v>3307</v>
      </c>
      <c r="C2728" s="911" t="s">
        <v>3556</v>
      </c>
      <c r="D2728" s="1370">
        <v>46186.759155092594</v>
      </c>
      <c r="E2728" s="900">
        <v>23.88</v>
      </c>
      <c r="F2728" s="408">
        <v>4.4999999999999998E-2</v>
      </c>
      <c r="G2728" s="635">
        <f t="shared" si="43"/>
        <v>25.005235602094242</v>
      </c>
      <c r="H2728" s="635" t="s">
        <v>179</v>
      </c>
      <c r="I2728" s="939" t="s">
        <v>3393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3331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4" t="str">
        <f>LEFT(base[[#This Row],[Evento / Mercado]],FIND("/",base[[#This Row],[Evento / Mercado]])-2)</f>
        <v>Qatar vs Switzerland</v>
      </c>
      <c r="T2728" s="1420">
        <f>base[[#This Row],[Data de liquidação]]</f>
        <v>46186.759155092594</v>
      </c>
    </row>
    <row r="2729" spans="2:20" ht="15" customHeight="1">
      <c r="B2729" s="807" t="s">
        <v>3306</v>
      </c>
      <c r="C2729" s="911" t="s">
        <v>3556</v>
      </c>
      <c r="D2729" s="1370">
        <v>46186.855949074074</v>
      </c>
      <c r="E2729" s="900">
        <v>31.83</v>
      </c>
      <c r="F2729" s="408">
        <v>4.4999999999999998E-2</v>
      </c>
      <c r="G2729" s="635">
        <f t="shared" si="43"/>
        <v>33.329842931937172</v>
      </c>
      <c r="H2729" s="635" t="s">
        <v>179</v>
      </c>
      <c r="I2729" s="633" t="s">
        <v>392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3332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4" t="str">
        <f>LEFT(base[[#This Row],[Evento / Mercado]],FIND("/",base[[#This Row],[Evento / Mercado]])-2)</f>
        <v>Colo-Colo vs Cobresal</v>
      </c>
      <c r="T2729" s="1420">
        <f>base[[#This Row],[Data de liquidação]]</f>
        <v>46186.855949074074</v>
      </c>
    </row>
    <row r="2730" spans="2:20" ht="15" customHeight="1">
      <c r="B2730" s="807" t="s">
        <v>3305</v>
      </c>
      <c r="C2730" s="911" t="s">
        <v>3556</v>
      </c>
      <c r="D2730" s="1370">
        <v>46186.937557870369</v>
      </c>
      <c r="E2730" s="900">
        <v>-1.81</v>
      </c>
      <c r="F2730" s="408">
        <v>4.4999999999999998E-2</v>
      </c>
      <c r="G2730" s="635">
        <f t="shared" si="43"/>
        <v>-1.81</v>
      </c>
      <c r="H2730" s="635" t="s">
        <v>1666</v>
      </c>
      <c r="I2730" s="633" t="s">
        <v>2363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4" t="str">
        <f>LEFT(base[[#This Row],[Evento / Mercado]],FIND("/",base[[#This Row],[Evento / Mercado]])-2)</f>
        <v>Birmingham Legion FC vs Las Vegas Lights</v>
      </c>
      <c r="T2730" s="1420">
        <f>base[[#This Row],[Data de liquidação]]</f>
        <v>46186.937557870369</v>
      </c>
    </row>
    <row r="2731" spans="2:20" ht="15" customHeight="1">
      <c r="B2731" s="807" t="s">
        <v>3303</v>
      </c>
      <c r="C2731" s="911" t="s">
        <v>3556</v>
      </c>
      <c r="D2731" s="1370">
        <v>46186.946284722224</v>
      </c>
      <c r="E2731" s="900">
        <v>-23.55</v>
      </c>
      <c r="F2731" s="408">
        <v>4.4999999999999998E-2</v>
      </c>
      <c r="G2731" s="635">
        <f t="shared" si="43"/>
        <v>-23.55</v>
      </c>
      <c r="H2731" s="635" t="s">
        <v>1666</v>
      </c>
      <c r="I2731" s="633" t="s">
        <v>1558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4" t="str">
        <f>LEFT(base[[#This Row],[Evento / Mercado]],FIND("/",base[[#This Row],[Evento / Mercado]])-2)</f>
        <v>Tampa Bay Rowdies vs Hartford Athletic FC</v>
      </c>
      <c r="T2731" s="1420">
        <f>base[[#This Row],[Data de liquidação]]</f>
        <v>46186.946284722224</v>
      </c>
    </row>
    <row r="2732" spans="2:20" ht="15" customHeight="1">
      <c r="B2732" s="807" t="s">
        <v>3303</v>
      </c>
      <c r="C2732" s="911" t="s">
        <v>3556</v>
      </c>
      <c r="D2732" s="1370">
        <v>46186.946284722224</v>
      </c>
      <c r="E2732" s="900">
        <v>6.07</v>
      </c>
      <c r="F2732" s="408">
        <v>0</v>
      </c>
      <c r="G2732" s="635">
        <f t="shared" si="43"/>
        <v>6.07</v>
      </c>
      <c r="H2732" s="635" t="s">
        <v>1666</v>
      </c>
      <c r="I2732" s="633" t="s">
        <v>2363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4" t="str">
        <f>LEFT(base[[#This Row],[Evento / Mercado]],FIND("/",base[[#This Row],[Evento / Mercado]])-2)</f>
        <v>Tampa Bay Rowdies vs Hartford Athletic FC</v>
      </c>
      <c r="T2732" s="1420">
        <f>base[[#This Row],[Data de liquidação]]</f>
        <v>46186.946284722224</v>
      </c>
    </row>
    <row r="2733" spans="2:20" ht="15" customHeight="1">
      <c r="B2733" s="807" t="s">
        <v>3304</v>
      </c>
      <c r="C2733" s="911" t="s">
        <v>3556</v>
      </c>
      <c r="D2733" s="1370">
        <v>46186.946284722224</v>
      </c>
      <c r="E2733" s="900">
        <v>-2</v>
      </c>
      <c r="F2733" s="408">
        <v>4.4999999999999998E-2</v>
      </c>
      <c r="G2733" s="635">
        <f t="shared" si="43"/>
        <v>-2</v>
      </c>
      <c r="H2733" s="635" t="s">
        <v>1666</v>
      </c>
      <c r="I2733" s="633" t="s">
        <v>3333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4" t="str">
        <f>LEFT(base[[#This Row],[Evento / Mercado]],FIND("/",base[[#This Row],[Evento / Mercado]])-2)</f>
        <v>Tampa Bay Rowdies vs Hartford Athletic FC</v>
      </c>
      <c r="T2733" s="1420">
        <f>base[[#This Row],[Data de liquidação]]</f>
        <v>46186.946284722224</v>
      </c>
    </row>
    <row r="2734" spans="2:20" ht="15" customHeight="1">
      <c r="B2734" s="807" t="s">
        <v>3302</v>
      </c>
      <c r="C2734" s="911" t="s">
        <v>3556</v>
      </c>
      <c r="D2734" s="1370">
        <v>46186.999710648146</v>
      </c>
      <c r="E2734" s="900">
        <v>-52.36</v>
      </c>
      <c r="F2734" s="408">
        <v>4.4999999999999998E-2</v>
      </c>
      <c r="G2734" s="635">
        <f t="shared" si="43"/>
        <v>-52.36</v>
      </c>
      <c r="H2734" s="635" t="s">
        <v>1666</v>
      </c>
      <c r="I2734" s="633" t="s">
        <v>2951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4" t="str">
        <f>LEFT(base[[#This Row],[Evento / Mercado]],FIND("/",base[[#This Row],[Evento / Mercado]])-2)</f>
        <v>Colorado Springs Switchbacks FC vs Sacramento Republic</v>
      </c>
      <c r="T2734" s="1420">
        <f>base[[#This Row],[Data de liquidação]]</f>
        <v>46186.999710648146</v>
      </c>
    </row>
    <row r="2735" spans="2:20" ht="15" customHeight="1">
      <c r="B2735" s="807" t="s">
        <v>3301</v>
      </c>
      <c r="C2735" s="911" t="s">
        <v>3556</v>
      </c>
      <c r="D2735" s="1370">
        <v>46187.001689814817</v>
      </c>
      <c r="E2735" s="900">
        <v>19.809999999999999</v>
      </c>
      <c r="F2735" s="408">
        <v>4.4999999999999998E-2</v>
      </c>
      <c r="G2735" s="635">
        <f t="shared" si="43"/>
        <v>20.743455497382197</v>
      </c>
      <c r="H2735" s="635" t="s">
        <v>3334</v>
      </c>
      <c r="I2735" s="633" t="s">
        <v>694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4" t="str">
        <f>LEFT(base[[#This Row],[Evento / Mercado]],FIND("/",base[[#This Row],[Evento / Mercado]])-2)</f>
        <v>Haiti vs Scotland</v>
      </c>
      <c r="T2735" s="1420">
        <f>base[[#This Row],[Data de liquidação]]</f>
        <v>46187.001689814817</v>
      </c>
    </row>
    <row r="2736" spans="2:20" ht="15" customHeight="1">
      <c r="B2736" s="807" t="s">
        <v>3300</v>
      </c>
      <c r="C2736" s="911" t="s">
        <v>3556</v>
      </c>
      <c r="D2736" s="1370">
        <v>46187.002245370371</v>
      </c>
      <c r="E2736" s="900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9" t="s">
        <v>3393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3331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4" t="str">
        <f>LEFT(base[[#This Row],[Evento / Mercado]],FIND("/",base[[#This Row],[Evento / Mercado]])-2)</f>
        <v>Haiti vs Scotland</v>
      </c>
      <c r="T2736" s="1420">
        <f>base[[#This Row],[Data de liquidação]]</f>
        <v>46187.002245370371</v>
      </c>
    </row>
    <row r="2737" spans="2:22" ht="15" customHeight="1">
      <c r="B2737" s="807" t="s">
        <v>3299</v>
      </c>
      <c r="C2737" s="911" t="s">
        <v>3556</v>
      </c>
      <c r="D2737" s="1370">
        <v>46187.12263888889</v>
      </c>
      <c r="E2737" s="900">
        <v>30.74</v>
      </c>
      <c r="F2737" s="408">
        <v>4.4999999999999998E-2</v>
      </c>
      <c r="G2737" s="635">
        <f t="shared" si="43"/>
        <v>32.188481675392673</v>
      </c>
      <c r="H2737" s="635" t="s">
        <v>3334</v>
      </c>
      <c r="I2737" s="633" t="s">
        <v>694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4" t="str">
        <f>LEFT(base[[#This Row],[Evento / Mercado]],FIND("/",base[[#This Row],[Evento / Mercado]])-2)</f>
        <v>Australia vs Turkey</v>
      </c>
      <c r="T2737" s="1420">
        <f>base[[#This Row],[Data de liquidação]]</f>
        <v>46187.12263888889</v>
      </c>
    </row>
    <row r="2738" spans="2:22" ht="15" customHeight="1">
      <c r="B2738" s="807" t="s">
        <v>3298</v>
      </c>
      <c r="C2738" s="911" t="s">
        <v>3556</v>
      </c>
      <c r="D2738" s="1370">
        <v>46187.410613425927</v>
      </c>
      <c r="E2738" s="900">
        <v>-5</v>
      </c>
      <c r="F2738" s="408">
        <v>4.4999999999999998E-2</v>
      </c>
      <c r="G2738" s="635">
        <f t="shared" si="43"/>
        <v>-5</v>
      </c>
      <c r="H2738" s="635" t="s">
        <v>1666</v>
      </c>
      <c r="I2738" s="633" t="s">
        <v>2883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4" t="str">
        <f>LEFT(base[[#This Row],[Evento / Mercado]],FIND("/",base[[#This Row],[Evento / Mercado]])-2)</f>
        <v>Norrby IF vs IK Oddevold</v>
      </c>
      <c r="T2738" s="1420">
        <f>base[[#This Row],[Data de liquidação]]</f>
        <v>46187.410613425927</v>
      </c>
    </row>
    <row r="2739" spans="2:22" ht="15" customHeight="1">
      <c r="B2739" s="807" t="s">
        <v>3297</v>
      </c>
      <c r="C2739" s="911" t="s">
        <v>3556</v>
      </c>
      <c r="D2739" s="1370">
        <v>46187.469687500001</v>
      </c>
      <c r="E2739" s="900">
        <v>1.24</v>
      </c>
      <c r="F2739" s="408">
        <v>4.4999999999999998E-2</v>
      </c>
      <c r="G2739" s="635">
        <f t="shared" si="43"/>
        <v>1.2984293193717278</v>
      </c>
      <c r="H2739" s="635" t="s">
        <v>1666</v>
      </c>
      <c r="I2739" s="633" t="s">
        <v>1795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4" t="str">
        <f>LEFT(base[[#This Row],[Evento / Mercado]],FIND("/",base[[#This Row],[Evento / Mercado]])-2)</f>
        <v>EC Juventude vs Atlética Ponte Preta</v>
      </c>
      <c r="T2739" s="1420">
        <f>base[[#This Row],[Data de liquidação]]</f>
        <v>46187.469687500001</v>
      </c>
    </row>
    <row r="2740" spans="2:22" ht="15" customHeight="1">
      <c r="B2740" s="807" t="s">
        <v>3296</v>
      </c>
      <c r="C2740" s="911" t="s">
        <v>3556</v>
      </c>
      <c r="D2740" s="1370">
        <v>46187.495428240742</v>
      </c>
      <c r="E2740" s="900">
        <v>84.89</v>
      </c>
      <c r="F2740" s="408">
        <v>4.4999999999999998E-2</v>
      </c>
      <c r="G2740" s="635">
        <f t="shared" si="43"/>
        <v>88.890052356020945</v>
      </c>
      <c r="H2740" s="635" t="s">
        <v>3271</v>
      </c>
      <c r="I2740" s="633" t="s">
        <v>627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4" t="str">
        <f>LEFT(base[[#This Row],[Evento / Mercado]],FIND("/",base[[#This Row],[Evento / Mercado]])-2)</f>
        <v>Falkenbergs FF vs Örebro SK</v>
      </c>
      <c r="T2740" s="1420">
        <f>base[[#This Row],[Data de liquidação]]</f>
        <v>46187.495428240742</v>
      </c>
    </row>
    <row r="2741" spans="2:22" ht="15" customHeight="1">
      <c r="B2741" s="807" t="s">
        <v>3295</v>
      </c>
      <c r="C2741" s="911" t="s">
        <v>3556</v>
      </c>
      <c r="D2741" s="1370">
        <v>46187.495567129627</v>
      </c>
      <c r="E2741" s="900">
        <v>42.65</v>
      </c>
      <c r="F2741" s="408">
        <v>4.4999999999999998E-2</v>
      </c>
      <c r="G2741" s="635">
        <f t="shared" si="43"/>
        <v>44.659685863874344</v>
      </c>
      <c r="H2741" s="635" t="s">
        <v>3330</v>
      </c>
      <c r="I2741" s="1248" t="s">
        <v>4367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4" t="str">
        <f>LEFT(base[[#This Row],[Evento / Mercado]],FIND("/",base[[#This Row],[Evento / Mercado]])-2)</f>
        <v>Falkenbergs FF vs Örebro SK</v>
      </c>
      <c r="T2741" s="1420">
        <f>base[[#This Row],[Data de liquidação]]</f>
        <v>46187.495567129627</v>
      </c>
    </row>
    <row r="2742" spans="2:22" ht="15" customHeight="1">
      <c r="B2742" s="807" t="s">
        <v>3294</v>
      </c>
      <c r="C2742" s="911" t="s">
        <v>3556</v>
      </c>
      <c r="D2742" s="1370">
        <v>46187.535914351851</v>
      </c>
      <c r="E2742" s="900">
        <v>33.08</v>
      </c>
      <c r="F2742" s="408">
        <v>4.4999999999999998E-2</v>
      </c>
      <c r="G2742" s="635">
        <f t="shared" si="43"/>
        <v>34.638743455497384</v>
      </c>
      <c r="H2742" s="635" t="s">
        <v>179</v>
      </c>
      <c r="I2742" s="633" t="s">
        <v>392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3059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4" t="str">
        <f>LEFT(base[[#This Row],[Evento / Mercado]],FIND("/",base[[#This Row],[Evento / Mercado]])-2)</f>
        <v>Strømsgodset vs Raufoss</v>
      </c>
      <c r="T2742" s="1420">
        <f>base[[#This Row],[Data de liquidação]]</f>
        <v>46187.535914351851</v>
      </c>
    </row>
    <row r="2743" spans="2:22" ht="15" customHeight="1">
      <c r="B2743" s="807" t="s">
        <v>3293</v>
      </c>
      <c r="C2743" s="911" t="s">
        <v>3556</v>
      </c>
      <c r="D2743" s="1370">
        <v>46187.536608796298</v>
      </c>
      <c r="E2743" s="900">
        <v>-11.11</v>
      </c>
      <c r="F2743" s="408">
        <v>4.4999999999999998E-2</v>
      </c>
      <c r="G2743" s="635">
        <f t="shared" si="43"/>
        <v>-11.11</v>
      </c>
      <c r="H2743" s="635" t="s">
        <v>3253</v>
      </c>
      <c r="I2743" s="633" t="s">
        <v>3254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4" t="str">
        <f>LEFT(base[[#This Row],[Evento / Mercado]],FIND("/",base[[#This Row],[Evento / Mercado]])-2)</f>
        <v>Stabæk vs Egersund</v>
      </c>
      <c r="T2743" s="1420">
        <f>base[[#This Row],[Data de liquidação]]</f>
        <v>46187.536608796298</v>
      </c>
    </row>
    <row r="2744" spans="2:22" ht="15" customHeight="1">
      <c r="B2744" s="807" t="s">
        <v>3292</v>
      </c>
      <c r="C2744" s="911" t="s">
        <v>3556</v>
      </c>
      <c r="D2744" s="1370">
        <v>46187.536747685182</v>
      </c>
      <c r="E2744" s="900">
        <v>6.84</v>
      </c>
      <c r="F2744" s="408">
        <v>4.4999999999999998E-2</v>
      </c>
      <c r="G2744" s="635">
        <f t="shared" si="43"/>
        <v>7.162303664921466</v>
      </c>
      <c r="H2744" s="635" t="s">
        <v>3253</v>
      </c>
      <c r="I2744" s="633" t="s">
        <v>1555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4" t="str">
        <f>LEFT(base[[#This Row],[Evento / Mercado]],FIND("/",base[[#This Row],[Evento / Mercado]])-2)</f>
        <v>Stabæk vs Egersund</v>
      </c>
      <c r="T2744" s="1420">
        <f>base[[#This Row],[Data de liquidação]]</f>
        <v>46187.536747685182</v>
      </c>
    </row>
    <row r="2745" spans="2:22" ht="15" customHeight="1">
      <c r="B2745" s="807" t="s">
        <v>3291</v>
      </c>
      <c r="C2745" s="911" t="s">
        <v>3556</v>
      </c>
      <c r="D2745" s="1370">
        <v>46187.538703703707</v>
      </c>
      <c r="E2745" s="900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694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3059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4" t="str">
        <f>LEFT(base[[#This Row],[Evento / Mercado]],FIND("/",base[[#This Row],[Evento / Mercado]])-2)</f>
        <v>Hødd vs Kongsvinger IL</v>
      </c>
      <c r="T2745" s="1420">
        <f>base[[#This Row],[Data de liquidação]]</f>
        <v>46187.538703703707</v>
      </c>
    </row>
    <row r="2746" spans="2:22" ht="15" customHeight="1">
      <c r="B2746" s="807" t="s">
        <v>3290</v>
      </c>
      <c r="C2746" s="911" t="s">
        <v>3556</v>
      </c>
      <c r="D2746" s="1370">
        <v>46187.538773148146</v>
      </c>
      <c r="E2746" s="900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693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3059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4" t="str">
        <f>LEFT(base[[#This Row],[Evento / Mercado]],FIND("/",base[[#This Row],[Evento / Mercado]])-2)</f>
        <v>Åsane vs Odds Ballklubb</v>
      </c>
      <c r="T2746" s="1420">
        <f>base[[#This Row],[Data de liquidação]]</f>
        <v>46187.538773148146</v>
      </c>
    </row>
    <row r="2747" spans="2:22" ht="15" customHeight="1">
      <c r="B2747" s="807" t="s">
        <v>3289</v>
      </c>
      <c r="C2747" s="911" t="s">
        <v>3556</v>
      </c>
      <c r="D2747" s="1370">
        <v>46187.546215277776</v>
      </c>
      <c r="E2747" s="900">
        <v>-48.85</v>
      </c>
      <c r="F2747" s="408">
        <v>4.4999999999999998E-2</v>
      </c>
      <c r="G2747" s="635">
        <f t="shared" si="43"/>
        <v>-48.85</v>
      </c>
      <c r="H2747" s="635" t="s">
        <v>1666</v>
      </c>
      <c r="I2747" s="633" t="s">
        <v>2951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4" t="str">
        <f>LEFT(base[[#This Row],[Evento / Mercado]],FIND("/",base[[#This Row],[Evento / Mercado]])-2)</f>
        <v>Brusque FC vs Santa Cruz FC</v>
      </c>
      <c r="T2747" s="1420">
        <f>base[[#This Row],[Data de liquidação]]</f>
        <v>46187.546215277776</v>
      </c>
    </row>
    <row r="2748" spans="2:22" ht="15" customHeight="1">
      <c r="B2748" s="807" t="s">
        <v>3288</v>
      </c>
      <c r="C2748" s="911" t="s">
        <v>3556</v>
      </c>
      <c r="D2748" s="1370">
        <v>46187.629837962966</v>
      </c>
      <c r="E2748" s="900">
        <v>38.200000000000003</v>
      </c>
      <c r="F2748" s="408">
        <v>4.4999999999999998E-2</v>
      </c>
      <c r="G2748" s="635">
        <f t="shared" si="43"/>
        <v>40.000000000000007</v>
      </c>
      <c r="H2748" s="635" t="s">
        <v>3188</v>
      </c>
      <c r="I2748" s="633" t="s">
        <v>389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4" t="str">
        <f>LEFT(base[[#This Row],[Evento / Mercado]],FIND("/",base[[#This Row],[Evento / Mercado]])-2)</f>
        <v>Þór Akureyri vs ÍB Vestmannaeyja</v>
      </c>
      <c r="T2748" s="1420">
        <f>base[[#This Row],[Data de liquidação]]</f>
        <v>46187.629837962966</v>
      </c>
    </row>
    <row r="2749" spans="2:22" ht="15" customHeight="1">
      <c r="B2749" s="807" t="s">
        <v>3287</v>
      </c>
      <c r="C2749" s="911" t="s">
        <v>3556</v>
      </c>
      <c r="D2749" s="1370">
        <v>46187.666087962964</v>
      </c>
      <c r="E2749" s="900">
        <v>14.143549999999999</v>
      </c>
      <c r="F2749" s="408">
        <v>4.4999999999999998E-2</v>
      </c>
      <c r="G2749" s="635">
        <f t="shared" si="43"/>
        <v>14.81</v>
      </c>
      <c r="H2749" s="635" t="s">
        <v>1555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3331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4" t="str">
        <f>LEFT(base[[#This Row],[Evento / Mercado]],FIND("/",base[[#This Row],[Evento / Mercado]])-2)</f>
        <v>Germany vs Curaçao</v>
      </c>
      <c r="T2749" s="142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807" t="s">
        <v>3287</v>
      </c>
      <c r="C2750" s="911" t="s">
        <v>3556</v>
      </c>
      <c r="D2750" s="1370">
        <v>46187.666087962964</v>
      </c>
      <c r="E2750" s="900">
        <v>7.7927999999999997</v>
      </c>
      <c r="F2750" s="408">
        <v>4.4999999999999998E-2</v>
      </c>
      <c r="G2750" s="635">
        <f t="shared" si="43"/>
        <v>8.16</v>
      </c>
      <c r="H2750" s="635" t="s">
        <v>179</v>
      </c>
      <c r="I2750" s="939" t="s">
        <v>3393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3331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4" t="str">
        <f>LEFT(base[[#This Row],[Evento / Mercado]],FIND("/",base[[#This Row],[Evento / Mercado]])-2)</f>
        <v>Germany vs Curaçao</v>
      </c>
      <c r="T2750" s="142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807" t="s">
        <v>3286</v>
      </c>
      <c r="C2751" s="911" t="s">
        <v>3556</v>
      </c>
      <c r="D2751" s="1370">
        <v>46187.788773148146</v>
      </c>
      <c r="E2751" s="900">
        <v>1.24</v>
      </c>
      <c r="F2751" s="408">
        <v>4.4999999999999998E-2</v>
      </c>
      <c r="G2751" s="635">
        <f t="shared" si="43"/>
        <v>1.2984293193717278</v>
      </c>
      <c r="H2751" s="635" t="s">
        <v>1666</v>
      </c>
      <c r="I2751" s="633" t="s">
        <v>1795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4" t="str">
        <f>LEFT(base[[#This Row],[Evento / Mercado]],FIND("/",base[[#This Row],[Evento / Mercado]])-2)</f>
        <v>Universidad Católica vs Universidad de Concepción</v>
      </c>
      <c r="T2751" s="1420">
        <f>base[[#This Row],[Data de liquidação]]</f>
        <v>46187.788773148146</v>
      </c>
    </row>
    <row r="2752" spans="2:22" ht="15" customHeight="1">
      <c r="B2752" s="807" t="s">
        <v>3285</v>
      </c>
      <c r="C2752" s="911" t="s">
        <v>3556</v>
      </c>
      <c r="D2752" s="1370">
        <v>46187.80159722222</v>
      </c>
      <c r="E2752" s="900">
        <v>14.33</v>
      </c>
      <c r="F2752" s="408">
        <v>4.4999999999999998E-2</v>
      </c>
      <c r="G2752" s="635">
        <f t="shared" si="43"/>
        <v>15.005235602094242</v>
      </c>
      <c r="H2752" s="635" t="s">
        <v>1666</v>
      </c>
      <c r="I2752" s="633" t="s">
        <v>1558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4" t="str">
        <f>LEFT(base[[#This Row],[Evento / Mercado]],FIND("/",base[[#This Row],[Evento / Mercado]])-2)</f>
        <v>Universidad Católica vs Universidad de Concepción</v>
      </c>
      <c r="T2752" s="1420">
        <f>base[[#This Row],[Data de liquidação]]</f>
        <v>46187.80159722222</v>
      </c>
    </row>
    <row r="2753" spans="2:22" ht="15" customHeight="1">
      <c r="B2753" s="807" t="s">
        <v>3284</v>
      </c>
      <c r="C2753" s="911" t="s">
        <v>3556</v>
      </c>
      <c r="D2753" s="1370">
        <v>46187.813946759263</v>
      </c>
      <c r="E2753" s="900">
        <v>12.54</v>
      </c>
      <c r="F2753" s="408">
        <v>4.4999999999999998E-2</v>
      </c>
      <c r="G2753" s="635">
        <f t="shared" si="43"/>
        <v>13.130890052356021</v>
      </c>
      <c r="H2753" s="635" t="s">
        <v>3268</v>
      </c>
      <c r="I2753" s="620" t="s">
        <v>1781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4" t="str">
        <f>LEFT(base[[#This Row],[Evento / Mercado]],FIND("/",base[[#This Row],[Evento / Mercado]])-2)</f>
        <v>Gremio Novorizontino vs Clube Náutico Capibaribe</v>
      </c>
      <c r="T2753" s="1420">
        <f>base[[#This Row],[Data de liquidação]]</f>
        <v>46187.813946759263</v>
      </c>
    </row>
    <row r="2754" spans="2:22" ht="15" customHeight="1">
      <c r="B2754" s="807" t="s">
        <v>3283</v>
      </c>
      <c r="C2754" s="911" t="s">
        <v>3556</v>
      </c>
      <c r="D2754" s="1370">
        <v>46187.854363425926</v>
      </c>
      <c r="E2754" s="900">
        <v>61.941299999999998</v>
      </c>
      <c r="F2754" s="408">
        <v>4.4999999999999998E-2</v>
      </c>
      <c r="G2754" s="635">
        <f t="shared" si="43"/>
        <v>64.86</v>
      </c>
      <c r="H2754" s="635" t="s">
        <v>179</v>
      </c>
      <c r="I2754" s="633" t="s">
        <v>392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3332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4" t="str">
        <f>LEFT(base[[#This Row],[Evento / Mercado]],FIND("/",base[[#This Row],[Evento / Mercado]])-2)</f>
        <v>Universidad Católica vs Universidad de Concepción</v>
      </c>
      <c r="T2754" s="142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807" t="s">
        <v>3283</v>
      </c>
      <c r="C2755" s="911" t="s">
        <v>3556</v>
      </c>
      <c r="D2755" s="1370">
        <v>46187.854363425926</v>
      </c>
      <c r="E2755" s="900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1666</v>
      </c>
      <c r="I2755" s="633" t="s">
        <v>1717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4" t="str">
        <f>LEFT(base[[#This Row],[Evento / Mercado]],FIND("/",base[[#This Row],[Evento / Mercado]])-2)</f>
        <v>Universidad Católica vs Universidad de Concepción</v>
      </c>
      <c r="T2755" s="142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807" t="s">
        <v>3282</v>
      </c>
      <c r="C2756" s="911" t="s">
        <v>3556</v>
      </c>
      <c r="D2756" s="1370">
        <v>46187.876747685186</v>
      </c>
      <c r="E2756" s="900">
        <v>44.03</v>
      </c>
      <c r="F2756" s="408">
        <v>4.4999999999999998E-2</v>
      </c>
      <c r="G2756" s="635">
        <f t="shared" si="51"/>
        <v>46.104712041884817</v>
      </c>
      <c r="H2756" s="635" t="s">
        <v>3330</v>
      </c>
      <c r="I2756" s="1248" t="s">
        <v>4367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4" t="str">
        <f>LEFT(base[[#This Row],[Evento / Mercado]],FIND("/",base[[#This Row],[Evento / Mercado]])-2)</f>
        <v>Gremio Novorizontino vs Clube Náutico Capibaribe</v>
      </c>
      <c r="T2756" s="1420">
        <f>base[[#This Row],[Data de liquidação]]</f>
        <v>46187.876747685186</v>
      </c>
    </row>
    <row r="2757" spans="2:22" ht="15" customHeight="1">
      <c r="B2757" s="807" t="s">
        <v>3281</v>
      </c>
      <c r="C2757" s="911" t="s">
        <v>3556</v>
      </c>
      <c r="D2757" s="1370">
        <v>46187.919722222221</v>
      </c>
      <c r="E2757" s="900">
        <v>-65.599999999999994</v>
      </c>
      <c r="F2757" s="408">
        <v>4.4999999999999998E-2</v>
      </c>
      <c r="G2757" s="635">
        <f t="shared" si="51"/>
        <v>-65.599999999999994</v>
      </c>
      <c r="H2757" s="635" t="s">
        <v>3188</v>
      </c>
      <c r="I2757" s="633" t="s">
        <v>1572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4" t="str">
        <f>LEFT(base[[#This Row],[Evento / Mercado]],FIND("/",base[[#This Row],[Evento / Mercado]])-2)</f>
        <v>Ivory Coast vs Ecuador</v>
      </c>
      <c r="T2757" s="1420">
        <f>base[[#This Row],[Data de liquidação]]</f>
        <v>46187.919722222221</v>
      </c>
    </row>
    <row r="2758" spans="2:22" ht="15" customHeight="1">
      <c r="B2758" s="807" t="s">
        <v>3280</v>
      </c>
      <c r="C2758" s="911" t="s">
        <v>3556</v>
      </c>
      <c r="D2758" s="1370">
        <v>46188.014756944445</v>
      </c>
      <c r="E2758" s="900">
        <v>38.200000000000003</v>
      </c>
      <c r="F2758" s="408">
        <v>4.4999999999999998E-2</v>
      </c>
      <c r="G2758" s="635">
        <f t="shared" si="51"/>
        <v>40.000000000000007</v>
      </c>
      <c r="H2758" s="635" t="s">
        <v>3188</v>
      </c>
      <c r="I2758" s="633" t="s">
        <v>389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4" t="str">
        <f>LEFT(base[[#This Row],[Evento / Mercado]],FIND("/",base[[#This Row],[Evento / Mercado]])-2)</f>
        <v>Sweden vs Tunisia</v>
      </c>
      <c r="T2758" s="1420">
        <f>base[[#This Row],[Data de liquidação]]</f>
        <v>46188.014756944445</v>
      </c>
    </row>
    <row r="2759" spans="2:22" ht="15" customHeight="1">
      <c r="B2759" s="807" t="s">
        <v>3279</v>
      </c>
      <c r="C2759" s="911" t="s">
        <v>3556</v>
      </c>
      <c r="D2759" s="1370">
        <v>46188.039652777778</v>
      </c>
      <c r="E2759" s="900">
        <v>30.56</v>
      </c>
      <c r="F2759" s="408">
        <v>4.4999999999999998E-2</v>
      </c>
      <c r="G2759" s="635">
        <f t="shared" si="51"/>
        <v>32</v>
      </c>
      <c r="H2759" s="635" t="s">
        <v>3334</v>
      </c>
      <c r="I2759" s="633" t="s">
        <v>627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4" t="str">
        <f>LEFT(base[[#This Row],[Evento / Mercado]],FIND("/",base[[#This Row],[Evento / Mercado]])-2)</f>
        <v>Sweden vs Tunisia</v>
      </c>
      <c r="T2759" s="1420">
        <f>base[[#This Row],[Data de liquidação]]</f>
        <v>46188.039652777778</v>
      </c>
    </row>
    <row r="2760" spans="2:22" ht="15" customHeight="1">
      <c r="B2760" s="808" t="s">
        <v>3352</v>
      </c>
      <c r="C2760" s="911" t="s">
        <v>3556</v>
      </c>
      <c r="D2760" s="1371">
        <v>46188.62259259259</v>
      </c>
      <c r="E2760" s="901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628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3331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4" t="str">
        <f>LEFT(base[[#This Row],[Evento / Mercado]],FIND("/",base[[#This Row],[Evento / Mercado]])-2)</f>
        <v>Spain vs Cape Verde</v>
      </c>
      <c r="T2760" s="1420">
        <f>base[[#This Row],[Data de liquidação]]</f>
        <v>46188.62259259259</v>
      </c>
    </row>
    <row r="2761" spans="2:22" ht="15" customHeight="1">
      <c r="B2761" s="808" t="s">
        <v>3351</v>
      </c>
      <c r="C2761" s="911" t="s">
        <v>3556</v>
      </c>
      <c r="D2761" s="1371">
        <v>46188.622916666667</v>
      </c>
      <c r="E2761" s="901">
        <v>-120</v>
      </c>
      <c r="F2761" s="408">
        <v>4.4999999999999998E-2</v>
      </c>
      <c r="G2761" s="644">
        <f t="shared" si="51"/>
        <v>-120</v>
      </c>
      <c r="H2761" s="635" t="s">
        <v>3188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4" t="str">
        <f>LEFT(base[[#This Row],[Evento / Mercado]],FIND("/",base[[#This Row],[Evento / Mercado]])-2)</f>
        <v>Spain vs Cape Verde</v>
      </c>
      <c r="T2761" s="1420">
        <f>base[[#This Row],[Data de liquidação]]</f>
        <v>46188.622916666667</v>
      </c>
    </row>
    <row r="2762" spans="2:22" ht="15" customHeight="1">
      <c r="B2762" s="808" t="s">
        <v>3350</v>
      </c>
      <c r="C2762" s="911" t="s">
        <v>3556</v>
      </c>
      <c r="D2762" s="1371">
        <v>46188.623020833336</v>
      </c>
      <c r="E2762" s="901">
        <v>9.3000000000000007</v>
      </c>
      <c r="F2762" s="408">
        <v>0</v>
      </c>
      <c r="G2762" s="644">
        <f t="shared" si="51"/>
        <v>9.3000000000000007</v>
      </c>
      <c r="H2762" s="635" t="s">
        <v>179</v>
      </c>
      <c r="I2762" s="939" t="s">
        <v>3393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3331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4" t="str">
        <f>LEFT(base[[#This Row],[Evento / Mercado]],FIND("/",base[[#This Row],[Evento / Mercado]])-2)</f>
        <v>Spain vs Cape Verde</v>
      </c>
      <c r="T2762" s="1420">
        <f>base[[#This Row],[Data de liquidação]]</f>
        <v>46188.623020833336</v>
      </c>
    </row>
    <row r="2763" spans="2:22" ht="15" customHeight="1">
      <c r="B2763" s="808" t="s">
        <v>3350</v>
      </c>
      <c r="C2763" s="911" t="s">
        <v>3556</v>
      </c>
      <c r="D2763" s="1371">
        <v>46188.623020833336</v>
      </c>
      <c r="E2763" s="901">
        <v>-400.01</v>
      </c>
      <c r="F2763" s="408">
        <v>4.4999999999999998E-2</v>
      </c>
      <c r="G2763" s="644">
        <f t="shared" si="51"/>
        <v>-400.01</v>
      </c>
      <c r="H2763" s="644" t="s">
        <v>1555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3331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4" t="str">
        <f>LEFT(base[[#This Row],[Evento / Mercado]],FIND("/",base[[#This Row],[Evento / Mercado]])-2)</f>
        <v>Spain vs Cape Verde</v>
      </c>
      <c r="T2763" s="1420">
        <f>base[[#This Row],[Data de liquidação]]</f>
        <v>46188.623020833336</v>
      </c>
    </row>
    <row r="2764" spans="2:22" ht="15" customHeight="1">
      <c r="B2764" s="808" t="s">
        <v>3349</v>
      </c>
      <c r="C2764" s="911" t="s">
        <v>3556</v>
      </c>
      <c r="D2764" s="1371">
        <v>46188.648599537039</v>
      </c>
      <c r="E2764" s="901">
        <v>38.200000000000003</v>
      </c>
      <c r="F2764" s="408">
        <v>4.4999999999999998E-2</v>
      </c>
      <c r="G2764" s="644">
        <f t="shared" si="51"/>
        <v>40.000000000000007</v>
      </c>
      <c r="H2764" s="635" t="s">
        <v>3188</v>
      </c>
      <c r="I2764" s="633" t="s">
        <v>1572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4" t="str">
        <f>LEFT(base[[#This Row],[Evento / Mercado]],FIND("/",base[[#This Row],[Evento / Mercado]])-2)</f>
        <v>IFK Norrköping vs Varbergs BoIS</v>
      </c>
      <c r="T2764" s="1420">
        <f>base[[#This Row],[Data de liquidação]]</f>
        <v>46188.648599537039</v>
      </c>
    </row>
    <row r="2765" spans="2:22" ht="15" customHeight="1">
      <c r="B2765" s="808" t="s">
        <v>3348</v>
      </c>
      <c r="C2765" s="911" t="s">
        <v>3556</v>
      </c>
      <c r="D2765" s="1371">
        <v>46188.660844907405</v>
      </c>
      <c r="E2765" s="901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694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40" t="s">
        <v>2434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4" t="str">
        <f>LEFT(base[[#This Row],[Evento / Mercado]],FIND("/",base[[#This Row],[Evento / Mercado]])-2)</f>
        <v>GIF Sundsvall vs Östers IF</v>
      </c>
      <c r="T2765" s="1420">
        <f>base[[#This Row],[Data de liquidação]]</f>
        <v>46188.660844907405</v>
      </c>
    </row>
    <row r="2766" spans="2:22" ht="15" customHeight="1">
      <c r="B2766" s="808" t="s">
        <v>3347</v>
      </c>
      <c r="C2766" s="911" t="s">
        <v>3556</v>
      </c>
      <c r="D2766" s="1371">
        <v>46188.661006944443</v>
      </c>
      <c r="E2766" s="901">
        <v>-5</v>
      </c>
      <c r="F2766" s="408">
        <v>4.4999999999999998E-2</v>
      </c>
      <c r="G2766" s="644">
        <f t="shared" si="51"/>
        <v>-5</v>
      </c>
      <c r="H2766" s="635" t="s">
        <v>1666</v>
      </c>
      <c r="I2766" s="633" t="s">
        <v>2883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4" t="str">
        <f>LEFT(base[[#This Row],[Evento / Mercado]],FIND("/",base[[#This Row],[Evento / Mercado]])-2)</f>
        <v>GIF Sundsvall vs Östers IF</v>
      </c>
      <c r="T2766" s="1420">
        <f>base[[#This Row],[Data de liquidação]]</f>
        <v>46188.661006944443</v>
      </c>
    </row>
    <row r="2767" spans="2:22" ht="15" customHeight="1">
      <c r="B2767" s="808" t="s">
        <v>3346</v>
      </c>
      <c r="C2767" s="911" t="s">
        <v>3556</v>
      </c>
      <c r="D2767" s="1371">
        <v>46188.731423611112</v>
      </c>
      <c r="E2767" s="901">
        <v>38.200000000000003</v>
      </c>
      <c r="F2767" s="408">
        <v>4.4999999999999998E-2</v>
      </c>
      <c r="G2767" s="644">
        <f t="shared" si="51"/>
        <v>40.000000000000007</v>
      </c>
      <c r="H2767" s="635" t="s">
        <v>3188</v>
      </c>
      <c r="I2767" s="633" t="s">
        <v>1572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4" t="str">
        <f>LEFT(base[[#This Row],[Evento / Mercado]],FIND("/",base[[#This Row],[Evento / Mercado]])-2)</f>
        <v>Belgium vs Egypt</v>
      </c>
      <c r="T2767" s="1420">
        <f>base[[#This Row],[Data de liquidação]]</f>
        <v>46188.731423611112</v>
      </c>
    </row>
    <row r="2768" spans="2:22" ht="15" customHeight="1">
      <c r="B2768" s="808" t="s">
        <v>3345</v>
      </c>
      <c r="C2768" s="911" t="s">
        <v>3556</v>
      </c>
      <c r="D2768" s="1371">
        <v>46188.748425925929</v>
      </c>
      <c r="E2768" s="901">
        <v>35.7361</v>
      </c>
      <c r="F2768" s="408">
        <v>4.4999999999999998E-2</v>
      </c>
      <c r="G2768" s="644">
        <f t="shared" si="51"/>
        <v>37.42</v>
      </c>
      <c r="H2768" s="644" t="s">
        <v>3209</v>
      </c>
      <c r="I2768" s="642" t="s">
        <v>3210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4" t="str">
        <f>LEFT(base[[#This Row],[Evento / Mercado]],FIND("/",base[[#This Row],[Evento / Mercado]])-2)</f>
        <v>Belgium vs Egypt</v>
      </c>
      <c r="T2768" s="142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808" t="s">
        <v>3345</v>
      </c>
      <c r="C2769" s="911" t="s">
        <v>3556</v>
      </c>
      <c r="D2769" s="1371">
        <v>46188.748425925929</v>
      </c>
      <c r="E2769" s="901">
        <v>24.409799999999997</v>
      </c>
      <c r="F2769" s="408">
        <v>4.4999999999999998E-2</v>
      </c>
      <c r="G2769" s="644">
        <f t="shared" si="51"/>
        <v>25.56</v>
      </c>
      <c r="H2769" s="644" t="s">
        <v>3334</v>
      </c>
      <c r="I2769" s="642" t="s">
        <v>627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4" t="str">
        <f>LEFT(base[[#This Row],[Evento / Mercado]],FIND("/",base[[#This Row],[Evento / Mercado]])-2)</f>
        <v>Belgium vs Egypt</v>
      </c>
      <c r="T2769" s="142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808" t="s">
        <v>3344</v>
      </c>
      <c r="C2770" s="911" t="s">
        <v>3556</v>
      </c>
      <c r="D2770" s="1371">
        <v>46188.748865740738</v>
      </c>
      <c r="E2770" s="901">
        <v>0</v>
      </c>
      <c r="F2770" s="408">
        <v>4.4999999999999998E-2</v>
      </c>
      <c r="G2770" s="644">
        <f t="shared" si="51"/>
        <v>0</v>
      </c>
      <c r="H2770" s="644" t="s">
        <v>3333</v>
      </c>
      <c r="I2770" s="1026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4" t="str">
        <f>LEFT(base[[#This Row],[Evento / Mercado]],FIND("/",base[[#This Row],[Evento / Mercado]])-2)</f>
        <v>Belgium vs Egypt</v>
      </c>
      <c r="T2770" s="1420">
        <f>base[[#This Row],[Data de liquidação]]</f>
        <v>46188.748865740738</v>
      </c>
    </row>
    <row r="2771" spans="2:22" ht="15" customHeight="1">
      <c r="B2771" s="808" t="s">
        <v>3343</v>
      </c>
      <c r="C2771" s="911" t="s">
        <v>3556</v>
      </c>
      <c r="D2771" s="1371">
        <v>46188.749050925922</v>
      </c>
      <c r="E2771" s="901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9" t="s">
        <v>3393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3331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4" t="str">
        <f>LEFT(base[[#This Row],[Evento / Mercado]],FIND("/",base[[#This Row],[Evento / Mercado]])-2)</f>
        <v>Belgium vs Egypt</v>
      </c>
      <c r="T2771" s="1420">
        <f>base[[#This Row],[Data de liquidação]]</f>
        <v>46188.749050925922</v>
      </c>
    </row>
    <row r="2772" spans="2:22" ht="15" customHeight="1">
      <c r="B2772" s="808" t="s">
        <v>3342</v>
      </c>
      <c r="C2772" s="911" t="s">
        <v>3556</v>
      </c>
      <c r="D2772" s="1371">
        <v>46188.866053240738</v>
      </c>
      <c r="E2772" s="901">
        <v>38.200000000000003</v>
      </c>
      <c r="F2772" s="408">
        <v>4.4999999999999998E-2</v>
      </c>
      <c r="G2772" s="644">
        <f t="shared" si="51"/>
        <v>40.000000000000007</v>
      </c>
      <c r="H2772" s="635" t="s">
        <v>3188</v>
      </c>
      <c r="I2772" s="633" t="s">
        <v>1572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4" t="str">
        <f>LEFT(base[[#This Row],[Evento / Mercado]],FIND("/",base[[#This Row],[Evento / Mercado]])-2)</f>
        <v>Saudi Arabia vs Uruguay</v>
      </c>
      <c r="T2772" s="1420">
        <f>base[[#This Row],[Data de liquidação]]</f>
        <v>46188.866053240738</v>
      </c>
      <c r="V2772" s="11"/>
    </row>
    <row r="2773" spans="2:22" ht="15" customHeight="1">
      <c r="B2773" s="808" t="s">
        <v>3341</v>
      </c>
      <c r="C2773" s="911" t="s">
        <v>3556</v>
      </c>
      <c r="D2773" s="1371">
        <v>46188.959201388891</v>
      </c>
      <c r="E2773" s="901">
        <v>8.42</v>
      </c>
      <c r="F2773" s="408">
        <v>4.4999999999999998E-2</v>
      </c>
      <c r="G2773" s="644">
        <f t="shared" si="51"/>
        <v>8.8167539267015709</v>
      </c>
      <c r="H2773" s="635" t="s">
        <v>3330</v>
      </c>
      <c r="I2773" s="1248" t="s">
        <v>4368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4" t="str">
        <f>LEFT(base[[#This Row],[Evento / Mercado]],FIND("/",base[[#This Row],[Evento / Mercado]])-2)</f>
        <v>Criciúma EC vs Ceará SC</v>
      </c>
      <c r="T2773" s="1420">
        <f>base[[#This Row],[Data de liquidação]]</f>
        <v>46188.959201388891</v>
      </c>
    </row>
    <row r="2774" spans="2:22" ht="15" customHeight="1">
      <c r="B2774" s="808" t="s">
        <v>3340</v>
      </c>
      <c r="C2774" s="911" t="s">
        <v>3556</v>
      </c>
      <c r="D2774" s="1371">
        <v>46188.974270833336</v>
      </c>
      <c r="E2774" s="901">
        <v>38.200000000000003</v>
      </c>
      <c r="F2774" s="408">
        <v>4.4999999999999998E-2</v>
      </c>
      <c r="G2774" s="644">
        <f t="shared" si="51"/>
        <v>40.000000000000007</v>
      </c>
      <c r="H2774" s="635" t="s">
        <v>3188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4" t="str">
        <f>LEFT(base[[#This Row],[Evento / Mercado]],FIND("/",base[[#This Row],[Evento / Mercado]])-2)</f>
        <v>Iran vs New Zealand</v>
      </c>
      <c r="T2774" s="1420">
        <f>base[[#This Row],[Data de liquidação]]</f>
        <v>46188.974270833336</v>
      </c>
    </row>
    <row r="2775" spans="2:22" ht="15" customHeight="1">
      <c r="B2775" s="808" t="s">
        <v>3339</v>
      </c>
      <c r="C2775" s="911" t="s">
        <v>3556</v>
      </c>
      <c r="D2775" s="1371">
        <v>46189.00203703704</v>
      </c>
      <c r="E2775" s="901">
        <v>38.6</v>
      </c>
      <c r="F2775" s="408">
        <v>4.4999999999999998E-2</v>
      </c>
      <c r="G2775" s="644">
        <f t="shared" si="51"/>
        <v>40.418848167539274</v>
      </c>
      <c r="H2775" s="644" t="s">
        <v>3334</v>
      </c>
      <c r="I2775" s="642" t="s">
        <v>627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4" t="str">
        <f>LEFT(base[[#This Row],[Evento / Mercado]],FIND("/",base[[#This Row],[Evento / Mercado]])-2)</f>
        <v>Iran vs New Zealand</v>
      </c>
      <c r="T2775" s="1420">
        <f>base[[#This Row],[Data de liquidação]]</f>
        <v>46189.00203703704</v>
      </c>
    </row>
    <row r="2776" spans="2:22" ht="15" customHeight="1">
      <c r="B2776" s="668" t="s">
        <v>3384</v>
      </c>
      <c r="C2776" s="911" t="s">
        <v>3556</v>
      </c>
      <c r="D2776" s="1279">
        <v>46189.577118055553</v>
      </c>
      <c r="E2776" s="902">
        <v>-120</v>
      </c>
      <c r="F2776" s="408">
        <v>4.4999999999999998E-2</v>
      </c>
      <c r="G2776" s="649">
        <f t="shared" si="51"/>
        <v>-120</v>
      </c>
      <c r="H2776" s="635" t="s">
        <v>3188</v>
      </c>
      <c r="I2776" s="647" t="s">
        <v>498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4" t="str">
        <f>LEFT(base[[#This Row],[Evento / Mercado]],FIND("/",base[[#This Row],[Evento / Mercado]])-2)</f>
        <v>BFC Daugavpils vs SK Super Nova</v>
      </c>
      <c r="T2776" s="1420">
        <f>base[[#This Row],[Data de liquidação]]</f>
        <v>46189.577118055553</v>
      </c>
    </row>
    <row r="2777" spans="2:22" ht="15" customHeight="1">
      <c r="B2777" s="668" t="s">
        <v>3383</v>
      </c>
      <c r="C2777" s="911" t="s">
        <v>3556</v>
      </c>
      <c r="D2777" s="1279">
        <v>46189.607233796298</v>
      </c>
      <c r="E2777" s="902">
        <v>38.200000000000003</v>
      </c>
      <c r="F2777" s="408">
        <v>4.4999999999999998E-2</v>
      </c>
      <c r="G2777" s="649">
        <f t="shared" si="51"/>
        <v>40.000000000000007</v>
      </c>
      <c r="H2777" s="635" t="s">
        <v>3188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4" t="str">
        <f>LEFT(base[[#This Row],[Evento / Mercado]],FIND("/",base[[#This Row],[Evento / Mercado]])-2)</f>
        <v>Pärnu JK Vaprus vs Tallinna FC Flora</v>
      </c>
      <c r="T2777" s="1420">
        <f>base[[#This Row],[Data de liquidação]]</f>
        <v>46189.607233796298</v>
      </c>
    </row>
    <row r="2778" spans="2:22" ht="15" customHeight="1">
      <c r="B2778" s="668" t="s">
        <v>3382</v>
      </c>
      <c r="C2778" s="911" t="s">
        <v>3556</v>
      </c>
      <c r="D2778" s="1279">
        <v>46189.619745370372</v>
      </c>
      <c r="E2778" s="902">
        <v>-112.5</v>
      </c>
      <c r="F2778" s="408">
        <v>4.4999999999999998E-2</v>
      </c>
      <c r="G2778" s="649">
        <f t="shared" si="51"/>
        <v>-112.5</v>
      </c>
      <c r="H2778" s="649" t="s">
        <v>3268</v>
      </c>
      <c r="I2778" s="620" t="s">
        <v>1781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4" t="str">
        <f>LEFT(base[[#This Row],[Evento / Mercado]],FIND("/",base[[#This Row],[Evento / Mercado]])-2)</f>
        <v>FC Kuressaare vs Narva Trans</v>
      </c>
      <c r="T2778" s="1420">
        <f>base[[#This Row],[Data de liquidação]]</f>
        <v>46189.619745370372</v>
      </c>
    </row>
    <row r="2779" spans="2:22" ht="15" customHeight="1">
      <c r="B2779" s="668" t="s">
        <v>3382</v>
      </c>
      <c r="C2779" s="911" t="s">
        <v>3556</v>
      </c>
      <c r="D2779" s="1279">
        <v>46189.619745370372</v>
      </c>
      <c r="E2779" s="902">
        <v>-120</v>
      </c>
      <c r="F2779" s="408">
        <v>4.4999999999999998E-2</v>
      </c>
      <c r="G2779" s="649">
        <f t="shared" si="51"/>
        <v>-120</v>
      </c>
      <c r="H2779" s="635" t="s">
        <v>3188</v>
      </c>
      <c r="I2779" s="647" t="s">
        <v>498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4" t="str">
        <f>LEFT(base[[#This Row],[Evento / Mercado]],FIND("/",base[[#This Row],[Evento / Mercado]])-2)</f>
        <v>FC Kuressaare vs Narva Trans</v>
      </c>
      <c r="T2779" s="1420">
        <f>base[[#This Row],[Data de liquidação]]</f>
        <v>46189.619745370372</v>
      </c>
    </row>
    <row r="2780" spans="2:22" ht="15" customHeight="1">
      <c r="B2780" s="668" t="s">
        <v>3381</v>
      </c>
      <c r="C2780" s="911" t="s">
        <v>3556</v>
      </c>
      <c r="D2780" s="1279">
        <v>46189.620682870373</v>
      </c>
      <c r="E2780" s="902">
        <v>-120</v>
      </c>
      <c r="F2780" s="408">
        <v>4.4999999999999998E-2</v>
      </c>
      <c r="G2780" s="649">
        <f t="shared" si="51"/>
        <v>-120</v>
      </c>
      <c r="H2780" s="635" t="s">
        <v>3188</v>
      </c>
      <c r="I2780" s="647" t="s">
        <v>1572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4" t="str">
        <f>LEFT(base[[#This Row],[Evento / Mercado]],FIND("/",base[[#This Row],[Evento / Mercado]])-2)</f>
        <v>FK Grobinas vs FK Liepaja</v>
      </c>
      <c r="T2780" s="1420">
        <f>base[[#This Row],[Data de liquidação]]</f>
        <v>46189.620682870373</v>
      </c>
    </row>
    <row r="2781" spans="2:22" ht="15" customHeight="1">
      <c r="B2781" s="668" t="s">
        <v>3380</v>
      </c>
      <c r="C2781" s="911" t="s">
        <v>3556</v>
      </c>
      <c r="D2781" s="1279">
        <v>46189.661990740744</v>
      </c>
      <c r="E2781" s="902">
        <v>-120</v>
      </c>
      <c r="F2781" s="408">
        <v>4.4999999999999998E-2</v>
      </c>
      <c r="G2781" s="649">
        <f t="shared" si="51"/>
        <v>-120</v>
      </c>
      <c r="H2781" s="635" t="s">
        <v>3188</v>
      </c>
      <c r="I2781" s="647" t="s">
        <v>1572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4" t="str">
        <f>LEFT(base[[#This Row],[Evento / Mercado]],FIND("/",base[[#This Row],[Evento / Mercado]])-2)</f>
        <v>IFK Värnamo vs Helsingborgs IF</v>
      </c>
      <c r="T2781" s="1420">
        <f>base[[#This Row],[Data de liquidação]]</f>
        <v>46189.661990740744</v>
      </c>
    </row>
    <row r="2782" spans="2:22" ht="15" customHeight="1">
      <c r="B2782" s="668" t="s">
        <v>3379</v>
      </c>
      <c r="C2782" s="911" t="s">
        <v>3556</v>
      </c>
      <c r="D2782" s="1279">
        <v>46189.664282407408</v>
      </c>
      <c r="E2782" s="902">
        <v>-120</v>
      </c>
      <c r="F2782" s="408">
        <v>4.4999999999999998E-2</v>
      </c>
      <c r="G2782" s="649">
        <f t="shared" si="51"/>
        <v>-120</v>
      </c>
      <c r="H2782" s="635" t="s">
        <v>3188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4" t="str">
        <f>LEFT(base[[#This Row],[Evento / Mercado]],FIND("/",base[[#This Row],[Evento / Mercado]])-2)</f>
        <v>Landskrona BoIS vs United IK Nordic</v>
      </c>
      <c r="T2782" s="1420">
        <f>base[[#This Row],[Data de liquidação]]</f>
        <v>46189.664282407408</v>
      </c>
    </row>
    <row r="2783" spans="2:22" ht="15" customHeight="1">
      <c r="B2783" s="668" t="s">
        <v>3392</v>
      </c>
      <c r="C2783" s="911" t="s">
        <v>3555</v>
      </c>
      <c r="D2783" s="1279">
        <v>46189.704444444447</v>
      </c>
      <c r="E2783" s="902">
        <v>-8</v>
      </c>
      <c r="F2783" s="408">
        <v>4.4999999999999998E-2</v>
      </c>
      <c r="G2783" s="649">
        <f t="shared" si="51"/>
        <v>-8</v>
      </c>
      <c r="H2783" s="649" t="s">
        <v>3385</v>
      </c>
      <c r="I2783" s="647" t="s">
        <v>3387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4" t="str">
        <f>LEFT(base[[#This Row],[Evento / Mercado]],FIND("/",base[[#This Row],[Evento / Mercado]])-2)</f>
        <v>France vs Senegal</v>
      </c>
      <c r="T2783" s="1420">
        <f>base[[#This Row],[Data de liquidação]]</f>
        <v>46189.704444444447</v>
      </c>
    </row>
    <row r="2784" spans="2:22" ht="15" customHeight="1">
      <c r="B2784" s="668" t="s">
        <v>3378</v>
      </c>
      <c r="C2784" s="911" t="s">
        <v>3556</v>
      </c>
      <c r="D2784" s="1279">
        <v>46189.71125</v>
      </c>
      <c r="E2784" s="902">
        <v>-12</v>
      </c>
      <c r="F2784" s="408">
        <v>4.4999999999999998E-2</v>
      </c>
      <c r="G2784" s="649">
        <f t="shared" si="51"/>
        <v>-12</v>
      </c>
      <c r="H2784" s="649" t="s">
        <v>3385</v>
      </c>
      <c r="I2784" s="647" t="s">
        <v>3387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4" t="str">
        <f>LEFT(base[[#This Row],[Evento / Mercado]],FIND("/",base[[#This Row],[Evento / Mercado]])-2)</f>
        <v>Víkingur vs KR Reykjavik</v>
      </c>
      <c r="T2784" s="1420">
        <f>base[[#This Row],[Data de liquidação]]</f>
        <v>46189.71125</v>
      </c>
    </row>
    <row r="2785" spans="2:22" ht="15" customHeight="1">
      <c r="B2785" s="668" t="s">
        <v>3377</v>
      </c>
      <c r="C2785" s="911" t="s">
        <v>3556</v>
      </c>
      <c r="D2785" s="1279">
        <v>46189.729837962965</v>
      </c>
      <c r="E2785" s="902">
        <v>38.200000000000003</v>
      </c>
      <c r="F2785" s="408">
        <v>4.4999999999999998E-2</v>
      </c>
      <c r="G2785" s="649">
        <f t="shared" si="51"/>
        <v>40.000000000000007</v>
      </c>
      <c r="H2785" s="635" t="s">
        <v>3188</v>
      </c>
      <c r="I2785" s="647" t="s">
        <v>498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4" t="str">
        <f>LEFT(base[[#This Row],[Evento / Mercado]],FIND("/",base[[#This Row],[Evento / Mercado]])-2)</f>
        <v>France vs Senegal</v>
      </c>
      <c r="T2785" s="1420">
        <f>base[[#This Row],[Data de liquidação]]</f>
        <v>46189.729837962965</v>
      </c>
    </row>
    <row r="2786" spans="2:22" ht="15" customHeight="1">
      <c r="B2786" s="668" t="s">
        <v>3376</v>
      </c>
      <c r="C2786" s="911" t="s">
        <v>3556</v>
      </c>
      <c r="D2786" s="1279">
        <v>46189.742118055554</v>
      </c>
      <c r="E2786" s="902">
        <v>38.08</v>
      </c>
      <c r="F2786" s="408">
        <v>4.4999999999999998E-2</v>
      </c>
      <c r="G2786" s="649">
        <f t="shared" si="51"/>
        <v>39.874345549738223</v>
      </c>
      <c r="H2786" s="635" t="s">
        <v>3188</v>
      </c>
      <c r="I2786" s="647" t="s">
        <v>1572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4" t="str">
        <f>LEFT(base[[#This Row],[Evento / Mercado]],FIND("/",base[[#This Row],[Evento / Mercado]])-2)</f>
        <v>Víkingur vs KR Reykjavik</v>
      </c>
      <c r="T2786" s="1420">
        <f>base[[#This Row],[Data de liquidação]]</f>
        <v>46189.742118055554</v>
      </c>
    </row>
    <row r="2787" spans="2:22" ht="15" customHeight="1">
      <c r="B2787" s="668" t="s">
        <v>3375</v>
      </c>
      <c r="C2787" s="911" t="s">
        <v>3556</v>
      </c>
      <c r="D2787" s="1279">
        <v>46189.75277777778</v>
      </c>
      <c r="E2787" s="902">
        <v>21.391999999999999</v>
      </c>
      <c r="F2787" s="408">
        <v>4.4999999999999998E-2</v>
      </c>
      <c r="G2787" s="649">
        <f t="shared" si="51"/>
        <v>22.400000000000002</v>
      </c>
      <c r="H2787" s="649" t="s">
        <v>3334</v>
      </c>
      <c r="I2787" s="647" t="s">
        <v>627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3331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4" t="str">
        <f>LEFT(base[[#This Row],[Evento / Mercado]],FIND("/",base[[#This Row],[Evento / Mercado]])-2)</f>
        <v>France vs Senegal</v>
      </c>
      <c r="T2787" s="142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668" t="s">
        <v>3375</v>
      </c>
      <c r="C2788" s="911" t="s">
        <v>3556</v>
      </c>
      <c r="D2788" s="1279">
        <v>46189.75277777778</v>
      </c>
      <c r="E2788" s="902">
        <v>32.135749999999994</v>
      </c>
      <c r="F2788" s="408">
        <v>4.4999999999999998E-2</v>
      </c>
      <c r="G2788" s="649">
        <f t="shared" si="51"/>
        <v>33.65</v>
      </c>
      <c r="H2788" s="649" t="s">
        <v>3209</v>
      </c>
      <c r="I2788" s="647" t="s">
        <v>3210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4" t="str">
        <f>LEFT(base[[#This Row],[Evento / Mercado]],FIND("/",base[[#This Row],[Evento / Mercado]])-2)</f>
        <v>France vs Senegal</v>
      </c>
      <c r="T2788" s="142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668" t="s">
        <v>3374</v>
      </c>
      <c r="C2789" s="911" t="s">
        <v>3556</v>
      </c>
      <c r="D2789" s="1279">
        <v>46189.753425925926</v>
      </c>
      <c r="E2789" s="902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9" t="s">
        <v>3393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3331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4" t="str">
        <f>LEFT(base[[#This Row],[Evento / Mercado]],FIND("/",base[[#This Row],[Evento / Mercado]])-2)</f>
        <v>France vs Senegal</v>
      </c>
      <c r="T2789" s="1420">
        <f>base[[#This Row],[Data de liquidação]]</f>
        <v>46189.753425925926</v>
      </c>
    </row>
    <row r="2790" spans="2:22" ht="15" customHeight="1">
      <c r="B2790" s="668" t="s">
        <v>3374</v>
      </c>
      <c r="C2790" s="911" t="s">
        <v>3555</v>
      </c>
      <c r="D2790" s="1279">
        <v>46189.753425925926</v>
      </c>
      <c r="E2790" s="902">
        <v>-14.15</v>
      </c>
      <c r="F2790" s="408">
        <v>4.4999999999999998E-2</v>
      </c>
      <c r="G2790" s="649">
        <f t="shared" si="51"/>
        <v>-14.15</v>
      </c>
      <c r="H2790" s="649" t="s">
        <v>3385</v>
      </c>
      <c r="I2790" s="647" t="s">
        <v>3386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4" t="str">
        <f>LEFT(base[[#This Row],[Evento / Mercado]],FIND("/",base[[#This Row],[Evento / Mercado]])-2)</f>
        <v>France vs Senegal</v>
      </c>
      <c r="T2790" s="1420">
        <f>base[[#This Row],[Data de liquidação]]</f>
        <v>46189.753425925926</v>
      </c>
    </row>
    <row r="2791" spans="2:22" ht="15" customHeight="1">
      <c r="B2791" s="668" t="s">
        <v>3373</v>
      </c>
      <c r="C2791" s="911" t="s">
        <v>3556</v>
      </c>
      <c r="D2791" s="1279">
        <v>46189.756122685183</v>
      </c>
      <c r="E2791" s="902">
        <v>4.63</v>
      </c>
      <c r="F2791" s="408">
        <v>4.4999999999999998E-2</v>
      </c>
      <c r="G2791" s="649">
        <f t="shared" si="51"/>
        <v>4.848167539267016</v>
      </c>
      <c r="H2791" s="649" t="s">
        <v>3385</v>
      </c>
      <c r="I2791" s="647" t="s">
        <v>3386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4" t="str">
        <f>LEFT(base[[#This Row],[Evento / Mercado]],FIND("/",base[[#This Row],[Evento / Mercado]])-2)</f>
        <v>Víkingur vs KR Reykjavik</v>
      </c>
      <c r="T2791" s="1420">
        <f>base[[#This Row],[Data de liquidação]]</f>
        <v>46189.756122685183</v>
      </c>
    </row>
    <row r="2792" spans="2:22" ht="15" customHeight="1">
      <c r="B2792" s="668" t="s">
        <v>3372</v>
      </c>
      <c r="C2792" s="911" t="s">
        <v>3556</v>
      </c>
      <c r="D2792" s="1279">
        <v>46189.861493055556</v>
      </c>
      <c r="E2792" s="902">
        <v>38.200000000000003</v>
      </c>
      <c r="F2792" s="408">
        <v>4.4999999999999998E-2</v>
      </c>
      <c r="G2792" s="649">
        <f t="shared" si="51"/>
        <v>40.000000000000007</v>
      </c>
      <c r="H2792" s="635" t="s">
        <v>3188</v>
      </c>
      <c r="I2792" s="647" t="s">
        <v>389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4" t="str">
        <f>LEFT(base[[#This Row],[Evento / Mercado]],FIND("/",base[[#This Row],[Evento / Mercado]])-2)</f>
        <v>Iraq vs Norway</v>
      </c>
      <c r="T2792" s="1420">
        <f>base[[#This Row],[Data de liquidação]]</f>
        <v>46189.861493055556</v>
      </c>
    </row>
    <row r="2793" spans="2:22" ht="15" customHeight="1">
      <c r="B2793" s="668" t="s">
        <v>3371</v>
      </c>
      <c r="C2793" s="911" t="s">
        <v>3556</v>
      </c>
      <c r="D2793" s="1279">
        <v>46189.876064814816</v>
      </c>
      <c r="E2793" s="902">
        <v>24.65</v>
      </c>
      <c r="F2793" s="408">
        <v>4.4999999999999998E-2</v>
      </c>
      <c r="G2793" s="649">
        <f t="shared" si="51"/>
        <v>25.811518324607331</v>
      </c>
      <c r="H2793" s="649" t="s">
        <v>179</v>
      </c>
      <c r="I2793" s="939" t="s">
        <v>3393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3331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4" t="str">
        <f>LEFT(base[[#This Row],[Evento / Mercado]],FIND("/",base[[#This Row],[Evento / Mercado]])-2)</f>
        <v>Iraq vs Norway</v>
      </c>
      <c r="T2793" s="1420">
        <f>base[[#This Row],[Data de liquidação]]</f>
        <v>46189.876064814816</v>
      </c>
    </row>
    <row r="2794" spans="2:22" ht="15" customHeight="1">
      <c r="B2794" s="668" t="s">
        <v>3370</v>
      </c>
      <c r="C2794" s="911" t="s">
        <v>3556</v>
      </c>
      <c r="D2794" s="1279">
        <v>46189.919282407405</v>
      </c>
      <c r="E2794" s="902">
        <v>1.53</v>
      </c>
      <c r="F2794" s="408">
        <v>4.4999999999999998E-2</v>
      </c>
      <c r="G2794" s="649">
        <f t="shared" si="51"/>
        <v>1.6020942408376964</v>
      </c>
      <c r="H2794" s="649" t="s">
        <v>1666</v>
      </c>
      <c r="I2794" s="647" t="s">
        <v>3333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4" t="str">
        <f>LEFT(base[[#This Row],[Evento / Mercado]],FIND("/",base[[#This Row],[Evento / Mercado]])-2)</f>
        <v>Fortaleza EC vs América-MG</v>
      </c>
      <c r="T2794" s="1420">
        <f>base[[#This Row],[Data de liquidação]]</f>
        <v>46189.919282407405</v>
      </c>
    </row>
    <row r="2795" spans="2:22" ht="15" customHeight="1">
      <c r="B2795" s="668" t="s">
        <v>3369</v>
      </c>
      <c r="C2795" s="911" t="s">
        <v>3556</v>
      </c>
      <c r="D2795" s="1279">
        <v>46189.919340277775</v>
      </c>
      <c r="E2795" s="902">
        <v>-100</v>
      </c>
      <c r="F2795" s="408">
        <v>4.4999999999999998E-2</v>
      </c>
      <c r="G2795" s="649">
        <f t="shared" si="51"/>
        <v>-100</v>
      </c>
      <c r="H2795" s="649" t="s">
        <v>3333</v>
      </c>
      <c r="I2795" s="647" t="s">
        <v>3388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4" t="str">
        <f>LEFT(base[[#This Row],[Evento / Mercado]],FIND("/",base[[#This Row],[Evento / Mercado]])-2)</f>
        <v>Fortaleza EC vs América-MG</v>
      </c>
      <c r="T2795" s="1420">
        <f>base[[#This Row],[Data de liquidação]]</f>
        <v>46189.919340277775</v>
      </c>
    </row>
    <row r="2796" spans="2:22" ht="15" customHeight="1">
      <c r="B2796" s="668" t="s">
        <v>3368</v>
      </c>
      <c r="C2796" s="911" t="s">
        <v>3556</v>
      </c>
      <c r="D2796" s="1279">
        <v>46189.919363425928</v>
      </c>
      <c r="E2796" s="902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392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2955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4" t="str">
        <f>LEFT(base[[#This Row],[Evento / Mercado]],FIND("/",base[[#This Row],[Evento / Mercado]])-2)</f>
        <v>Fortaleza EC vs América-MG</v>
      </c>
      <c r="T2796" s="1420">
        <f>base[[#This Row],[Data de liquidação]]</f>
        <v>46189.919363425928</v>
      </c>
    </row>
    <row r="2797" spans="2:22" ht="15" customHeight="1">
      <c r="B2797" s="668" t="s">
        <v>3367</v>
      </c>
      <c r="C2797" s="911" t="s">
        <v>3556</v>
      </c>
      <c r="D2797" s="1279">
        <v>46189.97552083333</v>
      </c>
      <c r="E2797" s="902">
        <v>38.200000000000003</v>
      </c>
      <c r="F2797" s="408">
        <v>4.4999999999999998E-2</v>
      </c>
      <c r="G2797" s="649">
        <f t="shared" si="51"/>
        <v>40.000000000000007</v>
      </c>
      <c r="H2797" s="635" t="s">
        <v>3188</v>
      </c>
      <c r="I2797" s="647" t="s">
        <v>1572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4" t="str">
        <f>LEFT(base[[#This Row],[Evento / Mercado]],FIND("/",base[[#This Row],[Evento / Mercado]])-2)</f>
        <v>Argentina vs Algeria</v>
      </c>
      <c r="T2797" s="1420">
        <f>base[[#This Row],[Data de liquidação]]</f>
        <v>46189.97552083333</v>
      </c>
    </row>
    <row r="2798" spans="2:22" ht="15" customHeight="1">
      <c r="B2798" s="668" t="s">
        <v>3366</v>
      </c>
      <c r="C2798" s="911" t="s">
        <v>3556</v>
      </c>
      <c r="D2798" s="1279">
        <v>46190.035000000003</v>
      </c>
      <c r="E2798" s="902">
        <v>47.75</v>
      </c>
      <c r="F2798" s="408">
        <v>4.4999999999999998E-2</v>
      </c>
      <c r="G2798" s="649">
        <f t="shared" si="51"/>
        <v>50</v>
      </c>
      <c r="H2798" s="649" t="s">
        <v>179</v>
      </c>
      <c r="I2798" s="939" t="s">
        <v>3393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3331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4" t="str">
        <f>LEFT(base[[#This Row],[Evento / Mercado]],FIND("/",base[[#This Row],[Evento / Mercado]])-2)</f>
        <v>Argentina vs Algeria</v>
      </c>
      <c r="T2798" s="1420">
        <f>base[[#This Row],[Data de liquidação]]</f>
        <v>46190.035000000003</v>
      </c>
    </row>
    <row r="2799" spans="2:22" ht="15" customHeight="1">
      <c r="B2799" s="668" t="s">
        <v>3365</v>
      </c>
      <c r="C2799" s="911" t="s">
        <v>3556</v>
      </c>
      <c r="D2799" s="1279">
        <v>46190.553622685184</v>
      </c>
      <c r="E2799" s="902">
        <v>22.23</v>
      </c>
      <c r="F2799" s="408">
        <v>4.4999999999999998E-2</v>
      </c>
      <c r="G2799" s="649">
        <f t="shared" si="51"/>
        <v>23.277486910994767</v>
      </c>
      <c r="H2799" s="649" t="s">
        <v>3334</v>
      </c>
      <c r="I2799" s="647" t="s">
        <v>627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3331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4" t="str">
        <f>LEFT(base[[#This Row],[Evento / Mercado]],FIND("/",base[[#This Row],[Evento / Mercado]])-2)</f>
        <v>Austria vs Jordan</v>
      </c>
      <c r="T2799" s="1420">
        <f>base[[#This Row],[Data de liquidação]]</f>
        <v>46190.553622685184</v>
      </c>
    </row>
    <row r="2800" spans="2:22" ht="15" customHeight="1">
      <c r="B2800" s="668" t="s">
        <v>3364</v>
      </c>
      <c r="C2800" s="911" t="s">
        <v>3556</v>
      </c>
      <c r="D2800" s="1279">
        <v>46190.577881944446</v>
      </c>
      <c r="E2800" s="902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693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3389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4" t="str">
        <f>LEFT(base[[#This Row],[Evento / Mercado]],FIND("/",base[[#This Row],[Evento / Mercado]])-2)</f>
        <v>FK Tukums 2000 vs FK Auda</v>
      </c>
      <c r="T2800" s="1420">
        <f>base[[#This Row],[Data de liquidação]]</f>
        <v>46190.577881944446</v>
      </c>
    </row>
    <row r="2801" spans="2:22" ht="15" customHeight="1">
      <c r="B2801" s="668" t="s">
        <v>3363</v>
      </c>
      <c r="C2801" s="911" t="s">
        <v>3556</v>
      </c>
      <c r="D2801" s="1279">
        <v>46190.578657407408</v>
      </c>
      <c r="E2801" s="902">
        <v>5.97</v>
      </c>
      <c r="F2801" s="408">
        <v>4.4999999999999998E-2</v>
      </c>
      <c r="G2801" s="649">
        <f t="shared" si="51"/>
        <v>6.2513089005235605</v>
      </c>
      <c r="H2801" s="649" t="s">
        <v>3330</v>
      </c>
      <c r="I2801" s="926" t="s">
        <v>3570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4" t="str">
        <f>LEFT(base[[#This Row],[Evento / Mercado]],FIND("/",base[[#This Row],[Evento / Mercado]])-2)</f>
        <v>Ilves vs FF Jaro</v>
      </c>
      <c r="T2801" s="1420">
        <f>base[[#This Row],[Data de liquidação]]</f>
        <v>46190.578657407408</v>
      </c>
    </row>
    <row r="2802" spans="2:22" ht="15" customHeight="1">
      <c r="B2802" s="668" t="s">
        <v>3362</v>
      </c>
      <c r="C2802" s="911" t="s">
        <v>3556</v>
      </c>
      <c r="D2802" s="1279">
        <v>46190.602060185185</v>
      </c>
      <c r="E2802" s="902">
        <v>38.200000000000003</v>
      </c>
      <c r="F2802" s="408">
        <v>4.4999999999999998E-2</v>
      </c>
      <c r="G2802" s="649">
        <f t="shared" si="51"/>
        <v>40.000000000000007</v>
      </c>
      <c r="H2802" s="635" t="s">
        <v>3188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4" t="str">
        <f>LEFT(base[[#This Row],[Evento / Mercado]],FIND("/",base[[#This Row],[Evento / Mercado]])-2)</f>
        <v>Riga FC vs Rigas Futbola Skola</v>
      </c>
      <c r="T2802" s="1420">
        <f>base[[#This Row],[Data de liquidação]]</f>
        <v>46190.602060185185</v>
      </c>
    </row>
    <row r="2803" spans="2:22" ht="15" customHeight="1">
      <c r="B2803" s="668" t="s">
        <v>3361</v>
      </c>
      <c r="C2803" s="911" t="s">
        <v>3556</v>
      </c>
      <c r="D2803" s="1279">
        <v>46190.618368055555</v>
      </c>
      <c r="E2803" s="902">
        <v>-111.35</v>
      </c>
      <c r="F2803" s="408">
        <v>4.4999999999999998E-2</v>
      </c>
      <c r="G2803" s="649">
        <f t="shared" si="51"/>
        <v>-111.35</v>
      </c>
      <c r="H2803" s="635" t="s">
        <v>3188</v>
      </c>
      <c r="I2803" s="647" t="s">
        <v>1572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4" t="str">
        <f>LEFT(base[[#This Row],[Evento / Mercado]],FIND("/",base[[#This Row],[Evento / Mercado]])-2)</f>
        <v>Paide Linnameeskond vs Harju JK Laagri</v>
      </c>
      <c r="T2803" s="1420">
        <f>base[[#This Row],[Data de liquidação]]</f>
        <v>46190.618368055555</v>
      </c>
    </row>
    <row r="2804" spans="2:22" ht="15" customHeight="1">
      <c r="B2804" s="668" t="s">
        <v>3360</v>
      </c>
      <c r="C2804" s="911" t="s">
        <v>3556</v>
      </c>
      <c r="D2804" s="1279">
        <v>46190.666331018518</v>
      </c>
      <c r="E2804" s="902">
        <v>-120</v>
      </c>
      <c r="F2804" s="408">
        <v>4.4999999999999998E-2</v>
      </c>
      <c r="G2804" s="649">
        <f t="shared" si="51"/>
        <v>-120</v>
      </c>
      <c r="H2804" s="635" t="s">
        <v>3188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4" t="str">
        <f>LEFT(base[[#This Row],[Evento / Mercado]],FIND("/",base[[#This Row],[Evento / Mercado]])-2)</f>
        <v>Portugal vs Congo DR</v>
      </c>
      <c r="T2804" s="1420">
        <f>base[[#This Row],[Data de liquidação]]</f>
        <v>46190.666331018518</v>
      </c>
    </row>
    <row r="2805" spans="2:22" ht="15" customHeight="1">
      <c r="B2805" s="668" t="s">
        <v>3359</v>
      </c>
      <c r="C2805" s="911" t="s">
        <v>3556</v>
      </c>
      <c r="D2805" s="1279">
        <v>46190.666539351849</v>
      </c>
      <c r="E2805" s="902">
        <v>28.3</v>
      </c>
      <c r="F2805" s="408">
        <v>4.4999999999999998E-2</v>
      </c>
      <c r="G2805" s="649">
        <f t="shared" si="51"/>
        <v>29.633507853403142</v>
      </c>
      <c r="H2805" s="649" t="s">
        <v>179</v>
      </c>
      <c r="I2805" s="939" t="s">
        <v>3393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3331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4" t="str">
        <f>LEFT(base[[#This Row],[Evento / Mercado]],FIND("/",base[[#This Row],[Evento / Mercado]])-2)</f>
        <v>Portugal vs Congo DR</v>
      </c>
      <c r="T2805" s="1420">
        <f>base[[#This Row],[Data de liquidação]]</f>
        <v>46190.666539351849</v>
      </c>
    </row>
    <row r="2806" spans="2:22" ht="15" customHeight="1">
      <c r="B2806" s="668" t="s">
        <v>3358</v>
      </c>
      <c r="C2806" s="911" t="s">
        <v>3556</v>
      </c>
      <c r="D2806" s="1279">
        <v>46190.706076388888</v>
      </c>
      <c r="E2806" s="902">
        <v>21.72</v>
      </c>
      <c r="F2806" s="408">
        <v>4.4999999999999998E-2</v>
      </c>
      <c r="G2806" s="649">
        <f t="shared" si="51"/>
        <v>22.7434554973822</v>
      </c>
      <c r="H2806" s="649" t="s">
        <v>3330</v>
      </c>
      <c r="I2806" s="1248" t="s">
        <v>4368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4" t="str">
        <f>LEFT(base[[#This Row],[Evento / Mercado]],FIND("/",base[[#This Row],[Evento / Mercado]])-2)</f>
        <v>IF Gnistan vs FC Lahti</v>
      </c>
      <c r="T2806" s="1420">
        <f>base[[#This Row],[Data de liquidação]]</f>
        <v>46190.706076388888</v>
      </c>
    </row>
    <row r="2807" spans="2:22" ht="15" customHeight="1">
      <c r="B2807" s="668" t="s">
        <v>3357</v>
      </c>
      <c r="C2807" s="911" t="s">
        <v>3556</v>
      </c>
      <c r="D2807" s="1279">
        <v>46190.734097222223</v>
      </c>
      <c r="E2807" s="902">
        <v>38.200000000000003</v>
      </c>
      <c r="F2807" s="408">
        <v>4.4999999999999998E-2</v>
      </c>
      <c r="G2807" s="649">
        <f t="shared" si="51"/>
        <v>40.000000000000007</v>
      </c>
      <c r="H2807" s="635" t="s">
        <v>3188</v>
      </c>
      <c r="I2807" s="647" t="s">
        <v>1572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4" t="str">
        <f>LEFT(base[[#This Row],[Evento / Mercado]],FIND("/",base[[#This Row],[Evento / Mercado]])-2)</f>
        <v>England vs Croatia</v>
      </c>
      <c r="T2807" s="1420">
        <f>base[[#This Row],[Data de liquidação]]</f>
        <v>46190.734097222223</v>
      </c>
    </row>
    <row r="2808" spans="2:22" ht="15" customHeight="1">
      <c r="B2808" s="668" t="s">
        <v>3356</v>
      </c>
      <c r="C2808" s="911" t="s">
        <v>3556</v>
      </c>
      <c r="D2808" s="1279">
        <v>46190.792118055557</v>
      </c>
      <c r="E2808" s="902">
        <v>0.2</v>
      </c>
      <c r="F2808" s="408">
        <v>4.4999999999999998E-2</v>
      </c>
      <c r="G2808" s="649">
        <f t="shared" si="51"/>
        <v>0.20942408376963353</v>
      </c>
      <c r="H2808" s="649" t="s">
        <v>3209</v>
      </c>
      <c r="I2808" s="647" t="s">
        <v>3211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4" t="str">
        <f>LEFT(base[[#This Row],[Evento / Mercado]],FIND("/",base[[#This Row],[Evento / Mercado]])-2)</f>
        <v>England vs Croatia</v>
      </c>
      <c r="T2808" s="1420">
        <f>base[[#This Row],[Data de liquidação]]</f>
        <v>46190.792118055557</v>
      </c>
    </row>
    <row r="2809" spans="2:22" ht="15" customHeight="1">
      <c r="B2809" s="668" t="s">
        <v>3356</v>
      </c>
      <c r="C2809" s="911" t="s">
        <v>3555</v>
      </c>
      <c r="D2809" s="1279">
        <v>46190.792118055557</v>
      </c>
      <c r="E2809" s="902">
        <v>27.16</v>
      </c>
      <c r="F2809" s="408">
        <v>2.8000000000000001E-2</v>
      </c>
      <c r="G2809" s="649">
        <f t="shared" si="51"/>
        <v>27.942386831275719</v>
      </c>
      <c r="H2809" s="649" t="s">
        <v>3334</v>
      </c>
      <c r="I2809" s="647" t="s">
        <v>627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3331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4" t="str">
        <f>LEFT(base[[#This Row],[Evento / Mercado]],FIND("/",base[[#This Row],[Evento / Mercado]])-2)</f>
        <v>England vs Croatia</v>
      </c>
      <c r="T2809" s="1420">
        <f>base[[#This Row],[Data de liquidação]]</f>
        <v>46190.792118055557</v>
      </c>
    </row>
    <row r="2810" spans="2:22" ht="15" customHeight="1">
      <c r="B2810" s="668" t="s">
        <v>3355</v>
      </c>
      <c r="C2810" s="911" t="s">
        <v>3556</v>
      </c>
      <c r="D2810" s="1279">
        <v>46190.795243055552</v>
      </c>
      <c r="E2810" s="902">
        <v>5.26</v>
      </c>
      <c r="F2810" s="408">
        <v>4.4999999999999998E-2</v>
      </c>
      <c r="G2810" s="649">
        <f t="shared" si="51"/>
        <v>5.5078534031413611</v>
      </c>
      <c r="H2810" s="649" t="s">
        <v>3330</v>
      </c>
      <c r="I2810" s="1248" t="s">
        <v>4368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4" t="str">
        <f>LEFT(base[[#This Row],[Evento / Mercado]],FIND("/",base[[#This Row],[Evento / Mercado]])-2)</f>
        <v>England vs Croatia</v>
      </c>
      <c r="T2810" s="1420">
        <f>base[[#This Row],[Data de liquidação]]</f>
        <v>46190.795243055552</v>
      </c>
    </row>
    <row r="2811" spans="2:22" ht="15" customHeight="1">
      <c r="B2811" s="668" t="s">
        <v>3354</v>
      </c>
      <c r="C2811" s="911" t="s">
        <v>3556</v>
      </c>
      <c r="D2811" s="1279">
        <v>46190.91909722222</v>
      </c>
      <c r="E2811" s="902">
        <v>-83.97</v>
      </c>
      <c r="F2811" s="408">
        <v>4.4999999999999998E-2</v>
      </c>
      <c r="G2811" s="649">
        <f t="shared" si="51"/>
        <v>-83.97</v>
      </c>
      <c r="H2811" s="635" t="s">
        <v>3188</v>
      </c>
      <c r="I2811" s="647" t="s">
        <v>1572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4" t="str">
        <f>LEFT(base[[#This Row],[Evento / Mercado]],FIND("/",base[[#This Row],[Evento / Mercado]])-2)</f>
        <v>Ghana vs Panama</v>
      </c>
      <c r="T2811" s="1420">
        <f>base[[#This Row],[Data de liquidação]]</f>
        <v>46190.91909722222</v>
      </c>
    </row>
    <row r="2812" spans="2:22" ht="15" customHeight="1">
      <c r="B2812" s="668" t="s">
        <v>3353</v>
      </c>
      <c r="C2812" s="911" t="s">
        <v>3556</v>
      </c>
      <c r="D2812" s="1279">
        <v>46191.04346064815</v>
      </c>
      <c r="E2812" s="902">
        <v>93.169799999999995</v>
      </c>
      <c r="F2812" s="408">
        <v>4.4999999999999998E-2</v>
      </c>
      <c r="G2812" s="649">
        <f t="shared" si="51"/>
        <v>97.56</v>
      </c>
      <c r="H2812" s="649" t="s">
        <v>1555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5" t="s">
        <v>3331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4" t="str">
        <f>LEFT(base[[#This Row],[Evento / Mercado]],FIND("/",base[[#This Row],[Evento / Mercado]])-2)</f>
        <v>Uzbekistan vs Colombia</v>
      </c>
      <c r="T2812" s="142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657" t="s">
        <v>3353</v>
      </c>
      <c r="C2813" s="911" t="s">
        <v>3556</v>
      </c>
      <c r="D2813" s="1372">
        <v>46191.04346064815</v>
      </c>
      <c r="E2813" s="658">
        <v>40.215049999999998</v>
      </c>
      <c r="F2813" s="654">
        <v>4.4999999999999998E-2</v>
      </c>
      <c r="G2813" s="653">
        <f t="shared" si="51"/>
        <v>42.11</v>
      </c>
      <c r="H2813" s="653" t="s">
        <v>179</v>
      </c>
      <c r="I2813" s="939" t="s">
        <v>3393</v>
      </c>
      <c r="J2813" s="653">
        <v>10.5</v>
      </c>
      <c r="K2813" s="653">
        <v>400.05</v>
      </c>
      <c r="L2813" s="652">
        <f>INT(base[[#This Row],[Data de liquidação]])</f>
        <v>46191</v>
      </c>
      <c r="M2813" s="653">
        <f>base[[#This Row],[L/P Bruto]]-base[[#This Row],[L/P Líquido]]</f>
        <v>1.8949500000000015</v>
      </c>
      <c r="N2813" s="653">
        <f>base[[#This Row],[L/P Líquido]]/base[[#This Row],[Stake/Responsabilidade]]</f>
        <v>0.10052505936757905</v>
      </c>
      <c r="O2813" s="655">
        <f>IF(base[[#This Row],[L/P Líquido]]&gt;0,1,0)</f>
        <v>1</v>
      </c>
      <c r="P2813" s="655" t="s">
        <v>3331</v>
      </c>
      <c r="Q2813" s="655" t="str">
        <f>LEFT(base[[#This Row],[Evento / Mercado]],FIND("vs",base[[#This Row],[Evento / Mercado]])-2)</f>
        <v>Uzbekistan</v>
      </c>
      <c r="R2813" s="6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4" t="str">
        <f>LEFT(base[[#This Row],[Evento / Mercado]],FIND("/",base[[#This Row],[Evento / Mercado]])-2)</f>
        <v>Uzbekistan vs Colombia</v>
      </c>
      <c r="T2813" s="142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669" t="s">
        <v>3407</v>
      </c>
      <c r="C2814" s="911" t="s">
        <v>3556</v>
      </c>
      <c r="D2814" s="1373">
        <v>46191.370347222219</v>
      </c>
      <c r="E2814" s="903">
        <v>-22.26</v>
      </c>
      <c r="F2814" s="654">
        <v>4.4999999999999998E-2</v>
      </c>
      <c r="G2814" s="661">
        <f t="shared" si="51"/>
        <v>-22.26</v>
      </c>
      <c r="H2814" s="661" t="s">
        <v>3410</v>
      </c>
      <c r="I2814" s="651" t="s">
        <v>392</v>
      </c>
      <c r="J2814" s="661">
        <f>+(9.2*200+9.4*299.96)/base[[#This Row],[Stake/Responsabilidade]]</f>
        <v>9.3199935994879581</v>
      </c>
      <c r="K2814" s="661">
        <f>200+299.96</f>
        <v>499.96</v>
      </c>
      <c r="L2814" s="660">
        <f>INT(base[[#This Row],[Data de liquidação]])</f>
        <v>46191</v>
      </c>
      <c r="M2814" s="661">
        <f>base[[#This Row],[L/P Bruto]]-base[[#This Row],[L/P Líquido]]</f>
        <v>0</v>
      </c>
      <c r="N2814" s="661">
        <f>base[[#This Row],[L/P Líquido]]/base[[#This Row],[Stake/Responsabilidade]]</f>
        <v>-4.4523561884950803E-2</v>
      </c>
      <c r="O2814" s="662">
        <f>IF(base[[#This Row],[L/P Líquido]]&gt;0,1,0)</f>
        <v>0</v>
      </c>
      <c r="P2814" s="662"/>
      <c r="Q2814" s="662" t="str">
        <f>LEFT(base[[#This Row],[Evento / Mercado]],FIND("vs",base[[#This Row],[Evento / Mercado]])-2)</f>
        <v>AC Oulu</v>
      </c>
      <c r="R281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4" t="str">
        <f>LEFT(base[[#This Row],[Evento / Mercado]],FIND("/",base[[#This Row],[Evento / Mercado]])-2)</f>
        <v>AC Oulu vs IFK Mariehamn</v>
      </c>
      <c r="T2814" s="1420">
        <f>base[[#This Row],[Data de liquidação]]</f>
        <v>46191.370347222219</v>
      </c>
    </row>
    <row r="2815" spans="2:22" ht="15" customHeight="1">
      <c r="B2815" s="669" t="s">
        <v>3406</v>
      </c>
      <c r="C2815" s="911" t="s">
        <v>3556</v>
      </c>
      <c r="D2815" s="1373">
        <v>46191.61478009259</v>
      </c>
      <c r="E2815" s="903">
        <v>38.200000000000003</v>
      </c>
      <c r="F2815" s="654">
        <v>4.4999999999999998E-2</v>
      </c>
      <c r="G2815" s="661">
        <f t="shared" si="51"/>
        <v>40.000000000000007</v>
      </c>
      <c r="H2815" s="635" t="s">
        <v>3188</v>
      </c>
      <c r="I2815" s="647" t="s">
        <v>1572</v>
      </c>
      <c r="J2815" s="661">
        <v>4</v>
      </c>
      <c r="K2815" s="661">
        <v>40</v>
      </c>
      <c r="L2815" s="660">
        <f>INT(base[[#This Row],[Data de liquidação]])</f>
        <v>46191</v>
      </c>
      <c r="M2815" s="661">
        <f>base[[#This Row],[L/P Bruto]]-base[[#This Row],[L/P Líquido]]</f>
        <v>1.8000000000000043</v>
      </c>
      <c r="N2815" s="661">
        <f>base[[#This Row],[L/P Líquido]]/base[[#This Row],[Stake/Responsabilidade]]</f>
        <v>0.95500000000000007</v>
      </c>
      <c r="O2815" s="662">
        <f>IF(base[[#This Row],[L/P Líquido]]&gt;0,1,0)</f>
        <v>1</v>
      </c>
      <c r="P2815" s="662"/>
      <c r="Q2815" s="662" t="str">
        <f>LEFT(base[[#This Row],[Evento / Mercado]],FIND("vs",base[[#This Row],[Evento / Mercado]])-2)</f>
        <v>Czech Republic</v>
      </c>
      <c r="R281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4" t="str">
        <f>LEFT(base[[#This Row],[Evento / Mercado]],FIND("/",base[[#This Row],[Evento / Mercado]])-2)</f>
        <v>Czech Republic vs South Africa</v>
      </c>
      <c r="T2815" s="1420">
        <f>base[[#This Row],[Data de liquidação]]</f>
        <v>46191.61478009259</v>
      </c>
    </row>
    <row r="2816" spans="2:22" ht="15" customHeight="1">
      <c r="B2816" s="669" t="s">
        <v>3405</v>
      </c>
      <c r="C2816" s="911" t="s">
        <v>3556</v>
      </c>
      <c r="D2816" s="1373">
        <v>46191.616967592592</v>
      </c>
      <c r="E2816" s="903">
        <v>-120</v>
      </c>
      <c r="F2816" s="654">
        <v>4.4999999999999998E-2</v>
      </c>
      <c r="G2816" s="661">
        <f t="shared" si="51"/>
        <v>-120</v>
      </c>
      <c r="H2816" s="635" t="s">
        <v>3188</v>
      </c>
      <c r="I2816" s="647" t="s">
        <v>1572</v>
      </c>
      <c r="J2816" s="661">
        <v>4</v>
      </c>
      <c r="K2816" s="661">
        <v>40</v>
      </c>
      <c r="L2816" s="660">
        <f>INT(base[[#This Row],[Data de liquidação]])</f>
        <v>46191</v>
      </c>
      <c r="M2816" s="661">
        <f>base[[#This Row],[L/P Bruto]]-base[[#This Row],[L/P Líquido]]</f>
        <v>0</v>
      </c>
      <c r="N2816" s="661">
        <f>base[[#This Row],[L/P Líquido]]/base[[#This Row],[Stake/Responsabilidade]]</f>
        <v>-3</v>
      </c>
      <c r="O2816" s="662">
        <f>IF(base[[#This Row],[L/P Líquido]]&gt;0,1,0)</f>
        <v>0</v>
      </c>
      <c r="P2816" s="662"/>
      <c r="Q2816" s="662" t="str">
        <f>LEFT(base[[#This Row],[Evento / Mercado]],FIND("vs",base[[#This Row],[Evento / Mercado]])-2)</f>
        <v>FC Elva</v>
      </c>
      <c r="R281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4" t="str">
        <f>LEFT(base[[#This Row],[Evento / Mercado]],FIND("/",base[[#This Row],[Evento / Mercado]])-2)</f>
        <v>FC Elva vs Viimsi JK</v>
      </c>
      <c r="T2816" s="1420">
        <f>base[[#This Row],[Data de liquidação]]</f>
        <v>46191.616967592592</v>
      </c>
    </row>
    <row r="2817" spans="2:20" ht="15" customHeight="1">
      <c r="B2817" s="669" t="s">
        <v>3404</v>
      </c>
      <c r="C2817" s="911" t="s">
        <v>3555</v>
      </c>
      <c r="D2817" s="1373">
        <v>46191.623888888891</v>
      </c>
      <c r="E2817" s="903">
        <v>31.84</v>
      </c>
      <c r="F2817" s="654">
        <v>4.4999999999999998E-2</v>
      </c>
      <c r="G2817" s="661">
        <f t="shared" si="51"/>
        <v>33.340314136125656</v>
      </c>
      <c r="H2817" s="661" t="s">
        <v>3334</v>
      </c>
      <c r="I2817" s="659" t="s">
        <v>627</v>
      </c>
      <c r="J2817" s="661">
        <v>15</v>
      </c>
      <c r="K2817" s="661">
        <v>458.62</v>
      </c>
      <c r="L2817" s="660">
        <f>INT(base[[#This Row],[Data de liquidação]])</f>
        <v>46191</v>
      </c>
      <c r="M2817" s="661">
        <f>base[[#This Row],[L/P Bruto]]-base[[#This Row],[L/P Líquido]]</f>
        <v>1.500314136125656</v>
      </c>
      <c r="N2817" s="661">
        <f>base[[#This Row],[L/P Líquido]]/base[[#This Row],[Stake/Responsabilidade]]</f>
        <v>6.9425668309275657E-2</v>
      </c>
      <c r="O2817" s="662">
        <f>IF(base[[#This Row],[L/P Líquido]]&gt;0,1,0)</f>
        <v>1</v>
      </c>
      <c r="P2817" s="662" t="s">
        <v>3331</v>
      </c>
      <c r="Q2817" s="662" t="str">
        <f>LEFT(base[[#This Row],[Evento / Mercado]],FIND("vs",base[[#This Row],[Evento / Mercado]])-2)</f>
        <v>Czech Republic</v>
      </c>
      <c r="R281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4" t="str">
        <f>LEFT(base[[#This Row],[Evento / Mercado]],FIND("/",base[[#This Row],[Evento / Mercado]])-2)</f>
        <v>Czech Republic vs South Africa</v>
      </c>
      <c r="T2817" s="1420">
        <f>base[[#This Row],[Data de liquidação]]</f>
        <v>46191.623888888891</v>
      </c>
    </row>
    <row r="2818" spans="2:20" ht="15" customHeight="1">
      <c r="B2818" s="669" t="s">
        <v>3404</v>
      </c>
      <c r="C2818" s="911" t="s">
        <v>3556</v>
      </c>
      <c r="D2818" s="1373">
        <v>46191.623900462961</v>
      </c>
      <c r="E2818" s="903">
        <v>32.67</v>
      </c>
      <c r="F2818" s="654">
        <v>4.4999999999999998E-2</v>
      </c>
      <c r="G2818" s="661">
        <f t="shared" si="51"/>
        <v>34.209424083769633</v>
      </c>
      <c r="H2818" s="661" t="s">
        <v>3209</v>
      </c>
      <c r="I2818" s="659" t="s">
        <v>3211</v>
      </c>
      <c r="J2818" s="661"/>
      <c r="K2818" s="661">
        <v>100</v>
      </c>
      <c r="L2818" s="660">
        <f>INT(base[[#This Row],[Data de liquidação]])</f>
        <v>46191</v>
      </c>
      <c r="M2818" s="661">
        <f>base[[#This Row],[L/P Bruto]]-base[[#This Row],[L/P Líquido]]</f>
        <v>1.5394240837696316</v>
      </c>
      <c r="N2818" s="661">
        <f>base[[#This Row],[L/P Líquido]]/base[[#This Row],[Stake/Responsabilidade]]</f>
        <v>0.32669999999999999</v>
      </c>
      <c r="O2818" s="662">
        <f>IF(base[[#This Row],[L/P Líquido]]&gt;0,1,0)</f>
        <v>1</v>
      </c>
      <c r="P2818" s="662"/>
      <c r="Q2818" s="662" t="str">
        <f>LEFT(base[[#This Row],[Evento / Mercado]],FIND("vs",base[[#This Row],[Evento / Mercado]])-2)</f>
        <v>Czech Republic</v>
      </c>
      <c r="R281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4" t="str">
        <f>LEFT(base[[#This Row],[Evento / Mercado]],FIND("/",base[[#This Row],[Evento / Mercado]])-2)</f>
        <v>Czech Republic vs South Africa</v>
      </c>
      <c r="T2818" s="1420">
        <f>base[[#This Row],[Data de liquidação]]</f>
        <v>46191.623900462961</v>
      </c>
    </row>
    <row r="2819" spans="2:20" ht="15" customHeight="1">
      <c r="B2819" s="669" t="s">
        <v>3403</v>
      </c>
      <c r="C2819" s="911" t="s">
        <v>3556</v>
      </c>
      <c r="D2819" s="1373">
        <v>46191.624247685184</v>
      </c>
      <c r="E2819" s="903">
        <v>7.44</v>
      </c>
      <c r="F2819" s="654">
        <v>4.4999999999999998E-2</v>
      </c>
      <c r="G2819" s="661">
        <f t="shared" ref="G2819:G2882" si="55">IF(E2819&gt;0,E2819/(1-F2819),E2819)</f>
        <v>7.7905759162303676</v>
      </c>
      <c r="H2819" s="661" t="s">
        <v>3330</v>
      </c>
      <c r="I2819" s="1248" t="s">
        <v>4368</v>
      </c>
      <c r="J2819" s="661">
        <v>4.9000000000000004</v>
      </c>
      <c r="K2819" s="661">
        <v>50</v>
      </c>
      <c r="L2819" s="660">
        <f>INT(base[[#This Row],[Data de liquidação]])</f>
        <v>46191</v>
      </c>
      <c r="M2819" s="661">
        <f>base[[#This Row],[L/P Bruto]]-base[[#This Row],[L/P Líquido]]</f>
        <v>0.35057591623036721</v>
      </c>
      <c r="N2819" s="661">
        <f>base[[#This Row],[L/P Líquido]]/base[[#This Row],[Stake/Responsabilidade]]</f>
        <v>0.14880000000000002</v>
      </c>
      <c r="O2819" s="662">
        <f>IF(base[[#This Row],[L/P Líquido]]&gt;0,1,0)</f>
        <v>1</v>
      </c>
      <c r="P2819" s="662"/>
      <c r="Q2819" s="662" t="str">
        <f>LEFT(base[[#This Row],[Evento / Mercado]],FIND("vs",base[[#This Row],[Evento / Mercado]])-2)</f>
        <v>Czech Republic</v>
      </c>
      <c r="R281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4" t="str">
        <f>LEFT(base[[#This Row],[Evento / Mercado]],FIND("/",base[[#This Row],[Evento / Mercado]])-2)</f>
        <v>Czech Republic vs South Africa</v>
      </c>
      <c r="T2819" s="1420">
        <f>base[[#This Row],[Data de liquidação]]</f>
        <v>46191.624247685184</v>
      </c>
    </row>
    <row r="2820" spans="2:20" ht="15" customHeight="1">
      <c r="B2820" s="669" t="s">
        <v>3402</v>
      </c>
      <c r="C2820" s="911" t="s">
        <v>3556</v>
      </c>
      <c r="D2820" s="1373">
        <v>46191.732314814813</v>
      </c>
      <c r="E2820" s="903">
        <v>38.200000000000003</v>
      </c>
      <c r="F2820" s="654">
        <v>4.4999999999999998E-2</v>
      </c>
      <c r="G2820" s="661">
        <f t="shared" si="55"/>
        <v>40.000000000000007</v>
      </c>
      <c r="H2820" s="635" t="s">
        <v>3188</v>
      </c>
      <c r="I2820" s="659" t="s">
        <v>498</v>
      </c>
      <c r="J2820" s="661">
        <v>4</v>
      </c>
      <c r="K2820" s="661">
        <v>40</v>
      </c>
      <c r="L2820" s="660">
        <f>INT(base[[#This Row],[Data de liquidação]])</f>
        <v>46191</v>
      </c>
      <c r="M2820" s="661">
        <f>base[[#This Row],[L/P Bruto]]-base[[#This Row],[L/P Líquido]]</f>
        <v>1.8000000000000043</v>
      </c>
      <c r="N2820" s="661">
        <f>base[[#This Row],[L/P Líquido]]/base[[#This Row],[Stake/Responsabilidade]]</f>
        <v>0.95500000000000007</v>
      </c>
      <c r="O2820" s="662">
        <f>IF(base[[#This Row],[L/P Líquido]]&gt;0,1,0)</f>
        <v>1</v>
      </c>
      <c r="P2820" s="662"/>
      <c r="Q2820" s="662" t="str">
        <f>LEFT(base[[#This Row],[Evento / Mercado]],FIND("vs",base[[#This Row],[Evento / Mercado]])-2)</f>
        <v>Switzerland</v>
      </c>
      <c r="R282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4" t="str">
        <f>LEFT(base[[#This Row],[Evento / Mercado]],FIND("/",base[[#This Row],[Evento / Mercado]])-2)</f>
        <v>Switzerland vs Bosnia-Herzegovina</v>
      </c>
      <c r="T2820" s="1420">
        <f>base[[#This Row],[Data de liquidação]]</f>
        <v>46191.732314814813</v>
      </c>
    </row>
    <row r="2821" spans="2:20" ht="15" customHeight="1">
      <c r="B2821" s="669" t="s">
        <v>3401</v>
      </c>
      <c r="C2821" s="911" t="s">
        <v>3556</v>
      </c>
      <c r="D2821" s="1373">
        <v>46191.747928240744</v>
      </c>
      <c r="E2821" s="903">
        <v>37.340000000000003</v>
      </c>
      <c r="F2821" s="654">
        <v>4.4999999999999998E-2</v>
      </c>
      <c r="G2821" s="661">
        <f t="shared" si="55"/>
        <v>39.099476439790578</v>
      </c>
      <c r="H2821" s="661" t="s">
        <v>3209</v>
      </c>
      <c r="I2821" s="659" t="s">
        <v>3210</v>
      </c>
      <c r="J2821" s="661"/>
      <c r="K2821" s="661">
        <v>100</v>
      </c>
      <c r="L2821" s="660">
        <f>INT(base[[#This Row],[Data de liquidação]])</f>
        <v>46191</v>
      </c>
      <c r="M2821" s="661">
        <f>base[[#This Row],[L/P Bruto]]-base[[#This Row],[L/P Líquido]]</f>
        <v>1.7594764397905749</v>
      </c>
      <c r="N2821" s="661">
        <f>base[[#This Row],[L/P Líquido]]/base[[#This Row],[Stake/Responsabilidade]]</f>
        <v>0.37340000000000001</v>
      </c>
      <c r="O2821" s="662">
        <f>IF(base[[#This Row],[L/P Líquido]]&gt;0,1,0)</f>
        <v>1</v>
      </c>
      <c r="P2821" s="662"/>
      <c r="Q2821" s="662" t="str">
        <f>LEFT(base[[#This Row],[Evento / Mercado]],FIND("vs",base[[#This Row],[Evento / Mercado]])-2)</f>
        <v>Switzerland</v>
      </c>
      <c r="R2821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4" t="str">
        <f>LEFT(base[[#This Row],[Evento / Mercado]],FIND("/",base[[#This Row],[Evento / Mercado]])-2)</f>
        <v>Switzerland vs Bosnia-Herzegovina</v>
      </c>
      <c r="T2821" s="1420">
        <f>base[[#This Row],[Data de liquidação]]</f>
        <v>46191.747928240744</v>
      </c>
    </row>
    <row r="2822" spans="2:20" ht="15" customHeight="1">
      <c r="B2822" s="669" t="s">
        <v>3401</v>
      </c>
      <c r="C2822" s="911" t="s">
        <v>3555</v>
      </c>
      <c r="D2822" s="1373">
        <v>46191.747928240744</v>
      </c>
      <c r="E2822" s="903">
        <v>22.73</v>
      </c>
      <c r="F2822" s="654">
        <v>4.4999999999999998E-2</v>
      </c>
      <c r="G2822" s="661">
        <f t="shared" si="55"/>
        <v>23.801047120418851</v>
      </c>
      <c r="H2822" s="661" t="s">
        <v>3334</v>
      </c>
      <c r="I2822" s="659" t="s">
        <v>627</v>
      </c>
      <c r="J2822" s="661">
        <v>22</v>
      </c>
      <c r="K2822" s="661">
        <v>490.98</v>
      </c>
      <c r="L2822" s="660">
        <f>INT(base[[#This Row],[Data de liquidação]])</f>
        <v>46191</v>
      </c>
      <c r="M2822" s="661">
        <f>base[[#This Row],[L/P Bruto]]-base[[#This Row],[L/P Líquido]]</f>
        <v>1.0710471204188501</v>
      </c>
      <c r="N2822" s="661">
        <f>base[[#This Row],[L/P Líquido]]/base[[#This Row],[Stake/Responsabilidade]]</f>
        <v>4.6295164772495824E-2</v>
      </c>
      <c r="O2822" s="662">
        <f>IF(base[[#This Row],[L/P Líquido]]&gt;0,1,0)</f>
        <v>1</v>
      </c>
      <c r="P2822" s="662" t="s">
        <v>3331</v>
      </c>
      <c r="Q2822" s="662" t="str">
        <f>LEFT(base[[#This Row],[Evento / Mercado]],FIND("vs",base[[#This Row],[Evento / Mercado]])-2)</f>
        <v>Switzerland</v>
      </c>
      <c r="R2822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4" t="str">
        <f>LEFT(base[[#This Row],[Evento / Mercado]],FIND("/",base[[#This Row],[Evento / Mercado]])-2)</f>
        <v>Switzerland vs Bosnia-Herzegovina</v>
      </c>
      <c r="T2822" s="1420">
        <f>base[[#This Row],[Data de liquidação]]</f>
        <v>46191.747928240744</v>
      </c>
    </row>
    <row r="2823" spans="2:20" ht="15" customHeight="1">
      <c r="B2823" s="669" t="s">
        <v>3400</v>
      </c>
      <c r="C2823" s="911" t="s">
        <v>3556</v>
      </c>
      <c r="D2823" s="1373">
        <v>46191.748136574075</v>
      </c>
      <c r="E2823" s="903">
        <v>63.67</v>
      </c>
      <c r="F2823" s="654">
        <v>4.4999999999999998E-2</v>
      </c>
      <c r="G2823" s="661">
        <f t="shared" si="55"/>
        <v>66.670157068062835</v>
      </c>
      <c r="H2823" s="661" t="s">
        <v>179</v>
      </c>
      <c r="I2823" s="939" t="s">
        <v>3393</v>
      </c>
      <c r="J2823" s="661">
        <v>7</v>
      </c>
      <c r="K2823" s="661">
        <v>400.02</v>
      </c>
      <c r="L2823" s="660">
        <f>INT(base[[#This Row],[Data de liquidação]])</f>
        <v>46191</v>
      </c>
      <c r="M2823" s="661">
        <f>base[[#This Row],[L/P Bruto]]-base[[#This Row],[L/P Líquido]]</f>
        <v>3.0001570680628333</v>
      </c>
      <c r="N2823" s="661">
        <f>base[[#This Row],[L/P Líquido]]/base[[#This Row],[Stake/Responsabilidade]]</f>
        <v>0.15916704164791762</v>
      </c>
      <c r="O2823" s="662">
        <f>IF(base[[#This Row],[L/P Líquido]]&gt;0,1,0)</f>
        <v>1</v>
      </c>
      <c r="P2823" s="662" t="s">
        <v>3331</v>
      </c>
      <c r="Q2823" s="662" t="str">
        <f>LEFT(base[[#This Row],[Evento / Mercado]],FIND("vs",base[[#This Row],[Evento / Mercado]])-2)</f>
        <v>Switzerland</v>
      </c>
      <c r="R2823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4" t="str">
        <f>LEFT(base[[#This Row],[Evento / Mercado]],FIND("/",base[[#This Row],[Evento / Mercado]])-2)</f>
        <v>Switzerland vs Bosnia-Herzegovina</v>
      </c>
      <c r="T2823" s="1420">
        <f>base[[#This Row],[Data de liquidação]]</f>
        <v>46191.748136574075</v>
      </c>
    </row>
    <row r="2824" spans="2:20" ht="15" customHeight="1">
      <c r="B2824" s="669" t="s">
        <v>3400</v>
      </c>
      <c r="C2824" s="911" t="s">
        <v>3555</v>
      </c>
      <c r="D2824" s="1373">
        <v>46191.748136574075</v>
      </c>
      <c r="E2824" s="903">
        <v>1.3</v>
      </c>
      <c r="F2824" s="654">
        <v>4.4999999999999998E-2</v>
      </c>
      <c r="G2824" s="661">
        <f t="shared" si="55"/>
        <v>1.3612565445026179</v>
      </c>
      <c r="H2824" s="661" t="s">
        <v>3330</v>
      </c>
      <c r="I2824" s="926" t="s">
        <v>3566</v>
      </c>
      <c r="J2824" s="661">
        <v>7</v>
      </c>
      <c r="K2824" s="661">
        <v>48.36</v>
      </c>
      <c r="L2824" s="660">
        <f>INT(base[[#This Row],[Data de liquidação]])</f>
        <v>46191</v>
      </c>
      <c r="M2824" s="661">
        <f>base[[#This Row],[L/P Bruto]]-base[[#This Row],[L/P Líquido]]</f>
        <v>6.125654450261786E-2</v>
      </c>
      <c r="N2824" s="661">
        <f>base[[#This Row],[L/P Líquido]]/base[[#This Row],[Stake/Responsabilidade]]</f>
        <v>2.6881720430107527E-2</v>
      </c>
      <c r="O2824" s="662">
        <f>IF(base[[#This Row],[L/P Líquido]]&gt;0,1,0)</f>
        <v>1</v>
      </c>
      <c r="P2824" s="662"/>
      <c r="Q2824" s="662" t="str">
        <f>LEFT(base[[#This Row],[Evento / Mercado]],FIND("vs",base[[#This Row],[Evento / Mercado]])-2)</f>
        <v>Switzerland</v>
      </c>
      <c r="R282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4" t="str">
        <f>LEFT(base[[#This Row],[Evento / Mercado]],FIND("/",base[[#This Row],[Evento / Mercado]])-2)</f>
        <v>Switzerland vs Bosnia-Herzegovina</v>
      </c>
      <c r="T2824" s="1420">
        <f>base[[#This Row],[Data de liquidação]]</f>
        <v>46191.748136574075</v>
      </c>
    </row>
    <row r="2825" spans="2:20" ht="15" customHeight="1">
      <c r="B2825" s="669" t="s">
        <v>3399</v>
      </c>
      <c r="C2825" s="911" t="s">
        <v>3556</v>
      </c>
      <c r="D2825" s="1373">
        <v>46191.876377314817</v>
      </c>
      <c r="E2825" s="903">
        <v>30.56</v>
      </c>
      <c r="F2825" s="654">
        <v>4.4999999999999998E-2</v>
      </c>
      <c r="G2825" s="661">
        <f t="shared" si="55"/>
        <v>32</v>
      </c>
      <c r="H2825" s="661" t="s">
        <v>179</v>
      </c>
      <c r="I2825" s="939" t="s">
        <v>3393</v>
      </c>
      <c r="J2825" s="661">
        <v>13.5</v>
      </c>
      <c r="K2825" s="661">
        <v>400</v>
      </c>
      <c r="L2825" s="660">
        <f>INT(base[[#This Row],[Data de liquidação]])</f>
        <v>46191</v>
      </c>
      <c r="M2825" s="661">
        <f>base[[#This Row],[L/P Bruto]]-base[[#This Row],[L/P Líquido]]</f>
        <v>1.4400000000000013</v>
      </c>
      <c r="N2825" s="661">
        <f>base[[#This Row],[L/P Líquido]]/base[[#This Row],[Stake/Responsabilidade]]</f>
        <v>7.6399999999999996E-2</v>
      </c>
      <c r="O2825" s="662">
        <f>IF(base[[#This Row],[L/P Líquido]]&gt;0,1,0)</f>
        <v>1</v>
      </c>
      <c r="P2825" s="662" t="s">
        <v>3331</v>
      </c>
      <c r="Q2825" s="662" t="str">
        <f>LEFT(base[[#This Row],[Evento / Mercado]],FIND("vs",base[[#This Row],[Evento / Mercado]])-2)</f>
        <v>Canada</v>
      </c>
      <c r="R282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4" t="str">
        <f>LEFT(base[[#This Row],[Evento / Mercado]],FIND("/",base[[#This Row],[Evento / Mercado]])-2)</f>
        <v>Canada vs Qatar</v>
      </c>
      <c r="T2825" s="1420">
        <f>base[[#This Row],[Data de liquidação]]</f>
        <v>46191.876377314817</v>
      </c>
    </row>
    <row r="2826" spans="2:20" ht="15" customHeight="1">
      <c r="B2826" s="669" t="s">
        <v>3398</v>
      </c>
      <c r="C2826" s="911" t="s">
        <v>3556</v>
      </c>
      <c r="D2826" s="1373">
        <v>46191.956921296296</v>
      </c>
      <c r="E2826" s="903">
        <v>5.45</v>
      </c>
      <c r="F2826" s="654">
        <v>4.4999999999999998E-2</v>
      </c>
      <c r="G2826" s="661">
        <f t="shared" si="55"/>
        <v>5.7068062827225132</v>
      </c>
      <c r="H2826" s="661" t="s">
        <v>1666</v>
      </c>
      <c r="I2826" s="659" t="s">
        <v>1759</v>
      </c>
      <c r="J2826" s="661">
        <v>21.3</v>
      </c>
      <c r="K2826" s="661">
        <v>115.91</v>
      </c>
      <c r="L2826" s="660">
        <f>INT(base[[#This Row],[Data de liquidação]])</f>
        <v>46191</v>
      </c>
      <c r="M2826" s="661">
        <f>base[[#This Row],[L/P Bruto]]-base[[#This Row],[L/P Líquido]]</f>
        <v>0.25680628272251305</v>
      </c>
      <c r="N2826" s="661">
        <f>base[[#This Row],[L/P Líquido]]/base[[#This Row],[Stake/Responsabilidade]]</f>
        <v>4.7019239064791649E-2</v>
      </c>
      <c r="O2826" s="662">
        <f>IF(base[[#This Row],[L/P Líquido]]&gt;0,1,0)</f>
        <v>1</v>
      </c>
      <c r="P2826" s="662"/>
      <c r="Q2826" s="662" t="str">
        <f>LEFT(base[[#This Row],[Evento / Mercado]],FIND("vs",base[[#This Row],[Evento / Mercado]])-2)</f>
        <v>Sport Club do Recife</v>
      </c>
      <c r="R282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4" t="str">
        <f>LEFT(base[[#This Row],[Evento / Mercado]],FIND("/",base[[#This Row],[Evento / Mercado]])-2)</f>
        <v>Sport Club do Recife vs Atlético Goianiense</v>
      </c>
      <c r="T2826" s="1420">
        <f>base[[#This Row],[Data de liquidação]]</f>
        <v>46191.956921296296</v>
      </c>
    </row>
    <row r="2827" spans="2:20" ht="15" customHeight="1">
      <c r="B2827" s="669" t="s">
        <v>3397</v>
      </c>
      <c r="C2827" s="911" t="s">
        <v>3556</v>
      </c>
      <c r="D2827" s="1373">
        <v>46191.959409722222</v>
      </c>
      <c r="E2827" s="903">
        <v>5.2</v>
      </c>
      <c r="F2827" s="654">
        <v>4.4999999999999998E-2</v>
      </c>
      <c r="G2827" s="661">
        <f t="shared" si="55"/>
        <v>5.4450261780104716</v>
      </c>
      <c r="H2827" s="661" t="s">
        <v>1666</v>
      </c>
      <c r="I2827" s="659" t="s">
        <v>1759</v>
      </c>
      <c r="J2827" s="661">
        <v>23</v>
      </c>
      <c r="K2827" s="661">
        <v>119.9</v>
      </c>
      <c r="L2827" s="660">
        <f>INT(base[[#This Row],[Data de liquidação]])</f>
        <v>46191</v>
      </c>
      <c r="M2827" s="661">
        <f>base[[#This Row],[L/P Bruto]]-base[[#This Row],[L/P Líquido]]</f>
        <v>0.24502617801047144</v>
      </c>
      <c r="N2827" s="661">
        <f>base[[#This Row],[L/P Líquido]]/base[[#This Row],[Stake/Responsabilidade]]</f>
        <v>4.3369474562135114E-2</v>
      </c>
      <c r="O2827" s="662">
        <f>IF(base[[#This Row],[L/P Líquido]]&gt;0,1,0)</f>
        <v>1</v>
      </c>
      <c r="P2827" s="662"/>
      <c r="Q2827" s="662" t="str">
        <f>LEFT(base[[#This Row],[Evento / Mercado]],FIND("vs",base[[#This Row],[Evento / Mercado]])-2)</f>
        <v>Universidad de Chile</v>
      </c>
      <c r="R282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4" t="str">
        <f>LEFT(base[[#This Row],[Evento / Mercado]],FIND("/",base[[#This Row],[Evento / Mercado]])-2)</f>
        <v>Universidad de Chile vs O'Higgins</v>
      </c>
      <c r="T2827" s="1420">
        <f>base[[#This Row],[Data de liquidação]]</f>
        <v>46191.959409722222</v>
      </c>
    </row>
    <row r="2828" spans="2:20" ht="15" customHeight="1">
      <c r="B2828" s="669" t="s">
        <v>3396</v>
      </c>
      <c r="C2828" s="911" t="s">
        <v>3556</v>
      </c>
      <c r="D2828" s="1373">
        <v>46191.966238425928</v>
      </c>
      <c r="E2828" s="903">
        <v>38.200000000000003</v>
      </c>
      <c r="F2828" s="654">
        <v>4.4999999999999998E-2</v>
      </c>
      <c r="G2828" s="661">
        <f t="shared" si="55"/>
        <v>40.000000000000007</v>
      </c>
      <c r="H2828" s="635" t="s">
        <v>3188</v>
      </c>
      <c r="I2828" s="659" t="s">
        <v>498</v>
      </c>
      <c r="J2828" s="661">
        <v>3.1</v>
      </c>
      <c r="K2828" s="661">
        <v>40</v>
      </c>
      <c r="L2828" s="660">
        <f>INT(base[[#This Row],[Data de liquidação]])</f>
        <v>46191</v>
      </c>
      <c r="M2828" s="661">
        <f>base[[#This Row],[L/P Bruto]]-base[[#This Row],[L/P Líquido]]</f>
        <v>1.8000000000000043</v>
      </c>
      <c r="N2828" s="661">
        <f>base[[#This Row],[L/P Líquido]]/base[[#This Row],[Stake/Responsabilidade]]</f>
        <v>0.95500000000000007</v>
      </c>
      <c r="O2828" s="662">
        <f>IF(base[[#This Row],[L/P Líquido]]&gt;0,1,0)</f>
        <v>1</v>
      </c>
      <c r="P2828" s="662"/>
      <c r="Q2828" s="662" t="str">
        <f>LEFT(base[[#This Row],[Evento / Mercado]],FIND("vs",base[[#This Row],[Evento / Mercado]])-2)</f>
        <v>Mexico</v>
      </c>
      <c r="R282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4" t="str">
        <f>LEFT(base[[#This Row],[Evento / Mercado]],FIND("/",base[[#This Row],[Evento / Mercado]])-2)</f>
        <v>Mexico vs South Korea</v>
      </c>
      <c r="T2828" s="1420">
        <f>base[[#This Row],[Data de liquidação]]</f>
        <v>46191.966238425928</v>
      </c>
    </row>
    <row r="2829" spans="2:20" ht="15" customHeight="1">
      <c r="B2829" s="669" t="s">
        <v>3395</v>
      </c>
      <c r="C2829" s="911" t="s">
        <v>3556</v>
      </c>
      <c r="D2829" s="1373">
        <v>46191.99732638889</v>
      </c>
      <c r="E2829" s="903">
        <v>20.100000000000001</v>
      </c>
      <c r="F2829" s="654">
        <v>4.4999999999999998E-2</v>
      </c>
      <c r="G2829" s="661">
        <f t="shared" si="55"/>
        <v>21.04712041884817</v>
      </c>
      <c r="H2829" s="661" t="s">
        <v>150</v>
      </c>
      <c r="I2829" s="659" t="s">
        <v>75</v>
      </c>
      <c r="J2829" s="661">
        <v>10.5</v>
      </c>
      <c r="K2829" s="661">
        <v>199.98</v>
      </c>
      <c r="L2829" s="660">
        <f>INT(base[[#This Row],[Data de liquidação]])</f>
        <v>46191</v>
      </c>
      <c r="M2829" s="661">
        <f>base[[#This Row],[L/P Bruto]]-base[[#This Row],[L/P Líquido]]</f>
        <v>0.94712041884816855</v>
      </c>
      <c r="N2829" s="661">
        <f>base[[#This Row],[L/P Líquido]]/base[[#This Row],[Stake/Responsabilidade]]</f>
        <v>0.10051005100510052</v>
      </c>
      <c r="O2829" s="662">
        <f>IF(base[[#This Row],[L/P Líquido]]&gt;0,1,0)</f>
        <v>1</v>
      </c>
      <c r="P2829" s="645" t="s">
        <v>3331</v>
      </c>
      <c r="Q2829" s="662" t="str">
        <f>LEFT(base[[#This Row],[Evento / Mercado]],FIND("vs",base[[#This Row],[Evento / Mercado]])-2)</f>
        <v>Mexico</v>
      </c>
      <c r="R282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4" t="str">
        <f>LEFT(base[[#This Row],[Evento / Mercado]],FIND("/",base[[#This Row],[Evento / Mercado]])-2)</f>
        <v>Mexico vs South Korea</v>
      </c>
      <c r="T2829" s="1420">
        <f>base[[#This Row],[Data de liquidação]]</f>
        <v>46191.99732638889</v>
      </c>
    </row>
    <row r="2830" spans="2:20" ht="15" customHeight="1">
      <c r="B2830" s="669" t="s">
        <v>3395</v>
      </c>
      <c r="C2830" s="911" t="s">
        <v>3555</v>
      </c>
      <c r="D2830" s="1373">
        <v>46191.99732638889</v>
      </c>
      <c r="E2830" s="903">
        <v>37.380000000000003</v>
      </c>
      <c r="F2830" s="654">
        <v>4.4999999999999998E-2</v>
      </c>
      <c r="G2830" s="661">
        <f t="shared" si="55"/>
        <v>39.141361256544506</v>
      </c>
      <c r="H2830" s="661" t="s">
        <v>3209</v>
      </c>
      <c r="I2830" s="659" t="s">
        <v>3211</v>
      </c>
      <c r="J2830" s="661"/>
      <c r="K2830" s="661">
        <v>100</v>
      </c>
      <c r="L2830" s="660">
        <f>INT(base[[#This Row],[Data de liquidação]])</f>
        <v>46191</v>
      </c>
      <c r="M2830" s="661">
        <f>base[[#This Row],[L/P Bruto]]-base[[#This Row],[L/P Líquido]]</f>
        <v>1.7613612565445038</v>
      </c>
      <c r="N2830" s="661">
        <f>base[[#This Row],[L/P Líquido]]/base[[#This Row],[Stake/Responsabilidade]]</f>
        <v>0.37380000000000002</v>
      </c>
      <c r="O2830" s="662">
        <f>IF(base[[#This Row],[L/P Líquido]]&gt;0,1,0)</f>
        <v>1</v>
      </c>
      <c r="P2830" s="662"/>
      <c r="Q2830" s="662" t="str">
        <f>LEFT(base[[#This Row],[Evento / Mercado]],FIND("vs",base[[#This Row],[Evento / Mercado]])-2)</f>
        <v>Mexico</v>
      </c>
      <c r="R283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4" t="str">
        <f>LEFT(base[[#This Row],[Evento / Mercado]],FIND("/",base[[#This Row],[Evento / Mercado]])-2)</f>
        <v>Mexico vs South Korea</v>
      </c>
      <c r="T2830" s="1420">
        <f>base[[#This Row],[Data de liquidação]]</f>
        <v>46191.99732638889</v>
      </c>
    </row>
    <row r="2831" spans="2:20" ht="15" customHeight="1">
      <c r="B2831" s="669" t="s">
        <v>3394</v>
      </c>
      <c r="C2831" s="911" t="s">
        <v>3556</v>
      </c>
      <c r="D2831" s="1373">
        <v>46192.00540509259</v>
      </c>
      <c r="E2831" s="903">
        <v>23.15</v>
      </c>
      <c r="F2831" s="654">
        <v>4.4999999999999998E-2</v>
      </c>
      <c r="G2831" s="661">
        <f t="shared" si="55"/>
        <v>24.240837696335078</v>
      </c>
      <c r="H2831" s="661" t="s">
        <v>3411</v>
      </c>
      <c r="I2831" s="659" t="s">
        <v>3412</v>
      </c>
      <c r="J2831" s="661">
        <v>17.5</v>
      </c>
      <c r="K2831" s="661">
        <v>399.96</v>
      </c>
      <c r="L2831" s="660">
        <f>INT(base[[#This Row],[Data de liquidação]])</f>
        <v>46192</v>
      </c>
      <c r="M2831" s="661">
        <f>base[[#This Row],[L/P Bruto]]-base[[#This Row],[L/P Líquido]]</f>
        <v>1.090837696335079</v>
      </c>
      <c r="N2831" s="661">
        <f>base[[#This Row],[L/P Líquido]]/base[[#This Row],[Stake/Responsabilidade]]</f>
        <v>5.7880788078807879E-2</v>
      </c>
      <c r="O2831" s="662">
        <f>IF(base[[#This Row],[L/P Líquido]]&gt;0,1,0)</f>
        <v>1</v>
      </c>
      <c r="P2831" s="662"/>
      <c r="Q2831" s="662" t="e">
        <f>LEFT(base[[#This Row],[Evento / Mercado]],FIND("vs",base[[#This Row],[Evento / Mercado]])-2)</f>
        <v>#VALUE!</v>
      </c>
      <c r="R2831" s="66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4" t="str">
        <f>LEFT(base[[#This Row],[Evento / Mercado]],FIND("/",base[[#This Row],[Evento / Mercado]])-2)</f>
        <v>FIFA World Cup - Group A Winner</v>
      </c>
      <c r="T2831" s="1420">
        <f>base[[#This Row],[Data de liquidação]]</f>
        <v>46192.00540509259</v>
      </c>
    </row>
    <row r="2832" spans="2:20" ht="15" customHeight="1">
      <c r="B2832" s="714" t="s">
        <v>3525</v>
      </c>
      <c r="C2832" s="911" t="s">
        <v>3556</v>
      </c>
      <c r="D2832" s="1374">
        <v>46192.663958333331</v>
      </c>
      <c r="E2832" s="715">
        <v>-0.92</v>
      </c>
      <c r="F2832" s="654">
        <v>4.4999999999999998E-2</v>
      </c>
      <c r="G2832" s="711">
        <f t="shared" si="55"/>
        <v>-0.92</v>
      </c>
      <c r="H2832" s="711" t="s">
        <v>3330</v>
      </c>
      <c r="I2832" s="926" t="s">
        <v>3569</v>
      </c>
      <c r="J2832" s="711">
        <v>4.7</v>
      </c>
      <c r="K2832" s="711">
        <v>49.99</v>
      </c>
      <c r="L2832" s="710">
        <f>INT(base[[#This Row],[Data de liquidação]])</f>
        <v>46192</v>
      </c>
      <c r="M2832" s="711">
        <f>base[[#This Row],[L/P Bruto]]-base[[#This Row],[L/P Líquido]]</f>
        <v>0</v>
      </c>
      <c r="N2832" s="711">
        <f>base[[#This Row],[L/P Líquido]]/base[[#This Row],[Stake/Responsabilidade]]</f>
        <v>-1.8403680736147229E-2</v>
      </c>
      <c r="O2832" s="712">
        <f>IF(base[[#This Row],[L/P Líquido]]&gt;0,1,0)</f>
        <v>0</v>
      </c>
      <c r="P2832" s="712"/>
      <c r="Q2832" s="712" t="str">
        <f>LEFT(base[[#This Row],[Evento / Mercado]],FIND("vs",base[[#This Row],[Evento / Mercado]])-2)</f>
        <v>Ranheim</v>
      </c>
      <c r="R283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4" t="str">
        <f>LEFT(base[[#This Row],[Evento / Mercado]],FIND("/",base[[#This Row],[Evento / Mercado]])-2)</f>
        <v>Ranheim vs FK Lyn</v>
      </c>
      <c r="T2832" s="1420">
        <f>base[[#This Row],[Data de liquidação]]</f>
        <v>46192.663958333331</v>
      </c>
    </row>
    <row r="2833" spans="2:22" ht="15" customHeight="1">
      <c r="B2833" s="714" t="s">
        <v>3524</v>
      </c>
      <c r="C2833" s="911" t="s">
        <v>3556</v>
      </c>
      <c r="D2833" s="1374">
        <v>46192.683645833335</v>
      </c>
      <c r="E2833" s="715">
        <v>3.14</v>
      </c>
      <c r="F2833" s="654">
        <v>4.4999999999999998E-2</v>
      </c>
      <c r="G2833" s="711">
        <f t="shared" si="55"/>
        <v>3.2879581151832462</v>
      </c>
      <c r="H2833" s="711" t="s">
        <v>1666</v>
      </c>
      <c r="I2833" s="709" t="s">
        <v>2883</v>
      </c>
      <c r="J2833" s="711">
        <v>1.66</v>
      </c>
      <c r="K2833" s="711">
        <v>5</v>
      </c>
      <c r="L2833" s="710">
        <f>INT(base[[#This Row],[Data de liquidação]])</f>
        <v>46192</v>
      </c>
      <c r="M2833" s="711">
        <f>base[[#This Row],[L/P Bruto]]-base[[#This Row],[L/P Líquido]]</f>
        <v>0.14795811518324609</v>
      </c>
      <c r="N2833" s="711">
        <f>base[[#This Row],[L/P Líquido]]/base[[#This Row],[Stake/Responsabilidade]]</f>
        <v>0.628</v>
      </c>
      <c r="O2833" s="712">
        <f>IF(base[[#This Row],[L/P Líquido]]&gt;0,1,0)</f>
        <v>1</v>
      </c>
      <c r="P2833" s="712"/>
      <c r="Q2833" s="712" t="str">
        <f>LEFT(base[[#This Row],[Evento / Mercado]],FIND("vs",base[[#This Row],[Evento / Mercado]])-2)</f>
        <v>Bohemian FC</v>
      </c>
      <c r="R283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4" t="str">
        <f>LEFT(base[[#This Row],[Evento / Mercado]],FIND("/",base[[#This Row],[Evento / Mercado]])-2)</f>
        <v>Bohemian FC vs Dundalk</v>
      </c>
      <c r="T2833" s="1420">
        <f>base[[#This Row],[Data de liquidação]]</f>
        <v>46192.683645833335</v>
      </c>
    </row>
    <row r="2834" spans="2:22" ht="15" customHeight="1">
      <c r="B2834" s="714" t="s">
        <v>3523</v>
      </c>
      <c r="C2834" s="911" t="s">
        <v>3556</v>
      </c>
      <c r="D2834" s="1374">
        <v>46192.728148148148</v>
      </c>
      <c r="E2834" s="715">
        <v>-2</v>
      </c>
      <c r="F2834" s="654">
        <v>4.4999999999999998E-2</v>
      </c>
      <c r="G2834" s="711">
        <f t="shared" si="55"/>
        <v>-2</v>
      </c>
      <c r="H2834" s="711" t="s">
        <v>1666</v>
      </c>
      <c r="I2834" s="709" t="s">
        <v>2363</v>
      </c>
      <c r="J2834" s="711">
        <v>4</v>
      </c>
      <c r="K2834" s="711">
        <v>2</v>
      </c>
      <c r="L2834" s="710">
        <f>INT(base[[#This Row],[Data de liquidação]])</f>
        <v>46192</v>
      </c>
      <c r="M2834" s="711">
        <f>base[[#This Row],[L/P Bruto]]-base[[#This Row],[L/P Líquido]]</f>
        <v>0</v>
      </c>
      <c r="N2834" s="711">
        <f>base[[#This Row],[L/P Líquido]]/base[[#This Row],[Stake/Responsabilidade]]</f>
        <v>-1</v>
      </c>
      <c r="O2834" s="712">
        <f>IF(base[[#This Row],[L/P Líquido]]&gt;0,1,0)</f>
        <v>0</v>
      </c>
      <c r="P2834" s="712"/>
      <c r="Q2834" s="712" t="str">
        <f>LEFT(base[[#This Row],[Evento / Mercado]],FIND("vs",base[[#This Row],[Evento / Mercado]])-2)</f>
        <v>Waterford FC</v>
      </c>
      <c r="R283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4" t="str">
        <f>LEFT(base[[#This Row],[Evento / Mercado]],FIND("/",base[[#This Row],[Evento / Mercado]])-2)</f>
        <v>Waterford FC vs Shamrock Rovers</v>
      </c>
      <c r="T2834" s="1420">
        <f>base[[#This Row],[Data de liquidação]]</f>
        <v>46192.728148148148</v>
      </c>
    </row>
    <row r="2835" spans="2:22" ht="15" customHeight="1">
      <c r="B2835" s="714" t="s">
        <v>3522</v>
      </c>
      <c r="C2835" s="911" t="s">
        <v>3556</v>
      </c>
      <c r="D2835" s="1374">
        <v>46192.73027777778</v>
      </c>
      <c r="E2835" s="715">
        <v>31.83</v>
      </c>
      <c r="F2835" s="654">
        <v>4.4999999999999998E-2</v>
      </c>
      <c r="G2835" s="711">
        <f t="shared" si="55"/>
        <v>33.329842931937172</v>
      </c>
      <c r="H2835" s="711" t="s">
        <v>179</v>
      </c>
      <c r="I2835" s="709" t="s">
        <v>392</v>
      </c>
      <c r="J2835" s="711">
        <v>13</v>
      </c>
      <c r="K2835" s="711">
        <v>399.96</v>
      </c>
      <c r="L2835" s="710">
        <f>INT(base[[#This Row],[Data de liquidação]])</f>
        <v>46192</v>
      </c>
      <c r="M2835" s="711">
        <f>base[[#This Row],[L/P Bruto]]-base[[#This Row],[L/P Líquido]]</f>
        <v>1.4998429319371738</v>
      </c>
      <c r="N2835" s="711">
        <f>base[[#This Row],[L/P Líquido]]/base[[#This Row],[Stake/Responsabilidade]]</f>
        <v>7.9582958295829578E-2</v>
      </c>
      <c r="O2835" s="712">
        <f>IF(base[[#This Row],[L/P Líquido]]&gt;0,1,0)</f>
        <v>1</v>
      </c>
      <c r="P2835" s="712" t="s">
        <v>3526</v>
      </c>
      <c r="Q2835" s="712" t="str">
        <f>LEFT(base[[#This Row],[Evento / Mercado]],FIND("vs",base[[#This Row],[Evento / Mercado]])-2)</f>
        <v>Cork City FC</v>
      </c>
      <c r="R283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4" t="str">
        <f>LEFT(base[[#This Row],[Evento / Mercado]],FIND("/",base[[#This Row],[Evento / Mercado]])-2)</f>
        <v>Cork City FC vs Treaty United</v>
      </c>
      <c r="T2835" s="1420">
        <f>base[[#This Row],[Data de liquidação]]</f>
        <v>46192.73027777778</v>
      </c>
    </row>
    <row r="2836" spans="2:22" ht="15" customHeight="1">
      <c r="B2836" s="714" t="s">
        <v>3521</v>
      </c>
      <c r="C2836" s="911" t="s">
        <v>3556</v>
      </c>
      <c r="D2836" s="1374">
        <v>46192.731354166666</v>
      </c>
      <c r="E2836" s="715">
        <v>-0.42</v>
      </c>
      <c r="F2836" s="654">
        <v>4.4999999999999998E-2</v>
      </c>
      <c r="G2836" s="711">
        <f t="shared" si="55"/>
        <v>-0.42</v>
      </c>
      <c r="H2836" s="711" t="s">
        <v>3333</v>
      </c>
      <c r="I2836" s="709" t="s">
        <v>16</v>
      </c>
      <c r="J2836" s="711">
        <v>1.76</v>
      </c>
      <c r="K2836" s="711">
        <v>25</v>
      </c>
      <c r="L2836" s="710">
        <f>INT(base[[#This Row],[Data de liquidação]])</f>
        <v>46192</v>
      </c>
      <c r="M2836" s="711">
        <f>base[[#This Row],[L/P Bruto]]-base[[#This Row],[L/P Líquido]]</f>
        <v>0</v>
      </c>
      <c r="N2836" s="711">
        <f>base[[#This Row],[L/P Líquido]]/base[[#This Row],[Stake/Responsabilidade]]</f>
        <v>-1.6799999999999999E-2</v>
      </c>
      <c r="O2836" s="712">
        <f>IF(base[[#This Row],[L/P Líquido]]&gt;0,1,0)</f>
        <v>0</v>
      </c>
      <c r="P2836" s="712"/>
      <c r="Q2836" s="712" t="str">
        <f>LEFT(base[[#This Row],[Evento / Mercado]],FIND("vs",base[[#This Row],[Evento / Mercado]])-2)</f>
        <v>Galway United</v>
      </c>
      <c r="R283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4" t="str">
        <f>LEFT(base[[#This Row],[Evento / Mercado]],FIND("/",base[[#This Row],[Evento / Mercado]])-2)</f>
        <v>Galway United vs Derry City</v>
      </c>
      <c r="T2836" s="1420">
        <f>base[[#This Row],[Data de liquidação]]</f>
        <v>46192.731354166666</v>
      </c>
    </row>
    <row r="2837" spans="2:22" ht="15" customHeight="1">
      <c r="B2837" s="714" t="s">
        <v>3520</v>
      </c>
      <c r="C2837" s="911" t="s">
        <v>3556</v>
      </c>
      <c r="D2837" s="1374">
        <v>46192.733275462961</v>
      </c>
      <c r="E2837" s="715">
        <v>38.199999999999996</v>
      </c>
      <c r="F2837" s="654">
        <v>4.4999999999999998E-2</v>
      </c>
      <c r="G2837" s="711">
        <f t="shared" si="55"/>
        <v>40</v>
      </c>
      <c r="H2837" s="711" t="s">
        <v>3188</v>
      </c>
      <c r="I2837" s="709" t="s">
        <v>498</v>
      </c>
      <c r="J2837" s="711">
        <v>3.45</v>
      </c>
      <c r="K2837" s="711">
        <v>40</v>
      </c>
      <c r="L2837" s="710">
        <f>INT(base[[#This Row],[Data de liquidação]])</f>
        <v>46192</v>
      </c>
      <c r="M2837" s="711">
        <f>base[[#This Row],[L/P Bruto]]-base[[#This Row],[L/P Líquido]]</f>
        <v>1.8000000000000043</v>
      </c>
      <c r="N2837" s="711">
        <f>base[[#This Row],[L/P Líquido]]/base[[#This Row],[Stake/Responsabilidade]]</f>
        <v>0.95499999999999985</v>
      </c>
      <c r="O2837" s="712">
        <f>IF(base[[#This Row],[L/P Líquido]]&gt;0,1,0)</f>
        <v>1</v>
      </c>
      <c r="P2837" s="712"/>
      <c r="Q2837" s="712" t="str">
        <f>LEFT(base[[#This Row],[Evento / Mercado]],FIND("vs",base[[#This Row],[Evento / Mercado]])-2)</f>
        <v>St. Patrick's Athletic</v>
      </c>
      <c r="R283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4" t="str">
        <f>LEFT(base[[#This Row],[Evento / Mercado]],FIND("/",base[[#This Row],[Evento / Mercado]])-2)</f>
        <v>St. Patrick's Athletic vs Sligo Rovers</v>
      </c>
      <c r="T2837" s="142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714" t="s">
        <v>3520</v>
      </c>
      <c r="C2838" s="911" t="s">
        <v>3556</v>
      </c>
      <c r="D2838" s="1374">
        <v>46192.733275462961</v>
      </c>
      <c r="E2838" s="715">
        <v>0.67804999999999993</v>
      </c>
      <c r="F2838" s="654">
        <v>4.4999999999999998E-2</v>
      </c>
      <c r="G2838" s="711">
        <f t="shared" si="55"/>
        <v>0.71</v>
      </c>
      <c r="H2838" s="711" t="s">
        <v>1666</v>
      </c>
      <c r="I2838" s="709" t="s">
        <v>2362</v>
      </c>
      <c r="J2838" s="711">
        <v>1.07</v>
      </c>
      <c r="K2838" s="711">
        <v>10</v>
      </c>
      <c r="L2838" s="710">
        <f>INT(base[[#This Row],[Data de liquidação]])</f>
        <v>46192</v>
      </c>
      <c r="M2838" s="711">
        <f>base[[#This Row],[L/P Bruto]]-base[[#This Row],[L/P Líquido]]</f>
        <v>3.1950000000000034E-2</v>
      </c>
      <c r="N2838" s="711">
        <f>base[[#This Row],[L/P Líquido]]/base[[#This Row],[Stake/Responsabilidade]]</f>
        <v>6.780499999999999E-2</v>
      </c>
      <c r="O2838" s="712">
        <f>IF(base[[#This Row],[L/P Líquido]]&gt;0,1,0)</f>
        <v>1</v>
      </c>
      <c r="P2838" s="712"/>
      <c r="Q2838" s="712" t="str">
        <f>LEFT(base[[#This Row],[Evento / Mercado]],FIND("vs",base[[#This Row],[Evento / Mercado]])-2)</f>
        <v>St. Patrick's Athletic</v>
      </c>
      <c r="R283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4" t="str">
        <f>LEFT(base[[#This Row],[Evento / Mercado]],FIND("/",base[[#This Row],[Evento / Mercado]])-2)</f>
        <v>St. Patrick's Athletic vs Sligo Rovers</v>
      </c>
      <c r="T2838" s="142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714" t="s">
        <v>3519</v>
      </c>
      <c r="C2839" s="911" t="s">
        <v>3556</v>
      </c>
      <c r="D2839" s="1374">
        <v>46192.733796296299</v>
      </c>
      <c r="E2839" s="715">
        <v>-399.98</v>
      </c>
      <c r="F2839" s="654">
        <v>4.4999999999999998E-2</v>
      </c>
      <c r="G2839" s="711">
        <f t="shared" si="55"/>
        <v>-399.98</v>
      </c>
      <c r="H2839" s="661" t="s">
        <v>179</v>
      </c>
      <c r="I2839" s="659" t="s">
        <v>392</v>
      </c>
      <c r="J2839" s="711">
        <v>6.4</v>
      </c>
      <c r="K2839" s="711">
        <v>399.98</v>
      </c>
      <c r="L2839" s="710">
        <f>INT(base[[#This Row],[Data de liquidação]])</f>
        <v>46192</v>
      </c>
      <c r="M2839" s="711">
        <f>base[[#This Row],[L/P Bruto]]-base[[#This Row],[L/P Líquido]]</f>
        <v>0</v>
      </c>
      <c r="N2839" s="711">
        <f>base[[#This Row],[L/P Líquido]]/base[[#This Row],[Stake/Responsabilidade]]</f>
        <v>-1</v>
      </c>
      <c r="O2839" s="712">
        <f>IF(base[[#This Row],[L/P Líquido]]&gt;0,1,0)</f>
        <v>0</v>
      </c>
      <c r="P2839" s="712" t="s">
        <v>3526</v>
      </c>
      <c r="Q2839" s="712" t="str">
        <f>LEFT(base[[#This Row],[Evento / Mercado]],FIND("vs",base[[#This Row],[Evento / Mercado]])-2)</f>
        <v>UCD</v>
      </c>
      <c r="R283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4" t="str">
        <f>LEFT(base[[#This Row],[Evento / Mercado]],FIND("/",base[[#This Row],[Evento / Mercado]])-2)</f>
        <v>UCD vs Kerry FC</v>
      </c>
      <c r="T2839" s="1420">
        <f>base[[#This Row],[Data de liquidação]]</f>
        <v>46192.733796296299</v>
      </c>
    </row>
    <row r="2840" spans="2:22" ht="15" customHeight="1">
      <c r="B2840" s="714" t="s">
        <v>3518</v>
      </c>
      <c r="C2840" s="911" t="s">
        <v>3556</v>
      </c>
      <c r="D2840" s="1374">
        <v>46192.734097222223</v>
      </c>
      <c r="E2840" s="715">
        <v>24.65</v>
      </c>
      <c r="F2840" s="654">
        <v>4.4999999999999998E-2</v>
      </c>
      <c r="G2840" s="711">
        <f t="shared" si="55"/>
        <v>25.811518324607331</v>
      </c>
      <c r="H2840" s="661" t="s">
        <v>179</v>
      </c>
      <c r="I2840" s="659" t="s">
        <v>392</v>
      </c>
      <c r="J2840" s="711">
        <v>16.5</v>
      </c>
      <c r="K2840" s="711">
        <v>400.06</v>
      </c>
      <c r="L2840" s="710">
        <f>INT(base[[#This Row],[Data de liquidação]])</f>
        <v>46192</v>
      </c>
      <c r="M2840" s="711">
        <f>base[[#This Row],[L/P Bruto]]-base[[#This Row],[L/P Líquido]]</f>
        <v>1.1615183246073322</v>
      </c>
      <c r="N2840" s="711">
        <f>base[[#This Row],[L/P Líquido]]/base[[#This Row],[Stake/Responsabilidade]]</f>
        <v>6.1615757636354546E-2</v>
      </c>
      <c r="O2840" s="712">
        <f>IF(base[[#This Row],[L/P Líquido]]&gt;0,1,0)</f>
        <v>1</v>
      </c>
      <c r="P2840" s="712" t="s">
        <v>2152</v>
      </c>
      <c r="Q2840" s="712" t="str">
        <f>LEFT(base[[#This Row],[Evento / Mercado]],FIND("vs",base[[#This Row],[Evento / Mercado]])-2)</f>
        <v>St. Patrick's Athletic</v>
      </c>
      <c r="R284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4" t="str">
        <f>LEFT(base[[#This Row],[Evento / Mercado]],FIND("/",base[[#This Row],[Evento / Mercado]])-2)</f>
        <v>St. Patrick's Athletic vs Sligo Rovers</v>
      </c>
      <c r="T2840" s="1420">
        <f>base[[#This Row],[Data de liquidação]]</f>
        <v>46192.734097222223</v>
      </c>
    </row>
    <row r="2841" spans="2:22" ht="15" customHeight="1">
      <c r="B2841" s="714" t="s">
        <v>3517</v>
      </c>
      <c r="C2841" s="911" t="s">
        <v>3556</v>
      </c>
      <c r="D2841" s="1374">
        <v>46192.734953703701</v>
      </c>
      <c r="E2841" s="715">
        <v>4.68</v>
      </c>
      <c r="F2841" s="654">
        <v>4.4999999999999998E-2</v>
      </c>
      <c r="G2841" s="711">
        <f t="shared" si="55"/>
        <v>4.9005235602094244</v>
      </c>
      <c r="H2841" s="711" t="s">
        <v>1666</v>
      </c>
      <c r="I2841" s="709" t="s">
        <v>2331</v>
      </c>
      <c r="J2841" s="711">
        <v>1.07</v>
      </c>
      <c r="K2841" s="711">
        <v>70</v>
      </c>
      <c r="L2841" s="710">
        <f>INT(base[[#This Row],[Data de liquidação]])</f>
        <v>46192</v>
      </c>
      <c r="M2841" s="711">
        <f>base[[#This Row],[L/P Bruto]]-base[[#This Row],[L/P Líquido]]</f>
        <v>0.22052356020942465</v>
      </c>
      <c r="N2841" s="711">
        <f>base[[#This Row],[L/P Líquido]]/base[[#This Row],[Stake/Responsabilidade]]</f>
        <v>6.6857142857142851E-2</v>
      </c>
      <c r="O2841" s="712">
        <f>IF(base[[#This Row],[L/P Líquido]]&gt;0,1,0)</f>
        <v>1</v>
      </c>
      <c r="P2841" s="712"/>
      <c r="Q2841" s="712" t="str">
        <f>LEFT(base[[#This Row],[Evento / Mercado]],FIND("vs",base[[#This Row],[Evento / Mercado]])-2)</f>
        <v>Galway United</v>
      </c>
      <c r="R284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4" t="str">
        <f>LEFT(base[[#This Row],[Evento / Mercado]],FIND("/",base[[#This Row],[Evento / Mercado]])-2)</f>
        <v>Galway United vs Derry City</v>
      </c>
      <c r="T2841" s="1420">
        <f>base[[#This Row],[Data de liquidação]]</f>
        <v>46192.734953703701</v>
      </c>
    </row>
    <row r="2842" spans="2:22" ht="15" customHeight="1">
      <c r="B2842" s="714" t="s">
        <v>3516</v>
      </c>
      <c r="C2842" s="911" t="s">
        <v>3556</v>
      </c>
      <c r="D2842" s="1374">
        <v>46192.752650462964</v>
      </c>
      <c r="E2842" s="715">
        <v>26.55</v>
      </c>
      <c r="F2842" s="654">
        <v>4.4999999999999998E-2</v>
      </c>
      <c r="G2842" s="711">
        <f t="shared" si="55"/>
        <v>27.801047120418851</v>
      </c>
      <c r="H2842" s="711" t="s">
        <v>3209</v>
      </c>
      <c r="I2842" s="709" t="s">
        <v>3211</v>
      </c>
      <c r="J2842" s="711"/>
      <c r="K2842" s="711">
        <v>100</v>
      </c>
      <c r="L2842" s="710">
        <f>INT(base[[#This Row],[Data de liquidação]])</f>
        <v>46192</v>
      </c>
      <c r="M2842" s="711">
        <f>base[[#This Row],[L/P Bruto]]-base[[#This Row],[L/P Líquido]]</f>
        <v>1.2510471204188498</v>
      </c>
      <c r="N2842" s="711">
        <f>base[[#This Row],[L/P Líquido]]/base[[#This Row],[Stake/Responsabilidade]]</f>
        <v>0.26550000000000001</v>
      </c>
      <c r="O2842" s="712">
        <f>IF(base[[#This Row],[L/P Líquido]]&gt;0,1,0)</f>
        <v>1</v>
      </c>
      <c r="P2842" s="712"/>
      <c r="Q2842" s="712" t="str">
        <f>LEFT(base[[#This Row],[Evento / Mercado]],FIND("vs",base[[#This Row],[Evento / Mercado]])-2)</f>
        <v>USA</v>
      </c>
      <c r="R284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4" t="str">
        <f>LEFT(base[[#This Row],[Evento / Mercado]],FIND("/",base[[#This Row],[Evento / Mercado]])-2)</f>
        <v>USA vs Australia</v>
      </c>
      <c r="T2842" s="1420">
        <f>base[[#This Row],[Data de liquidação]]</f>
        <v>46192.752650462964</v>
      </c>
    </row>
    <row r="2843" spans="2:22" ht="15" customHeight="1">
      <c r="B2843" s="714" t="s">
        <v>3516</v>
      </c>
      <c r="C2843" s="911" t="s">
        <v>3555</v>
      </c>
      <c r="D2843" s="1374">
        <v>46192.752650462964</v>
      </c>
      <c r="E2843" s="715">
        <v>31.51</v>
      </c>
      <c r="F2843" s="654">
        <v>4.4999999999999998E-2</v>
      </c>
      <c r="G2843" s="711">
        <f t="shared" si="55"/>
        <v>32.994764397905762</v>
      </c>
      <c r="H2843" s="711" t="s">
        <v>3334</v>
      </c>
      <c r="I2843" s="659" t="s">
        <v>627</v>
      </c>
      <c r="J2843" s="711">
        <v>17.5</v>
      </c>
      <c r="K2843" s="711">
        <v>534.92999999999995</v>
      </c>
      <c r="L2843" s="710">
        <f>INT(base[[#This Row],[Data de liquidação]])</f>
        <v>46192</v>
      </c>
      <c r="M2843" s="711">
        <f>base[[#This Row],[L/P Bruto]]-base[[#This Row],[L/P Líquido]]</f>
        <v>1.4847643979057601</v>
      </c>
      <c r="N2843" s="711">
        <f>base[[#This Row],[L/P Líquido]]/base[[#This Row],[Stake/Responsabilidade]]</f>
        <v>5.8904903445310609E-2</v>
      </c>
      <c r="O2843" s="712">
        <f>IF(base[[#This Row],[L/P Líquido]]&gt;0,1,0)</f>
        <v>1</v>
      </c>
      <c r="P2843" s="712"/>
      <c r="Q2843" s="712" t="str">
        <f>LEFT(base[[#This Row],[Evento / Mercado]],FIND("vs",base[[#This Row],[Evento / Mercado]])-2)</f>
        <v>USA</v>
      </c>
      <c r="R284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4" t="str">
        <f>LEFT(base[[#This Row],[Evento / Mercado]],FIND("/",base[[#This Row],[Evento / Mercado]])-2)</f>
        <v>USA vs Australia</v>
      </c>
      <c r="T2843" s="1420">
        <f>base[[#This Row],[Data de liquidação]]</f>
        <v>46192.752650462964</v>
      </c>
    </row>
    <row r="2844" spans="2:22" ht="15" customHeight="1">
      <c r="B2844" s="714" t="s">
        <v>3515</v>
      </c>
      <c r="C2844" s="911" t="s">
        <v>3556</v>
      </c>
      <c r="D2844" s="1374">
        <v>46192.752928240741</v>
      </c>
      <c r="E2844" s="715">
        <v>86.82</v>
      </c>
      <c r="F2844" s="654">
        <v>4.4999999999999998E-2</v>
      </c>
      <c r="G2844" s="711">
        <f t="shared" si="55"/>
        <v>90.910994764397898</v>
      </c>
      <c r="H2844" s="661" t="s">
        <v>179</v>
      </c>
      <c r="I2844" s="939" t="s">
        <v>3393</v>
      </c>
      <c r="J2844" s="711">
        <v>5.4</v>
      </c>
      <c r="K2844" s="711">
        <v>400</v>
      </c>
      <c r="L2844" s="710">
        <f>INT(base[[#This Row],[Data de liquidação]])</f>
        <v>46192</v>
      </c>
      <c r="M2844" s="711">
        <f>base[[#This Row],[L/P Bruto]]-base[[#This Row],[L/P Líquido]]</f>
        <v>4.0909947643979052</v>
      </c>
      <c r="N2844" s="711">
        <f>base[[#This Row],[L/P Líquido]]/base[[#This Row],[Stake/Responsabilidade]]</f>
        <v>0.21704999999999999</v>
      </c>
      <c r="O2844" s="712">
        <f>IF(base[[#This Row],[L/P Líquido]]&gt;0,1,0)</f>
        <v>1</v>
      </c>
      <c r="P2844" s="712" t="s">
        <v>3331</v>
      </c>
      <c r="Q2844" s="712" t="str">
        <f>LEFT(base[[#This Row],[Evento / Mercado]],FIND("vs",base[[#This Row],[Evento / Mercado]])-2)</f>
        <v>USA</v>
      </c>
      <c r="R284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4" t="str">
        <f>LEFT(base[[#This Row],[Evento / Mercado]],FIND("/",base[[#This Row],[Evento / Mercado]])-2)</f>
        <v>USA vs Australia</v>
      </c>
      <c r="T2844" s="1420">
        <f>base[[#This Row],[Data de liquidação]]</f>
        <v>46192.752928240741</v>
      </c>
    </row>
    <row r="2845" spans="2:22" ht="15" customHeight="1">
      <c r="B2845" s="714" t="s">
        <v>3515</v>
      </c>
      <c r="C2845" s="911" t="s">
        <v>3555</v>
      </c>
      <c r="D2845" s="1374">
        <v>46192.752928240741</v>
      </c>
      <c r="E2845" s="715">
        <v>6.45</v>
      </c>
      <c r="F2845" s="654">
        <v>4.4999999999999998E-2</v>
      </c>
      <c r="G2845" s="711">
        <f t="shared" si="55"/>
        <v>6.7539267015706814</v>
      </c>
      <c r="H2845" s="711" t="s">
        <v>3330</v>
      </c>
      <c r="I2845" s="1248" t="s">
        <v>4368</v>
      </c>
      <c r="J2845" s="711">
        <v>5.8</v>
      </c>
      <c r="K2845" s="711">
        <v>50.02</v>
      </c>
      <c r="L2845" s="710">
        <f>INT(base[[#This Row],[Data de liquidação]])</f>
        <v>46192</v>
      </c>
      <c r="M2845" s="711">
        <f>base[[#This Row],[L/P Bruto]]-base[[#This Row],[L/P Líquido]]</f>
        <v>0.30392670157068125</v>
      </c>
      <c r="N2845" s="711">
        <f>base[[#This Row],[L/P Líquido]]/base[[#This Row],[Stake/Responsabilidade]]</f>
        <v>0.1289484206317473</v>
      </c>
      <c r="O2845" s="712">
        <f>IF(base[[#This Row],[L/P Líquido]]&gt;0,1,0)</f>
        <v>1</v>
      </c>
      <c r="P2845" s="712"/>
      <c r="Q2845" s="712" t="str">
        <f>LEFT(base[[#This Row],[Evento / Mercado]],FIND("vs",base[[#This Row],[Evento / Mercado]])-2)</f>
        <v>USA</v>
      </c>
      <c r="R284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4" t="str">
        <f>LEFT(base[[#This Row],[Evento / Mercado]],FIND("/",base[[#This Row],[Evento / Mercado]])-2)</f>
        <v>USA vs Australia</v>
      </c>
      <c r="T2845" s="1420">
        <f>base[[#This Row],[Data de liquidação]]</f>
        <v>46192.752928240741</v>
      </c>
    </row>
    <row r="2846" spans="2:22" ht="15" customHeight="1">
      <c r="B2846" s="714" t="s">
        <v>3514</v>
      </c>
      <c r="C2846" s="911" t="s">
        <v>3556</v>
      </c>
      <c r="D2846" s="1374">
        <v>46192.753159722219</v>
      </c>
      <c r="E2846" s="715">
        <v>-120</v>
      </c>
      <c r="F2846" s="654">
        <v>4.4999999999999998E-2</v>
      </c>
      <c r="G2846" s="711">
        <f t="shared" si="55"/>
        <v>-120</v>
      </c>
      <c r="H2846" s="711" t="s">
        <v>3188</v>
      </c>
      <c r="I2846" s="709" t="s">
        <v>296</v>
      </c>
      <c r="J2846" s="711">
        <v>4</v>
      </c>
      <c r="K2846" s="711">
        <v>40</v>
      </c>
      <c r="L2846" s="710">
        <f>INT(base[[#This Row],[Data de liquidação]])</f>
        <v>46192</v>
      </c>
      <c r="M2846" s="711">
        <f>base[[#This Row],[L/P Bruto]]-base[[#This Row],[L/P Líquido]]</f>
        <v>0</v>
      </c>
      <c r="N2846" s="711">
        <f>base[[#This Row],[L/P Líquido]]/base[[#This Row],[Stake/Responsabilidade]]</f>
        <v>-3</v>
      </c>
      <c r="O2846" s="712">
        <f>IF(base[[#This Row],[L/P Líquido]]&gt;0,1,0)</f>
        <v>0</v>
      </c>
      <c r="P2846" s="712"/>
      <c r="Q2846" s="712" t="str">
        <f>LEFT(base[[#This Row],[Evento / Mercado]],FIND("vs",base[[#This Row],[Evento / Mercado]])-2)</f>
        <v>USA</v>
      </c>
      <c r="R284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4" t="str">
        <f>LEFT(base[[#This Row],[Evento / Mercado]],FIND("/",base[[#This Row],[Evento / Mercado]])-2)</f>
        <v>USA vs Australia</v>
      </c>
      <c r="T2846" s="1420">
        <f>base[[#This Row],[Data de liquidação]]</f>
        <v>46192.753159722219</v>
      </c>
    </row>
    <row r="2847" spans="2:22" ht="15" customHeight="1">
      <c r="B2847" s="714" t="s">
        <v>3513</v>
      </c>
      <c r="C2847" s="911" t="s">
        <v>3556</v>
      </c>
      <c r="D2847" s="1374">
        <v>46192.874305555553</v>
      </c>
      <c r="E2847" s="715">
        <v>40.31</v>
      </c>
      <c r="F2847" s="654">
        <v>4.4999999999999998E-2</v>
      </c>
      <c r="G2847" s="711">
        <f t="shared" si="55"/>
        <v>42.20942408376964</v>
      </c>
      <c r="H2847" s="711" t="s">
        <v>3209</v>
      </c>
      <c r="I2847" s="709" t="s">
        <v>3210</v>
      </c>
      <c r="J2847" s="711"/>
      <c r="K2847" s="711">
        <v>100</v>
      </c>
      <c r="L2847" s="710">
        <f>INT(base[[#This Row],[Data de liquidação]])</f>
        <v>46192</v>
      </c>
      <c r="M2847" s="711">
        <f>base[[#This Row],[L/P Bruto]]-base[[#This Row],[L/P Líquido]]</f>
        <v>1.8994240837696381</v>
      </c>
      <c r="N2847" s="711">
        <f>base[[#This Row],[L/P Líquido]]/base[[#This Row],[Stake/Responsabilidade]]</f>
        <v>0.40310000000000001</v>
      </c>
      <c r="O2847" s="712">
        <f>IF(base[[#This Row],[L/P Líquido]]&gt;0,1,0)</f>
        <v>1</v>
      </c>
      <c r="P2847" s="712"/>
      <c r="Q2847" s="712" t="str">
        <f>LEFT(base[[#This Row],[Evento / Mercado]],FIND("vs",base[[#This Row],[Evento / Mercado]])-2)</f>
        <v>Scotland</v>
      </c>
      <c r="R284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4" t="str">
        <f>LEFT(base[[#This Row],[Evento / Mercado]],FIND("/",base[[#This Row],[Evento / Mercado]])-2)</f>
        <v>Scotland vs Morocco</v>
      </c>
      <c r="T2847" s="1420">
        <f>base[[#This Row],[Data de liquidação]]</f>
        <v>46192.874305555553</v>
      </c>
    </row>
    <row r="2848" spans="2:22" ht="15" customHeight="1">
      <c r="B2848" s="714" t="s">
        <v>3513</v>
      </c>
      <c r="C2848" s="911" t="s">
        <v>3555</v>
      </c>
      <c r="D2848" s="1374">
        <v>46192.874305555553</v>
      </c>
      <c r="E2848" s="715">
        <v>35.5</v>
      </c>
      <c r="F2848" s="654">
        <v>4.4999999999999998E-2</v>
      </c>
      <c r="G2848" s="711">
        <f t="shared" si="55"/>
        <v>37.172774869109951</v>
      </c>
      <c r="H2848" s="711" t="s">
        <v>3334</v>
      </c>
      <c r="I2848" s="633" t="s">
        <v>694</v>
      </c>
      <c r="J2848" s="711">
        <v>16.5</v>
      </c>
      <c r="K2848" s="711">
        <v>566.02</v>
      </c>
      <c r="L2848" s="710">
        <f>INT(base[[#This Row],[Data de liquidação]])</f>
        <v>46192</v>
      </c>
      <c r="M2848" s="711">
        <f>base[[#This Row],[L/P Bruto]]-base[[#This Row],[L/P Líquido]]</f>
        <v>1.6727748691099507</v>
      </c>
      <c r="N2848" s="711">
        <f>base[[#This Row],[L/P Líquido]]/base[[#This Row],[Stake/Responsabilidade]]</f>
        <v>6.2718631850464654E-2</v>
      </c>
      <c r="O2848" s="712">
        <f>IF(base[[#This Row],[L/P Líquido]]&gt;0,1,0)</f>
        <v>1</v>
      </c>
      <c r="P2848" s="712"/>
      <c r="Q2848" s="712" t="str">
        <f>LEFT(base[[#This Row],[Evento / Mercado]],FIND("vs",base[[#This Row],[Evento / Mercado]])-2)</f>
        <v>Scotland</v>
      </c>
      <c r="R284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4" t="str">
        <f>LEFT(base[[#This Row],[Evento / Mercado]],FIND("/",base[[#This Row],[Evento / Mercado]])-2)</f>
        <v>Scotland vs Morocco</v>
      </c>
      <c r="T2848" s="1420">
        <f>base[[#This Row],[Data de liquidação]]</f>
        <v>46192.874305555553</v>
      </c>
    </row>
    <row r="2849" spans="2:22" ht="15" customHeight="1">
      <c r="B2849" s="714" t="s">
        <v>3512</v>
      </c>
      <c r="C2849" s="911" t="s">
        <v>3556</v>
      </c>
      <c r="D2849" s="1374">
        <v>46192.874710648146</v>
      </c>
      <c r="E2849" s="715">
        <v>-102</v>
      </c>
      <c r="F2849" s="654">
        <v>4.4999999999999998E-2</v>
      </c>
      <c r="G2849" s="711">
        <f t="shared" si="55"/>
        <v>-102</v>
      </c>
      <c r="H2849" s="711" t="s">
        <v>3188</v>
      </c>
      <c r="I2849" s="709" t="s">
        <v>1572</v>
      </c>
      <c r="J2849" s="711">
        <v>3.55</v>
      </c>
      <c r="K2849" s="711">
        <v>40</v>
      </c>
      <c r="L2849" s="710">
        <f>INT(base[[#This Row],[Data de liquidação]])</f>
        <v>46192</v>
      </c>
      <c r="M2849" s="711">
        <f>base[[#This Row],[L/P Bruto]]-base[[#This Row],[L/P Líquido]]</f>
        <v>0</v>
      </c>
      <c r="N2849" s="711">
        <f>base[[#This Row],[L/P Líquido]]/base[[#This Row],[Stake/Responsabilidade]]</f>
        <v>-2.5499999999999998</v>
      </c>
      <c r="O2849" s="712">
        <f>IF(base[[#This Row],[L/P Líquido]]&gt;0,1,0)</f>
        <v>0</v>
      </c>
      <c r="P2849" s="712"/>
      <c r="Q2849" s="712" t="str">
        <f>LEFT(base[[#This Row],[Evento / Mercado]],FIND("vs",base[[#This Row],[Evento / Mercado]])-2)</f>
        <v>Scotland</v>
      </c>
      <c r="R284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4" t="str">
        <f>LEFT(base[[#This Row],[Evento / Mercado]],FIND("/",base[[#This Row],[Evento / Mercado]])-2)</f>
        <v>Scotland vs Morocco</v>
      </c>
      <c r="T2849" s="1420">
        <f>base[[#This Row],[Data de liquidação]]</f>
        <v>46192.874710648146</v>
      </c>
    </row>
    <row r="2850" spans="2:22" ht="15" customHeight="1">
      <c r="B2850" s="714" t="s">
        <v>3511</v>
      </c>
      <c r="C2850" s="911" t="s">
        <v>3556</v>
      </c>
      <c r="D2850" s="1374">
        <v>46192.87604166667</v>
      </c>
      <c r="E2850" s="715">
        <v>68.22</v>
      </c>
      <c r="F2850" s="654">
        <v>4.4999999999999998E-2</v>
      </c>
      <c r="G2850" s="711">
        <f t="shared" si="55"/>
        <v>71.434554973821989</v>
      </c>
      <c r="H2850" s="661" t="s">
        <v>179</v>
      </c>
      <c r="I2850" s="939" t="s">
        <v>3393</v>
      </c>
      <c r="J2850" s="711">
        <v>6.6</v>
      </c>
      <c r="K2850" s="711">
        <v>399.96</v>
      </c>
      <c r="L2850" s="710">
        <f>INT(base[[#This Row],[Data de liquidação]])</f>
        <v>46192</v>
      </c>
      <c r="M2850" s="711">
        <f>base[[#This Row],[L/P Bruto]]-base[[#This Row],[L/P Líquido]]</f>
        <v>3.2145549738219898</v>
      </c>
      <c r="N2850" s="711">
        <f>base[[#This Row],[L/P Líquido]]/base[[#This Row],[Stake/Responsabilidade]]</f>
        <v>0.17056705670567057</v>
      </c>
      <c r="O2850" s="712">
        <f>IF(base[[#This Row],[L/P Líquido]]&gt;0,1,0)</f>
        <v>1</v>
      </c>
      <c r="P2850" s="712" t="s">
        <v>3331</v>
      </c>
      <c r="Q2850" s="712" t="str">
        <f>LEFT(base[[#This Row],[Evento / Mercado]],FIND("vs",base[[#This Row],[Evento / Mercado]])-2)</f>
        <v>Scotland</v>
      </c>
      <c r="R285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4" t="str">
        <f>LEFT(base[[#This Row],[Evento / Mercado]],FIND("/",base[[#This Row],[Evento / Mercado]])-2)</f>
        <v>Scotland vs Morocco</v>
      </c>
      <c r="T2850" s="1420">
        <f>base[[#This Row],[Data de liquidação]]</f>
        <v>46192.87604166667</v>
      </c>
    </row>
    <row r="2851" spans="2:22" ht="15" customHeight="1">
      <c r="B2851" s="714" t="s">
        <v>3510</v>
      </c>
      <c r="C2851" s="911" t="s">
        <v>3556</v>
      </c>
      <c r="D2851" s="1374">
        <v>46192.980057870373</v>
      </c>
      <c r="E2851" s="715">
        <v>34.723799999999997</v>
      </c>
      <c r="F2851" s="654">
        <v>4.4999999999999998E-2</v>
      </c>
      <c r="G2851" s="711">
        <f t="shared" si="55"/>
        <v>36.36</v>
      </c>
      <c r="H2851" s="711" t="s">
        <v>1555</v>
      </c>
      <c r="I2851" s="709"/>
      <c r="J2851" s="711">
        <v>12</v>
      </c>
      <c r="K2851" s="711">
        <v>399.96</v>
      </c>
      <c r="L2851" s="710">
        <f>INT(base[[#This Row],[Data de liquidação]])</f>
        <v>46192</v>
      </c>
      <c r="M2851" s="711">
        <f>base[[#This Row],[L/P Bruto]]-base[[#This Row],[L/P Líquido]]</f>
        <v>1.6362000000000023</v>
      </c>
      <c r="N2851" s="711">
        <f>base[[#This Row],[L/P Líquido]]/base[[#This Row],[Stake/Responsabilidade]]</f>
        <v>8.6818181818181822E-2</v>
      </c>
      <c r="O2851" s="712">
        <f>IF(base[[#This Row],[L/P Líquido]]&gt;0,1,0)</f>
        <v>1</v>
      </c>
      <c r="P2851" s="712" t="s">
        <v>3331</v>
      </c>
      <c r="Q2851" s="712" t="str">
        <f>LEFT(base[[#This Row],[Evento / Mercado]],FIND("vs",base[[#This Row],[Evento / Mercado]])-2)</f>
        <v>Brazil</v>
      </c>
      <c r="R285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4" t="str">
        <f>LEFT(base[[#This Row],[Evento / Mercado]],FIND("/",base[[#This Row],[Evento / Mercado]])-2)</f>
        <v>Brazil vs Haiti</v>
      </c>
      <c r="T2851" s="142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714" t="s">
        <v>3510</v>
      </c>
      <c r="C2852" s="911" t="s">
        <v>3556</v>
      </c>
      <c r="D2852" s="1374">
        <v>46192.980057870373</v>
      </c>
      <c r="E2852" s="715">
        <v>15.28</v>
      </c>
      <c r="F2852" s="654">
        <v>4.4999999999999998E-2</v>
      </c>
      <c r="G2852" s="711">
        <f t="shared" si="55"/>
        <v>16</v>
      </c>
      <c r="H2852" s="661" t="s">
        <v>179</v>
      </c>
      <c r="I2852" s="939" t="s">
        <v>3393</v>
      </c>
      <c r="J2852" s="711">
        <v>26</v>
      </c>
      <c r="K2852" s="711">
        <v>400</v>
      </c>
      <c r="L2852" s="710">
        <f>INT(base[[#This Row],[Data de liquidação]])</f>
        <v>46192</v>
      </c>
      <c r="M2852" s="711">
        <f>base[[#This Row],[L/P Bruto]]-base[[#This Row],[L/P Líquido]]</f>
        <v>0.72000000000000064</v>
      </c>
      <c r="N2852" s="711">
        <f>base[[#This Row],[L/P Líquido]]/base[[#This Row],[Stake/Responsabilidade]]</f>
        <v>3.8199999999999998E-2</v>
      </c>
      <c r="O2852" s="712">
        <f>IF(base[[#This Row],[L/P Líquido]]&gt;0,1,0)</f>
        <v>1</v>
      </c>
      <c r="P2852" s="712" t="s">
        <v>3331</v>
      </c>
      <c r="Q2852" s="712" t="str">
        <f>LEFT(base[[#This Row],[Evento / Mercado]],FIND("vs",base[[#This Row],[Evento / Mercado]])-2)</f>
        <v>Brazil</v>
      </c>
      <c r="R285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4" t="str">
        <f>LEFT(base[[#This Row],[Evento / Mercado]],FIND("/",base[[#This Row],[Evento / Mercado]])-2)</f>
        <v>Brazil vs Haiti</v>
      </c>
      <c r="T2852" s="142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714" t="s">
        <v>3509</v>
      </c>
      <c r="C2853" s="911" t="s">
        <v>3556</v>
      </c>
      <c r="D2853" s="1374">
        <v>46192.980381944442</v>
      </c>
      <c r="E2853" s="715">
        <v>-55.2</v>
      </c>
      <c r="F2853" s="654">
        <v>4.4999999999999998E-2</v>
      </c>
      <c r="G2853" s="711">
        <f t="shared" si="55"/>
        <v>-55.2</v>
      </c>
      <c r="H2853" s="711" t="s">
        <v>3188</v>
      </c>
      <c r="I2853" s="709" t="s">
        <v>389</v>
      </c>
      <c r="J2853" s="711">
        <v>2.38</v>
      </c>
      <c r="K2853" s="711">
        <v>40</v>
      </c>
      <c r="L2853" s="710">
        <f>INT(base[[#This Row],[Data de liquidação]])</f>
        <v>46192</v>
      </c>
      <c r="M2853" s="711">
        <f>base[[#This Row],[L/P Bruto]]-base[[#This Row],[L/P Líquido]]</f>
        <v>0</v>
      </c>
      <c r="N2853" s="711">
        <f>base[[#This Row],[L/P Líquido]]/base[[#This Row],[Stake/Responsabilidade]]</f>
        <v>-1.3800000000000001</v>
      </c>
      <c r="O2853" s="712">
        <f>IF(base[[#This Row],[L/P Líquido]]&gt;0,1,0)</f>
        <v>0</v>
      </c>
      <c r="P2853" s="712"/>
      <c r="Q2853" s="712" t="str">
        <f>LEFT(base[[#This Row],[Evento / Mercado]],FIND("vs",base[[#This Row],[Evento / Mercado]])-2)</f>
        <v>Brazil</v>
      </c>
      <c r="R285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4" t="str">
        <f>LEFT(base[[#This Row],[Evento / Mercado]],FIND("/",base[[#This Row],[Evento / Mercado]])-2)</f>
        <v>Brazil vs Haiti</v>
      </c>
      <c r="T2853" s="1420">
        <f>base[[#This Row],[Data de liquidação]]</f>
        <v>46192.980381944442</v>
      </c>
    </row>
    <row r="2854" spans="2:22" ht="15" customHeight="1">
      <c r="B2854" s="714" t="s">
        <v>3530</v>
      </c>
      <c r="C2854" s="911" t="s">
        <v>3555</v>
      </c>
      <c r="D2854" s="1374">
        <v>46193.087199074071</v>
      </c>
      <c r="E2854" s="715">
        <v>-400</v>
      </c>
      <c r="F2854" s="654">
        <v>4.4999999999999998E-2</v>
      </c>
      <c r="G2854" s="711">
        <f t="shared" si="55"/>
        <v>-400</v>
      </c>
      <c r="H2854" s="711" t="s">
        <v>3334</v>
      </c>
      <c r="I2854" s="659" t="s">
        <v>627</v>
      </c>
      <c r="J2854" s="711">
        <v>13.5</v>
      </c>
      <c r="K2854" s="711">
        <v>400</v>
      </c>
      <c r="L2854" s="710">
        <f>INT(base[[#This Row],[Data de liquidação]])</f>
        <v>46193</v>
      </c>
      <c r="M2854" s="711">
        <f>base[[#This Row],[L/P Bruto]]-base[[#This Row],[L/P Líquido]]</f>
        <v>0</v>
      </c>
      <c r="N2854" s="711">
        <f>base[[#This Row],[L/P Líquido]]/base[[#This Row],[Stake/Responsabilidade]]</f>
        <v>-1</v>
      </c>
      <c r="O2854" s="712">
        <f>IF(base[[#This Row],[L/P Líquido]]&gt;0,1,0)</f>
        <v>0</v>
      </c>
      <c r="P2854" s="712"/>
      <c r="Q2854" s="712" t="str">
        <f>LEFT(base[[#This Row],[Evento / Mercado]],FIND("vs",base[[#This Row],[Evento / Mercado]])-2)</f>
        <v>Turkey</v>
      </c>
      <c r="R285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4" t="str">
        <f>LEFT(base[[#This Row],[Evento / Mercado]],FIND("/",base[[#This Row],[Evento / Mercado]])-2)</f>
        <v>Turkey vs Paraguay</v>
      </c>
      <c r="T2854" s="1420">
        <f>base[[#This Row],[Data de liquidação]]</f>
        <v>46193.087199074071</v>
      </c>
    </row>
    <row r="2855" spans="2:22" ht="15" customHeight="1">
      <c r="B2855" s="714" t="s">
        <v>3508</v>
      </c>
      <c r="C2855" s="911" t="s">
        <v>3556</v>
      </c>
      <c r="D2855" s="1374">
        <v>46193.518865740742</v>
      </c>
      <c r="E2855" s="715">
        <v>38.199999999999996</v>
      </c>
      <c r="F2855" s="654">
        <v>4.4999999999999998E-2</v>
      </c>
      <c r="G2855" s="711">
        <f t="shared" si="55"/>
        <v>40</v>
      </c>
      <c r="H2855" s="711" t="s">
        <v>3188</v>
      </c>
      <c r="I2855" s="709" t="s">
        <v>498</v>
      </c>
      <c r="J2855" s="711">
        <v>3.35</v>
      </c>
      <c r="K2855" s="711">
        <v>40</v>
      </c>
      <c r="L2855" s="710">
        <f>INT(base[[#This Row],[Data de liquidação]])</f>
        <v>46193</v>
      </c>
      <c r="M2855" s="711">
        <f>base[[#This Row],[L/P Bruto]]-base[[#This Row],[L/P Líquido]]</f>
        <v>1.8000000000000043</v>
      </c>
      <c r="N2855" s="711">
        <f>base[[#This Row],[L/P Líquido]]/base[[#This Row],[Stake/Responsabilidade]]</f>
        <v>0.95499999999999985</v>
      </c>
      <c r="O2855" s="712">
        <f>IF(base[[#This Row],[L/P Líquido]]&gt;0,1,0)</f>
        <v>1</v>
      </c>
      <c r="P2855" s="712"/>
      <c r="Q2855" s="712" t="str">
        <f>LEFT(base[[#This Row],[Evento / Mercado]],FIND("vs",base[[#This Row],[Evento / Mercado]])-2)</f>
        <v>Londrina</v>
      </c>
      <c r="R285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4" t="str">
        <f>LEFT(base[[#This Row],[Evento / Mercado]],FIND("/",base[[#This Row],[Evento / Mercado]])-2)</f>
        <v>Londrina vs Athletic Club MG</v>
      </c>
      <c r="T2855" s="142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714" t="s">
        <v>3508</v>
      </c>
      <c r="C2856" s="911" t="s">
        <v>3556</v>
      </c>
      <c r="D2856" s="1374">
        <v>46193.518865740742</v>
      </c>
      <c r="E2856" s="715">
        <v>7.8787499999999993</v>
      </c>
      <c r="F2856" s="654">
        <v>4.4999999999999998E-2</v>
      </c>
      <c r="G2856" s="711">
        <f t="shared" si="55"/>
        <v>8.25</v>
      </c>
      <c r="H2856" s="711" t="s">
        <v>1666</v>
      </c>
      <c r="I2856" s="709" t="s">
        <v>2301</v>
      </c>
      <c r="J2856" s="711">
        <v>1.55</v>
      </c>
      <c r="K2856" s="711">
        <v>15</v>
      </c>
      <c r="L2856" s="710">
        <f>INT(base[[#This Row],[Data de liquidação]])</f>
        <v>46193</v>
      </c>
      <c r="M2856" s="711">
        <f>base[[#This Row],[L/P Bruto]]-base[[#This Row],[L/P Líquido]]</f>
        <v>0.37125000000000075</v>
      </c>
      <c r="N2856" s="711">
        <f>base[[#This Row],[L/P Líquido]]/base[[#This Row],[Stake/Responsabilidade]]</f>
        <v>0.52524999999999999</v>
      </c>
      <c r="O2856" s="712">
        <f>IF(base[[#This Row],[L/P Líquido]]&gt;0,1,0)</f>
        <v>1</v>
      </c>
      <c r="P2856" s="712"/>
      <c r="Q2856" s="712" t="str">
        <f>LEFT(base[[#This Row],[Evento / Mercado]],FIND("vs",base[[#This Row],[Evento / Mercado]])-2)</f>
        <v>Londrina</v>
      </c>
      <c r="R285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4" t="str">
        <f>LEFT(base[[#This Row],[Evento / Mercado]],FIND("/",base[[#This Row],[Evento / Mercado]])-2)</f>
        <v>Londrina vs Athletic Club MG</v>
      </c>
      <c r="T2856" s="142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714" t="s">
        <v>3507</v>
      </c>
      <c r="C2857" s="911" t="s">
        <v>3556</v>
      </c>
      <c r="D2857" s="1374">
        <v>46193.538703703707</v>
      </c>
      <c r="E2857" s="715">
        <v>-118.08</v>
      </c>
      <c r="F2857" s="654">
        <v>4.4999999999999998E-2</v>
      </c>
      <c r="G2857" s="711">
        <f t="shared" si="55"/>
        <v>-118.08</v>
      </c>
      <c r="H2857" s="711" t="s">
        <v>3188</v>
      </c>
      <c r="I2857" s="709" t="s">
        <v>498</v>
      </c>
      <c r="J2857" s="711">
        <v>6.6</v>
      </c>
      <c r="K2857" s="711">
        <v>40</v>
      </c>
      <c r="L2857" s="710">
        <f>INT(base[[#This Row],[Data de liquidação]])</f>
        <v>46193</v>
      </c>
      <c r="M2857" s="711">
        <f>base[[#This Row],[L/P Bruto]]-base[[#This Row],[L/P Líquido]]</f>
        <v>0</v>
      </c>
      <c r="N2857" s="711">
        <f>base[[#This Row],[L/P Líquido]]/base[[#This Row],[Stake/Responsabilidade]]</f>
        <v>-2.952</v>
      </c>
      <c r="O2857" s="712">
        <f>IF(base[[#This Row],[L/P Líquido]]&gt;0,1,0)</f>
        <v>0</v>
      </c>
      <c r="P2857" s="712"/>
      <c r="Q2857" s="712" t="str">
        <f>LEFT(base[[#This Row],[Evento / Mercado]],FIND("vs",base[[#This Row],[Evento / Mercado]])-2)</f>
        <v>Tallinna FC Levadia</v>
      </c>
      <c r="R285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4" t="str">
        <f>LEFT(base[[#This Row],[Evento / Mercado]],FIND("/",base[[#This Row],[Evento / Mercado]])-2)</f>
        <v>Tallinna FC Levadia vs Nõmme Kalju FC</v>
      </c>
      <c r="T2857" s="1420">
        <f>base[[#This Row],[Data de liquidação]]</f>
        <v>46193.538703703707</v>
      </c>
      <c r="V2857" s="11"/>
    </row>
    <row r="2858" spans="2:22" ht="15" customHeight="1">
      <c r="B2858" s="714" t="s">
        <v>3506</v>
      </c>
      <c r="C2858" s="911" t="s">
        <v>3555</v>
      </c>
      <c r="D2858" s="1374">
        <v>46193.664351851854</v>
      </c>
      <c r="E2858" s="715">
        <v>16.899999999999999</v>
      </c>
      <c r="F2858" s="654">
        <v>4.4999999999999998E-2</v>
      </c>
      <c r="G2858" s="711">
        <f t="shared" si="55"/>
        <v>17.69633507853403</v>
      </c>
      <c r="H2858" s="711" t="s">
        <v>3334</v>
      </c>
      <c r="I2858" s="659" t="s">
        <v>627</v>
      </c>
      <c r="J2858" s="711">
        <v>24</v>
      </c>
      <c r="K2858" s="711">
        <v>399.97</v>
      </c>
      <c r="L2858" s="710">
        <f>INT(base[[#This Row],[Data de liquidação]])</f>
        <v>46193</v>
      </c>
      <c r="M2858" s="711">
        <f>base[[#This Row],[L/P Bruto]]-base[[#This Row],[L/P Líquido]]</f>
        <v>0.79633507853403174</v>
      </c>
      <c r="N2858" s="711">
        <f>base[[#This Row],[L/P Líquido]]/base[[#This Row],[Stake/Responsabilidade]]</f>
        <v>4.2253168987674068E-2</v>
      </c>
      <c r="O2858" s="712">
        <f>IF(base[[#This Row],[L/P Líquido]]&gt;0,1,0)</f>
        <v>1</v>
      </c>
      <c r="P2858" s="712"/>
      <c r="Q2858" s="712" t="str">
        <f>LEFT(base[[#This Row],[Evento / Mercado]],FIND("vs",base[[#This Row],[Evento / Mercado]])-2)</f>
        <v>Netherlands</v>
      </c>
      <c r="R285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4" t="str">
        <f>LEFT(base[[#This Row],[Evento / Mercado]],FIND("/",base[[#This Row],[Evento / Mercado]])-2)</f>
        <v>Netherlands vs Sweden</v>
      </c>
      <c r="T2858" s="1420">
        <f>base[[#This Row],[Data de liquidação]]</f>
        <v>46193.664351851854</v>
      </c>
      <c r="V2858" s="11"/>
    </row>
    <row r="2859" spans="2:22" ht="15" customHeight="1">
      <c r="B2859" s="714" t="s">
        <v>3506</v>
      </c>
      <c r="C2859" s="911" t="s">
        <v>3556</v>
      </c>
      <c r="D2859" s="1374">
        <v>46193.664363425924</v>
      </c>
      <c r="E2859" s="715">
        <v>39.97</v>
      </c>
      <c r="F2859" s="654">
        <v>4.4999999999999998E-2</v>
      </c>
      <c r="G2859" s="711">
        <f t="shared" si="55"/>
        <v>41.853403141361255</v>
      </c>
      <c r="H2859" s="711" t="s">
        <v>3209</v>
      </c>
      <c r="I2859" s="709" t="s">
        <v>3211</v>
      </c>
      <c r="J2859" s="711"/>
      <c r="K2859" s="711">
        <v>100</v>
      </c>
      <c r="L2859" s="710">
        <f>INT(base[[#This Row],[Data de liquidação]])</f>
        <v>46193</v>
      </c>
      <c r="M2859" s="711">
        <f>base[[#This Row],[L/P Bruto]]-base[[#This Row],[L/P Líquido]]</f>
        <v>1.8834031413612564</v>
      </c>
      <c r="N2859" s="711">
        <f>base[[#This Row],[L/P Líquido]]/base[[#This Row],[Stake/Responsabilidade]]</f>
        <v>0.3997</v>
      </c>
      <c r="O2859" s="712">
        <f>IF(base[[#This Row],[L/P Líquido]]&gt;0,1,0)</f>
        <v>1</v>
      </c>
      <c r="P2859" s="712"/>
      <c r="Q2859" s="712" t="str">
        <f>LEFT(base[[#This Row],[Evento / Mercado]],FIND("vs",base[[#This Row],[Evento / Mercado]])-2)</f>
        <v>Netherlands</v>
      </c>
      <c r="R285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4" t="str">
        <f>LEFT(base[[#This Row],[Evento / Mercado]],FIND("/",base[[#This Row],[Evento / Mercado]])-2)</f>
        <v>Netherlands vs Sweden</v>
      </c>
      <c r="T2859" s="1420">
        <f>base[[#This Row],[Data de liquidação]]</f>
        <v>46193.664363425924</v>
      </c>
    </row>
    <row r="2860" spans="2:22" ht="15" customHeight="1">
      <c r="B2860" s="714" t="s">
        <v>3505</v>
      </c>
      <c r="C2860" s="911" t="s">
        <v>3556</v>
      </c>
      <c r="D2860" s="1374">
        <v>46193.664583333331</v>
      </c>
      <c r="E2860" s="715">
        <v>9.8699999999999992</v>
      </c>
      <c r="F2860" s="654">
        <v>4.4999999999999998E-2</v>
      </c>
      <c r="G2860" s="711">
        <f t="shared" si="55"/>
        <v>10.335078534031414</v>
      </c>
      <c r="H2860" s="711" t="s">
        <v>3330</v>
      </c>
      <c r="I2860" s="1248" t="s">
        <v>4368</v>
      </c>
      <c r="J2860" s="711">
        <v>5.3</v>
      </c>
      <c r="K2860" s="711">
        <v>74.989999999999995</v>
      </c>
      <c r="L2860" s="710">
        <f>INT(base[[#This Row],[Data de liquidação]])</f>
        <v>46193</v>
      </c>
      <c r="M2860" s="711">
        <f>base[[#This Row],[L/P Bruto]]-base[[#This Row],[L/P Líquido]]</f>
        <v>0.46507853403141475</v>
      </c>
      <c r="N2860" s="711">
        <f>base[[#This Row],[L/P Líquido]]/base[[#This Row],[Stake/Responsabilidade]]</f>
        <v>0.13161754900653419</v>
      </c>
      <c r="O2860" s="712">
        <f>IF(base[[#This Row],[L/P Líquido]]&gt;0,1,0)</f>
        <v>1</v>
      </c>
      <c r="P2860" s="712"/>
      <c r="Q2860" s="712" t="str">
        <f>LEFT(base[[#This Row],[Evento / Mercado]],FIND("vs",base[[#This Row],[Evento / Mercado]])-2)</f>
        <v>Netherlands</v>
      </c>
      <c r="R286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4" t="str">
        <f>LEFT(base[[#This Row],[Evento / Mercado]],FIND("/",base[[#This Row],[Evento / Mercado]])-2)</f>
        <v>Netherlands vs Sweden</v>
      </c>
      <c r="T2860" s="1420">
        <f>base[[#This Row],[Data de liquidação]]</f>
        <v>46193.664583333331</v>
      </c>
    </row>
    <row r="2861" spans="2:22" ht="15" customHeight="1">
      <c r="B2861" s="714" t="s">
        <v>3504</v>
      </c>
      <c r="C2861" s="911" t="s">
        <v>3556</v>
      </c>
      <c r="D2861" s="1374">
        <v>46193.747604166667</v>
      </c>
      <c r="E2861" s="715">
        <v>38.200000000000003</v>
      </c>
      <c r="F2861" s="654">
        <v>4.4999999999999998E-2</v>
      </c>
      <c r="G2861" s="711">
        <f t="shared" si="55"/>
        <v>40.000000000000007</v>
      </c>
      <c r="H2861" s="711" t="s">
        <v>3188</v>
      </c>
      <c r="I2861" s="709" t="s">
        <v>498</v>
      </c>
      <c r="J2861" s="711">
        <v>3.94</v>
      </c>
      <c r="K2861" s="711">
        <v>40</v>
      </c>
      <c r="L2861" s="710">
        <f>INT(base[[#This Row],[Data de liquidação]])</f>
        <v>46193</v>
      </c>
      <c r="M2861" s="711">
        <f>base[[#This Row],[L/P Bruto]]-base[[#This Row],[L/P Líquido]]</f>
        <v>1.8000000000000043</v>
      </c>
      <c r="N2861" s="711">
        <f>base[[#This Row],[L/P Líquido]]/base[[#This Row],[Stake/Responsabilidade]]</f>
        <v>0.95500000000000007</v>
      </c>
      <c r="O2861" s="712">
        <f>IF(base[[#This Row],[L/P Líquido]]&gt;0,1,0)</f>
        <v>1</v>
      </c>
      <c r="P2861" s="712"/>
      <c r="Q2861" s="712" t="str">
        <f>LEFT(base[[#This Row],[Evento / Mercado]],FIND("vs",base[[#This Row],[Evento / Mercado]])-2)</f>
        <v>UD Almería</v>
      </c>
      <c r="R286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4" t="str">
        <f>LEFT(base[[#This Row],[Evento / Mercado]],FIND("/",base[[#This Row],[Evento / Mercado]])-2)</f>
        <v>UD Almería vs Málaga</v>
      </c>
      <c r="T2861" s="1420">
        <f>base[[#This Row],[Data de liquidação]]</f>
        <v>46193.747604166667</v>
      </c>
    </row>
    <row r="2862" spans="2:22" ht="15" customHeight="1">
      <c r="B2862" s="714" t="s">
        <v>3503</v>
      </c>
      <c r="C2862" s="911" t="s">
        <v>3556</v>
      </c>
      <c r="D2862" s="1374">
        <v>46193.771863425929</v>
      </c>
      <c r="E2862" s="715">
        <v>38.200000000000003</v>
      </c>
      <c r="F2862" s="654">
        <v>4.4999999999999998E-2</v>
      </c>
      <c r="G2862" s="711">
        <f t="shared" si="55"/>
        <v>40.000000000000007</v>
      </c>
      <c r="H2862" s="711" t="s">
        <v>3188</v>
      </c>
      <c r="I2862" s="709" t="s">
        <v>1572</v>
      </c>
      <c r="J2862" s="711">
        <v>3.7</v>
      </c>
      <c r="K2862" s="711">
        <v>40</v>
      </c>
      <c r="L2862" s="710">
        <f>INT(base[[#This Row],[Data de liquidação]])</f>
        <v>46193</v>
      </c>
      <c r="M2862" s="711">
        <f>base[[#This Row],[L/P Bruto]]-base[[#This Row],[L/P Líquido]]</f>
        <v>1.8000000000000043</v>
      </c>
      <c r="N2862" s="711">
        <f>base[[#This Row],[L/P Líquido]]/base[[#This Row],[Stake/Responsabilidade]]</f>
        <v>0.95500000000000007</v>
      </c>
      <c r="O2862" s="712">
        <f>IF(base[[#This Row],[L/P Líquido]]&gt;0,1,0)</f>
        <v>1</v>
      </c>
      <c r="P2862" s="712"/>
      <c r="Q2862" s="712" t="str">
        <f>LEFT(base[[#This Row],[Evento / Mercado]],FIND("vs",base[[#This Row],[Evento / Mercado]])-2)</f>
        <v>Germany</v>
      </c>
      <c r="R286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4" t="str">
        <f>LEFT(base[[#This Row],[Evento / Mercado]],FIND("/",base[[#This Row],[Evento / Mercado]])-2)</f>
        <v>Germany vs Ivory Coast</v>
      </c>
      <c r="T2862" s="1420">
        <f>base[[#This Row],[Data de liquidação]]</f>
        <v>46193.771863425929</v>
      </c>
    </row>
    <row r="2863" spans="2:22" ht="15" customHeight="1">
      <c r="B2863" s="714" t="s">
        <v>3502</v>
      </c>
      <c r="C2863" s="911" t="s">
        <v>3556</v>
      </c>
      <c r="D2863" s="1374">
        <v>46193.790381944447</v>
      </c>
      <c r="E2863" s="715">
        <v>86.37</v>
      </c>
      <c r="F2863" s="654">
        <v>4.4999999999999998E-2</v>
      </c>
      <c r="G2863" s="711">
        <f t="shared" si="55"/>
        <v>90.439790575916234</v>
      </c>
      <c r="H2863" s="711" t="s">
        <v>3333</v>
      </c>
      <c r="I2863" s="709" t="s">
        <v>13</v>
      </c>
      <c r="J2863" s="711">
        <f>(1.76*25+2.26*25+3*50)/base[[#This Row],[Stake/Responsabilidade]]</f>
        <v>2.5049999999999999</v>
      </c>
      <c r="K2863" s="711">
        <v>100</v>
      </c>
      <c r="L2863" s="710">
        <f>INT(base[[#This Row],[Data de liquidação]])</f>
        <v>46193</v>
      </c>
      <c r="M2863" s="711">
        <f>base[[#This Row],[L/P Bruto]]-base[[#This Row],[L/P Líquido]]</f>
        <v>4.0697905759162296</v>
      </c>
      <c r="N2863" s="711">
        <f>base[[#This Row],[L/P Líquido]]/base[[#This Row],[Stake/Responsabilidade]]</f>
        <v>0.86370000000000002</v>
      </c>
      <c r="O2863" s="712">
        <f>IF(base[[#This Row],[L/P Líquido]]&gt;0,1,0)</f>
        <v>1</v>
      </c>
      <c r="P2863" s="712"/>
      <c r="Q2863" s="712" t="str">
        <f>LEFT(base[[#This Row],[Evento / Mercado]],FIND("vs",base[[#This Row],[Evento / Mercado]])-2)</f>
        <v>Germany</v>
      </c>
      <c r="R286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4" t="str">
        <f>LEFT(base[[#This Row],[Evento / Mercado]],FIND("/",base[[#This Row],[Evento / Mercado]])-2)</f>
        <v>Germany vs Ivory Coast</v>
      </c>
      <c r="T2863" s="1420">
        <f>base[[#This Row],[Data de liquidação]]</f>
        <v>46193.790381944447</v>
      </c>
    </row>
    <row r="2864" spans="2:22" ht="15" customHeight="1">
      <c r="B2864" s="714" t="s">
        <v>3529</v>
      </c>
      <c r="C2864" s="911" t="s">
        <v>3555</v>
      </c>
      <c r="D2864" s="1374">
        <v>46193.791666666664</v>
      </c>
      <c r="E2864" s="715">
        <v>13.07</v>
      </c>
      <c r="F2864" s="654">
        <v>4.4999999999999998E-2</v>
      </c>
      <c r="G2864" s="711">
        <f t="shared" si="55"/>
        <v>13.68586387434555</v>
      </c>
      <c r="H2864" s="711" t="s">
        <v>3334</v>
      </c>
      <c r="I2864" s="659" t="s">
        <v>627</v>
      </c>
      <c r="J2864" s="711">
        <v>32</v>
      </c>
      <c r="K2864" s="711">
        <v>416.95</v>
      </c>
      <c r="L2864" s="710">
        <f>INT(base[[#This Row],[Data de liquidação]])</f>
        <v>46193</v>
      </c>
      <c r="M2864" s="711">
        <f>base[[#This Row],[L/P Bruto]]-base[[#This Row],[L/P Líquido]]</f>
        <v>0.61586387434554979</v>
      </c>
      <c r="N2864" s="711">
        <f>base[[#This Row],[L/P Líquido]]/base[[#This Row],[Stake/Responsabilidade]]</f>
        <v>3.1346684254706804E-2</v>
      </c>
      <c r="O2864" s="712">
        <f>IF(base[[#This Row],[L/P Líquido]]&gt;0,1,0)</f>
        <v>1</v>
      </c>
      <c r="P2864" s="712"/>
      <c r="Q2864" s="712" t="str">
        <f>LEFT(base[[#This Row],[Evento / Mercado]],FIND("vs",base[[#This Row],[Evento / Mercado]])-2)</f>
        <v>Germany</v>
      </c>
      <c r="R286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4" t="str">
        <f>LEFT(base[[#This Row],[Evento / Mercado]],FIND("/",base[[#This Row],[Evento / Mercado]])-2)</f>
        <v>Germany vs Ivory Coast</v>
      </c>
      <c r="T2864" s="1420">
        <f>base[[#This Row],[Data de liquidação]]</f>
        <v>46193.791666666664</v>
      </c>
    </row>
    <row r="2865" spans="2:22" ht="15" customHeight="1">
      <c r="B2865" s="714" t="s">
        <v>3501</v>
      </c>
      <c r="C2865" s="911" t="s">
        <v>3556</v>
      </c>
      <c r="D2865" s="1374">
        <v>46193.792094907411</v>
      </c>
      <c r="E2865" s="715">
        <v>-37.840000000000003</v>
      </c>
      <c r="F2865" s="654">
        <v>4.4999999999999998E-2</v>
      </c>
      <c r="G2865" s="711">
        <f t="shared" si="55"/>
        <v>-37.840000000000003</v>
      </c>
      <c r="H2865" s="711" t="s">
        <v>3410</v>
      </c>
      <c r="I2865" s="709"/>
      <c r="J2865" s="711">
        <v>7.8</v>
      </c>
      <c r="K2865" s="711">
        <v>145.72</v>
      </c>
      <c r="L2865" s="710">
        <f>INT(base[[#This Row],[Data de liquidação]])</f>
        <v>46193</v>
      </c>
      <c r="M2865" s="711">
        <f>base[[#This Row],[L/P Bruto]]-base[[#This Row],[L/P Líquido]]</f>
        <v>0</v>
      </c>
      <c r="N2865" s="711">
        <f>base[[#This Row],[L/P Líquido]]/base[[#This Row],[Stake/Responsabilidade]]</f>
        <v>-0.25967609113368106</v>
      </c>
      <c r="O2865" s="712">
        <f>IF(base[[#This Row],[L/P Líquido]]&gt;0,1,0)</f>
        <v>0</v>
      </c>
      <c r="P2865" s="712"/>
      <c r="Q2865" s="712" t="str">
        <f>LEFT(base[[#This Row],[Evento / Mercado]],FIND("vs",base[[#This Row],[Evento / Mercado]])-2)</f>
        <v>Germany</v>
      </c>
      <c r="R286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4" t="str">
        <f>LEFT(base[[#This Row],[Evento / Mercado]],FIND("/",base[[#This Row],[Evento / Mercado]])-2)</f>
        <v>Germany vs Ivory Coast</v>
      </c>
      <c r="T2865" s="1420">
        <f>base[[#This Row],[Data de liquidação]]</f>
        <v>46193.792094907411</v>
      </c>
    </row>
    <row r="2866" spans="2:22" ht="15" customHeight="1">
      <c r="B2866" s="714" t="s">
        <v>3500</v>
      </c>
      <c r="C2866" s="911" t="s">
        <v>3556</v>
      </c>
      <c r="D2866" s="1374">
        <v>46193.874502314815</v>
      </c>
      <c r="E2866" s="715">
        <v>0.11</v>
      </c>
      <c r="F2866" s="654">
        <v>4.4999999999999998E-2</v>
      </c>
      <c r="G2866" s="711">
        <f t="shared" si="55"/>
        <v>0.11518324607329844</v>
      </c>
      <c r="H2866" s="711" t="s">
        <v>3330</v>
      </c>
      <c r="I2866" s="1248" t="s">
        <v>4368</v>
      </c>
      <c r="J2866" s="711">
        <v>5.2</v>
      </c>
      <c r="K2866" s="711">
        <v>75.010000000000005</v>
      </c>
      <c r="L2866" s="710">
        <f>INT(base[[#This Row],[Data de liquidação]])</f>
        <v>46193</v>
      </c>
      <c r="M2866" s="711">
        <f>base[[#This Row],[L/P Bruto]]-base[[#This Row],[L/P Líquido]]</f>
        <v>5.1832460732984392E-3</v>
      </c>
      <c r="N2866" s="711">
        <f>base[[#This Row],[L/P Líquido]]/base[[#This Row],[Stake/Responsabilidade]]</f>
        <v>1.4664711371817089E-3</v>
      </c>
      <c r="O2866" s="712">
        <f>IF(base[[#This Row],[L/P Líquido]]&gt;0,1,0)</f>
        <v>1</v>
      </c>
      <c r="P2866" s="712"/>
      <c r="Q2866" s="712" t="str">
        <f>LEFT(base[[#This Row],[Evento / Mercado]],FIND("vs",base[[#This Row],[Evento / Mercado]])-2)</f>
        <v>Ceará SC</v>
      </c>
      <c r="R286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4" t="str">
        <f>LEFT(base[[#This Row],[Evento / Mercado]],FIND("/",base[[#This Row],[Evento / Mercado]])-2)</f>
        <v>Ceará SC vs Botafogo SP</v>
      </c>
      <c r="T2866" s="1420">
        <f>base[[#This Row],[Data de liquidação]]</f>
        <v>46193.874502314815</v>
      </c>
    </row>
    <row r="2867" spans="2:22" ht="15" customHeight="1">
      <c r="B2867" s="714" t="s">
        <v>3499</v>
      </c>
      <c r="C2867" s="911" t="s">
        <v>3556</v>
      </c>
      <c r="D2867" s="1374">
        <v>46193.874537037038</v>
      </c>
      <c r="E2867" s="715">
        <v>19.099999999999998</v>
      </c>
      <c r="F2867" s="654">
        <v>4.4999999999999998E-2</v>
      </c>
      <c r="G2867" s="711">
        <f t="shared" si="55"/>
        <v>20</v>
      </c>
      <c r="H2867" s="711" t="s">
        <v>150</v>
      </c>
      <c r="I2867" s="709" t="s">
        <v>75</v>
      </c>
      <c r="J2867" s="711">
        <v>11</v>
      </c>
      <c r="K2867" s="711">
        <v>200</v>
      </c>
      <c r="L2867" s="710">
        <f>INT(base[[#This Row],[Data de liquidação]])</f>
        <v>46193</v>
      </c>
      <c r="M2867" s="711">
        <f>base[[#This Row],[L/P Bruto]]-base[[#This Row],[L/P Líquido]]</f>
        <v>0.90000000000000213</v>
      </c>
      <c r="N2867" s="711">
        <f>base[[#This Row],[L/P Líquido]]/base[[#This Row],[Stake/Responsabilidade]]</f>
        <v>9.5499999999999988E-2</v>
      </c>
      <c r="O2867" s="712">
        <f>IF(base[[#This Row],[L/P Líquido]]&gt;0,1,0)</f>
        <v>1</v>
      </c>
      <c r="P2867" s="712"/>
      <c r="Q2867" s="712" t="str">
        <f>LEFT(base[[#This Row],[Evento / Mercado]],FIND("vs",base[[#This Row],[Evento / Mercado]])-2)</f>
        <v>Vila Nova FC</v>
      </c>
      <c r="R286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4" t="str">
        <f>LEFT(base[[#This Row],[Evento / Mercado]],FIND("/",base[[#This Row],[Evento / Mercado]])-2)</f>
        <v>Vila Nova FC vs Clube Náutico Capibaribe</v>
      </c>
      <c r="T2867" s="1420">
        <f>base[[#This Row],[Data de liquidação]]</f>
        <v>46193.874537037038</v>
      </c>
      <c r="V2867" s="11"/>
    </row>
    <row r="2868" spans="2:22" ht="15" customHeight="1">
      <c r="B2868" s="714" t="s">
        <v>3499</v>
      </c>
      <c r="C2868" s="911" t="s">
        <v>3555</v>
      </c>
      <c r="D2868" s="1374">
        <v>46193.874537037038</v>
      </c>
      <c r="E2868" s="715">
        <v>-100.53</v>
      </c>
      <c r="F2868" s="654">
        <v>4.4999999999999998E-2</v>
      </c>
      <c r="G2868" s="711">
        <f t="shared" si="55"/>
        <v>-100.53</v>
      </c>
      <c r="H2868" s="711" t="s">
        <v>3209</v>
      </c>
      <c r="I2868" s="709" t="s">
        <v>3211</v>
      </c>
      <c r="J2868" s="711"/>
      <c r="K2868" s="711">
        <v>100.53</v>
      </c>
      <c r="L2868" s="710">
        <f>INT(base[[#This Row],[Data de liquidação]])</f>
        <v>46193</v>
      </c>
      <c r="M2868" s="711">
        <f>base[[#This Row],[L/P Bruto]]-base[[#This Row],[L/P Líquido]]</f>
        <v>0</v>
      </c>
      <c r="N2868" s="711">
        <f>base[[#This Row],[L/P Líquido]]/base[[#This Row],[Stake/Responsabilidade]]</f>
        <v>-1</v>
      </c>
      <c r="O2868" s="712">
        <f>IF(base[[#This Row],[L/P Líquido]]&gt;0,1,0)</f>
        <v>0</v>
      </c>
      <c r="P2868" s="712"/>
      <c r="Q2868" s="712" t="str">
        <f>LEFT(base[[#This Row],[Evento / Mercado]],FIND("vs",base[[#This Row],[Evento / Mercado]])-2)</f>
        <v>Vila Nova FC</v>
      </c>
      <c r="R286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4" t="str">
        <f>LEFT(base[[#This Row],[Evento / Mercado]],FIND("/",base[[#This Row],[Evento / Mercado]])-2)</f>
        <v>Vila Nova FC vs Clube Náutico Capibaribe</v>
      </c>
      <c r="T2868" s="1420">
        <f>base[[#This Row],[Data de liquidação]]</f>
        <v>46193.874537037038</v>
      </c>
      <c r="V2868" s="11"/>
    </row>
    <row r="2869" spans="2:22" ht="15" customHeight="1">
      <c r="B2869" s="714" t="s">
        <v>3498</v>
      </c>
      <c r="C2869" s="911" t="s">
        <v>3556</v>
      </c>
      <c r="D2869" s="1374">
        <v>46193.8750462963</v>
      </c>
      <c r="E2869" s="715">
        <v>14.38</v>
      </c>
      <c r="F2869" s="654">
        <v>4.4999999999999998E-2</v>
      </c>
      <c r="G2869" s="711">
        <f t="shared" si="55"/>
        <v>15.05759162303665</v>
      </c>
      <c r="H2869" s="711" t="s">
        <v>3330</v>
      </c>
      <c r="I2869" s="1248" t="s">
        <v>4368</v>
      </c>
      <c r="J2869" s="711">
        <v>3.65</v>
      </c>
      <c r="K2869" s="711">
        <v>75</v>
      </c>
      <c r="L2869" s="710">
        <f>INT(base[[#This Row],[Data de liquidação]])</f>
        <v>46193</v>
      </c>
      <c r="M2869" s="711">
        <f>base[[#This Row],[L/P Bruto]]-base[[#This Row],[L/P Líquido]]</f>
        <v>0.67759162303664944</v>
      </c>
      <c r="N2869" s="711">
        <f>base[[#This Row],[L/P Líquido]]/base[[#This Row],[Stake/Responsabilidade]]</f>
        <v>0.19173333333333334</v>
      </c>
      <c r="O2869" s="712">
        <f>IF(base[[#This Row],[L/P Líquido]]&gt;0,1,0)</f>
        <v>1</v>
      </c>
      <c r="P2869" s="712"/>
      <c r="Q2869" s="712" t="str">
        <f>LEFT(base[[#This Row],[Evento / Mercado]],FIND("vs",base[[#This Row],[Evento / Mercado]])-2)</f>
        <v>Vila Nova FC</v>
      </c>
      <c r="R286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4" t="str">
        <f>LEFT(base[[#This Row],[Evento / Mercado]],FIND("/",base[[#This Row],[Evento / Mercado]])-2)</f>
        <v>Vila Nova FC vs Clube Náutico Capibaribe</v>
      </c>
      <c r="T2869" s="1420">
        <f>base[[#This Row],[Data de liquidação]]</f>
        <v>46193.8750462963</v>
      </c>
    </row>
    <row r="2870" spans="2:22" ht="15" customHeight="1">
      <c r="B2870" s="714" t="s">
        <v>3497</v>
      </c>
      <c r="C2870" s="911" t="s">
        <v>3556</v>
      </c>
      <c r="D2870" s="1374">
        <v>46193.932951388888</v>
      </c>
      <c r="E2870" s="715">
        <v>5.68</v>
      </c>
      <c r="F2870" s="654">
        <v>4.4999999999999998E-2</v>
      </c>
      <c r="G2870" s="711">
        <f t="shared" si="55"/>
        <v>5.9476439790575917</v>
      </c>
      <c r="H2870" s="711" t="s">
        <v>1666</v>
      </c>
      <c r="I2870" s="709" t="s">
        <v>2951</v>
      </c>
      <c r="J2870" s="711">
        <v>9.4</v>
      </c>
      <c r="K2870" s="711">
        <v>49.98</v>
      </c>
      <c r="L2870" s="710">
        <f>INT(base[[#This Row],[Data de liquidação]])</f>
        <v>46193</v>
      </c>
      <c r="M2870" s="711">
        <f>base[[#This Row],[L/P Bruto]]-base[[#This Row],[L/P Líquido]]</f>
        <v>0.26764397905759196</v>
      </c>
      <c r="N2870" s="711">
        <f>base[[#This Row],[L/P Líquido]]/base[[#This Row],[Stake/Responsabilidade]]</f>
        <v>0.1136454581832733</v>
      </c>
      <c r="O2870" s="712">
        <f>IF(base[[#This Row],[L/P Líquido]]&gt;0,1,0)</f>
        <v>1</v>
      </c>
      <c r="P2870" s="712"/>
      <c r="Q2870" s="712" t="str">
        <f>LEFT(base[[#This Row],[Evento / Mercado]],FIND("vs",base[[#This Row],[Evento / Mercado]])-2)</f>
        <v>Ituano FC</v>
      </c>
      <c r="R287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4" t="str">
        <f>LEFT(base[[#This Row],[Evento / Mercado]],FIND("/",base[[#This Row],[Evento / Mercado]])-2)</f>
        <v>Ituano FC vs Figueirense FC</v>
      </c>
      <c r="T2870" s="1420">
        <f>base[[#This Row],[Data de liquidação]]</f>
        <v>46193.932951388888</v>
      </c>
    </row>
    <row r="2871" spans="2:22" ht="15" customHeight="1">
      <c r="B2871" s="714" t="s">
        <v>3496</v>
      </c>
      <c r="C2871" s="911" t="s">
        <v>3556</v>
      </c>
      <c r="D2871" s="1374">
        <v>46193.955625000002</v>
      </c>
      <c r="E2871" s="715">
        <v>21.22</v>
      </c>
      <c r="F2871" s="654">
        <v>4.4999999999999998E-2</v>
      </c>
      <c r="G2871" s="711">
        <f t="shared" si="55"/>
        <v>22.219895287958114</v>
      </c>
      <c r="H2871" s="711" t="s">
        <v>179</v>
      </c>
      <c r="I2871" s="939" t="s">
        <v>3393</v>
      </c>
      <c r="J2871" s="711">
        <v>19</v>
      </c>
      <c r="K2871" s="711">
        <v>399.96</v>
      </c>
      <c r="L2871" s="710">
        <f>INT(base[[#This Row],[Data de liquidação]])</f>
        <v>46193</v>
      </c>
      <c r="M2871" s="711">
        <f>base[[#This Row],[L/P Bruto]]-base[[#This Row],[L/P Líquido]]</f>
        <v>0.99989528795811466</v>
      </c>
      <c r="N2871" s="711">
        <f>base[[#This Row],[L/P Líquido]]/base[[#This Row],[Stake/Responsabilidade]]</f>
        <v>5.3055305530553057E-2</v>
      </c>
      <c r="O2871" s="712">
        <f>IF(base[[#This Row],[L/P Líquido]]&gt;0,1,0)</f>
        <v>1</v>
      </c>
      <c r="P2871" s="712" t="s">
        <v>3331</v>
      </c>
      <c r="Q2871" s="712" t="str">
        <f>LEFT(base[[#This Row],[Evento / Mercado]],FIND("vs",base[[#This Row],[Evento / Mercado]])-2)</f>
        <v>Ecuador</v>
      </c>
      <c r="R287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4" t="str">
        <f>LEFT(base[[#This Row],[Evento / Mercado]],FIND("/",base[[#This Row],[Evento / Mercado]])-2)</f>
        <v>Ecuador vs Curaçao</v>
      </c>
      <c r="T2871" s="1420">
        <f>base[[#This Row],[Data de liquidação]]</f>
        <v>46193.955625000002</v>
      </c>
    </row>
    <row r="2872" spans="2:22" ht="15" customHeight="1">
      <c r="B2872" s="714" t="s">
        <v>3495</v>
      </c>
      <c r="C2872" s="911" t="s">
        <v>3556</v>
      </c>
      <c r="D2872" s="1374">
        <v>46193.956319444442</v>
      </c>
      <c r="E2872" s="715">
        <v>-120</v>
      </c>
      <c r="F2872" s="654">
        <v>4.4999999999999998E-2</v>
      </c>
      <c r="G2872" s="711">
        <f t="shared" si="55"/>
        <v>-120</v>
      </c>
      <c r="H2872" s="711" t="s">
        <v>3188</v>
      </c>
      <c r="I2872" s="709" t="s">
        <v>498</v>
      </c>
      <c r="J2872" s="711">
        <v>4</v>
      </c>
      <c r="K2872" s="711">
        <v>40</v>
      </c>
      <c r="L2872" s="710">
        <f>INT(base[[#This Row],[Data de liquidação]])</f>
        <v>46193</v>
      </c>
      <c r="M2872" s="711">
        <f>base[[#This Row],[L/P Bruto]]-base[[#This Row],[L/P Líquido]]</f>
        <v>0</v>
      </c>
      <c r="N2872" s="711">
        <f>base[[#This Row],[L/P Líquido]]/base[[#This Row],[Stake/Responsabilidade]]</f>
        <v>-3</v>
      </c>
      <c r="O2872" s="712">
        <f>IF(base[[#This Row],[L/P Líquido]]&gt;0,1,0)</f>
        <v>0</v>
      </c>
      <c r="P2872" s="712"/>
      <c r="Q2872" s="712" t="str">
        <f>LEFT(base[[#This Row],[Evento / Mercado]],FIND("vs",base[[#This Row],[Evento / Mercado]])-2)</f>
        <v>Ecuador</v>
      </c>
      <c r="R287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4" t="str">
        <f>LEFT(base[[#This Row],[Evento / Mercado]],FIND("/",base[[#This Row],[Evento / Mercado]])-2)</f>
        <v>Ecuador vs Curaçao</v>
      </c>
      <c r="T2872" s="1420">
        <f>base[[#This Row],[Data de liquidação]]</f>
        <v>46193.956319444442</v>
      </c>
    </row>
    <row r="2873" spans="2:22" ht="15" customHeight="1">
      <c r="B2873" s="714" t="s">
        <v>3494</v>
      </c>
      <c r="C2873" s="911" t="s">
        <v>3556</v>
      </c>
      <c r="D2873" s="1374">
        <v>46194.434976851851</v>
      </c>
      <c r="E2873" s="715">
        <v>-72.8</v>
      </c>
      <c r="F2873" s="654">
        <v>4.4999999999999998E-2</v>
      </c>
      <c r="G2873" s="711">
        <f t="shared" si="55"/>
        <v>-72.8</v>
      </c>
      <c r="H2873" s="711" t="s">
        <v>3271</v>
      </c>
      <c r="I2873" s="659" t="s">
        <v>627</v>
      </c>
      <c r="J2873" s="711">
        <f>(15.5*773.29+15*27.02)/base[[#This Row],[Stake/Responsabilidade]]</f>
        <v>15.483119041371467</v>
      </c>
      <c r="K2873" s="711">
        <f>773.29+27.02</f>
        <v>800.31</v>
      </c>
      <c r="L2873" s="710">
        <f>INT(base[[#This Row],[Data de liquidação]])</f>
        <v>46194</v>
      </c>
      <c r="M2873" s="711">
        <f>base[[#This Row],[L/P Bruto]]-base[[#This Row],[L/P Líquido]]</f>
        <v>0</v>
      </c>
      <c r="N2873" s="711">
        <f>base[[#This Row],[L/P Líquido]]/base[[#This Row],[Stake/Responsabilidade]]</f>
        <v>-9.0964751158925924E-2</v>
      </c>
      <c r="O2873" s="712">
        <f>IF(base[[#This Row],[L/P Líquido]]&gt;0,1,0)</f>
        <v>0</v>
      </c>
      <c r="P2873" s="712"/>
      <c r="Q2873" s="712" t="str">
        <f>LEFT(base[[#This Row],[Evento / Mercado]],FIND("vs",base[[#This Row],[Evento / Mercado]])-2)</f>
        <v>Tartu JK Tammeka</v>
      </c>
      <c r="R287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4" t="str">
        <f>LEFT(base[[#This Row],[Evento / Mercado]],FIND("/",base[[#This Row],[Evento / Mercado]])-2)</f>
        <v>Tartu JK Tammeka vs Narva Trans</v>
      </c>
      <c r="T2873" s="1420">
        <f>base[[#This Row],[Data de liquidação]]</f>
        <v>46194.434976851851</v>
      </c>
    </row>
    <row r="2874" spans="2:22" ht="15" customHeight="1">
      <c r="B2874" s="714" t="s">
        <v>3494</v>
      </c>
      <c r="C2874" s="911" t="s">
        <v>3555</v>
      </c>
      <c r="D2874" s="1374">
        <v>46194.434976851851</v>
      </c>
      <c r="E2874" s="715">
        <v>2.1</v>
      </c>
      <c r="F2874" s="654">
        <v>4.4999999999999998E-2</v>
      </c>
      <c r="G2874" s="711">
        <f t="shared" si="55"/>
        <v>2.1989528795811522</v>
      </c>
      <c r="H2874" s="711" t="s">
        <v>3271</v>
      </c>
      <c r="I2874" s="659" t="s">
        <v>627</v>
      </c>
      <c r="J2874" s="711">
        <v>7.6</v>
      </c>
      <c r="K2874" s="711">
        <v>400.03</v>
      </c>
      <c r="L2874" s="710">
        <f>INT(base[[#This Row],[Data de liquidação]])</f>
        <v>46194</v>
      </c>
      <c r="M2874" s="711">
        <f>base[[#This Row],[L/P Bruto]]-base[[#This Row],[L/P Líquido]]</f>
        <v>9.8952879581152065E-2</v>
      </c>
      <c r="N2874" s="711">
        <f>base[[#This Row],[L/P Líquido]]/base[[#This Row],[Stake/Responsabilidade]]</f>
        <v>5.2496062795290357E-3</v>
      </c>
      <c r="O2874" s="712">
        <f>IF(base[[#This Row],[L/P Líquido]]&gt;0,1,0)</f>
        <v>1</v>
      </c>
      <c r="P2874" s="712"/>
      <c r="Q2874" s="712" t="str">
        <f>LEFT(base[[#This Row],[Evento / Mercado]],FIND("vs",base[[#This Row],[Evento / Mercado]])-2)</f>
        <v>Tartu JK Tammeka</v>
      </c>
      <c r="R287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4" t="str">
        <f>LEFT(base[[#This Row],[Evento / Mercado]],FIND("/",base[[#This Row],[Evento / Mercado]])-2)</f>
        <v>Tartu JK Tammeka vs Narva Trans</v>
      </c>
      <c r="T2874" s="1420">
        <f>base[[#This Row],[Data de liquidação]]</f>
        <v>46194.434976851851</v>
      </c>
    </row>
    <row r="2875" spans="2:22" ht="15" customHeight="1">
      <c r="B2875" s="714" t="s">
        <v>3493</v>
      </c>
      <c r="C2875" s="911" t="s">
        <v>3556</v>
      </c>
      <c r="D2875" s="1374">
        <v>46194.524907407409</v>
      </c>
      <c r="E2875" s="715">
        <v>38.200000000000003</v>
      </c>
      <c r="F2875" s="654">
        <v>4.4999999999999998E-2</v>
      </c>
      <c r="G2875" s="711">
        <f t="shared" si="55"/>
        <v>40.000000000000007</v>
      </c>
      <c r="H2875" s="711" t="s">
        <v>3188</v>
      </c>
      <c r="I2875" s="709" t="s">
        <v>1572</v>
      </c>
      <c r="J2875" s="711">
        <v>4</v>
      </c>
      <c r="K2875" s="711">
        <v>40</v>
      </c>
      <c r="L2875" s="710">
        <f>INT(base[[#This Row],[Data de liquidação]])</f>
        <v>46194</v>
      </c>
      <c r="M2875" s="711">
        <f>base[[#This Row],[L/P Bruto]]-base[[#This Row],[L/P Líquido]]</f>
        <v>1.8000000000000043</v>
      </c>
      <c r="N2875" s="711">
        <f>base[[#This Row],[L/P Líquido]]/base[[#This Row],[Stake/Responsabilidade]]</f>
        <v>0.95500000000000007</v>
      </c>
      <c r="O2875" s="712">
        <f>IF(base[[#This Row],[L/P Líquido]]&gt;0,1,0)</f>
        <v>1</v>
      </c>
      <c r="P2875" s="712"/>
      <c r="Q2875" s="712" t="str">
        <f>LEFT(base[[#This Row],[Evento / Mercado]],FIND("vs",base[[#This Row],[Evento / Mercado]])-2)</f>
        <v>Moss</v>
      </c>
      <c r="R287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4" t="str">
        <f>LEFT(base[[#This Row],[Evento / Mercado]],FIND("/",base[[#This Row],[Evento / Mercado]])-2)</f>
        <v>Moss vs Sandnes Ulf</v>
      </c>
      <c r="T2875" s="1420">
        <f>base[[#This Row],[Data de liquidação]]</f>
        <v>46194.524907407409</v>
      </c>
    </row>
    <row r="2876" spans="2:22" ht="15" customHeight="1">
      <c r="B2876" s="714" t="s">
        <v>3492</v>
      </c>
      <c r="C2876" s="911" t="s">
        <v>3556</v>
      </c>
      <c r="D2876" s="1374">
        <v>46194.529305555552</v>
      </c>
      <c r="E2876" s="715">
        <v>133.27000000000001</v>
      </c>
      <c r="F2876" s="654">
        <v>4.4999999999999998E-2</v>
      </c>
      <c r="G2876" s="711">
        <f t="shared" si="55"/>
        <v>139.54973821989532</v>
      </c>
      <c r="H2876" s="711" t="s">
        <v>3333</v>
      </c>
      <c r="I2876" s="709" t="s">
        <v>3388</v>
      </c>
      <c r="J2876" s="711">
        <f>(1.64*25+2.36*25+3.02*50)/base[[#This Row],[Stake/Responsabilidade]]</f>
        <v>2.5099999999999998</v>
      </c>
      <c r="K2876" s="711">
        <f>25+25+50</f>
        <v>100</v>
      </c>
      <c r="L2876" s="710">
        <f>INT(base[[#This Row],[Data de liquidação]])</f>
        <v>46194</v>
      </c>
      <c r="M2876" s="711">
        <f>base[[#This Row],[L/P Bruto]]-base[[#This Row],[L/P Líquido]]</f>
        <v>6.2797382198953073</v>
      </c>
      <c r="N2876" s="711">
        <f>base[[#This Row],[L/P Líquido]]/base[[#This Row],[Stake/Responsabilidade]]</f>
        <v>1.3327</v>
      </c>
      <c r="O2876" s="712">
        <f>IF(base[[#This Row],[L/P Líquido]]&gt;0,1,0)</f>
        <v>1</v>
      </c>
      <c r="P2876" s="712"/>
      <c r="Q2876" s="712" t="str">
        <f>LEFT(base[[#This Row],[Evento / Mercado]],FIND("vs",base[[#This Row],[Evento / Mercado]])-2)</f>
        <v>Moss</v>
      </c>
      <c r="R287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4" t="str">
        <f>LEFT(base[[#This Row],[Evento / Mercado]],FIND("/",base[[#This Row],[Evento / Mercado]])-2)</f>
        <v>Moss vs Sandnes Ulf</v>
      </c>
      <c r="T2876" s="1420">
        <f>base[[#This Row],[Data de liquidação]]</f>
        <v>46194.529305555552</v>
      </c>
    </row>
    <row r="2877" spans="2:22" ht="15" customHeight="1">
      <c r="B2877" s="714" t="s">
        <v>3491</v>
      </c>
      <c r="C2877" s="911" t="s">
        <v>3556</v>
      </c>
      <c r="D2877" s="1374">
        <v>46194.535254629627</v>
      </c>
      <c r="E2877" s="715">
        <v>-148.47999999999999</v>
      </c>
      <c r="F2877" s="654">
        <v>4.4999999999999998E-2</v>
      </c>
      <c r="G2877" s="711">
        <f t="shared" si="55"/>
        <v>-148.47999999999999</v>
      </c>
      <c r="H2877" s="711" t="s">
        <v>3330</v>
      </c>
      <c r="I2877" s="1248" t="s">
        <v>4367</v>
      </c>
      <c r="J2877" s="711">
        <f>(3.55*75+1.97*73.49)/base[[#This Row],[Stake/Responsabilidade]]</f>
        <v>2.7680335376119602</v>
      </c>
      <c r="K2877" s="711">
        <f>75+73.49</f>
        <v>148.49</v>
      </c>
      <c r="L2877" s="710">
        <f>INT(base[[#This Row],[Data de liquidação]])</f>
        <v>46194</v>
      </c>
      <c r="M2877" s="711">
        <f>base[[#This Row],[L/P Bruto]]-base[[#This Row],[L/P Líquido]]</f>
        <v>0</v>
      </c>
      <c r="N2877" s="711">
        <f>base[[#This Row],[L/P Líquido]]/base[[#This Row],[Stake/Responsabilidade]]</f>
        <v>-0.99993265539766973</v>
      </c>
      <c r="O2877" s="712">
        <f>IF(base[[#This Row],[L/P Líquido]]&gt;0,1,0)</f>
        <v>0</v>
      </c>
      <c r="P2877" s="712"/>
      <c r="Q2877" s="712" t="str">
        <f>LEFT(base[[#This Row],[Evento / Mercado]],FIND("vs",base[[#This Row],[Evento / Mercado]])-2)</f>
        <v>Moss</v>
      </c>
      <c r="R287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4" t="str">
        <f>LEFT(base[[#This Row],[Evento / Mercado]],FIND("/",base[[#This Row],[Evento / Mercado]])-2)</f>
        <v>Moss vs Sandnes Ulf</v>
      </c>
      <c r="T2877" s="1420">
        <f>base[[#This Row],[Data de liquidação]]</f>
        <v>46194.535254629627</v>
      </c>
    </row>
    <row r="2878" spans="2:22" ht="15" customHeight="1">
      <c r="B2878" s="714" t="s">
        <v>3490</v>
      </c>
      <c r="C2878" s="911" t="s">
        <v>3556</v>
      </c>
      <c r="D2878" s="1374">
        <v>46194.536423611113</v>
      </c>
      <c r="E2878" s="715">
        <v>-70.42</v>
      </c>
      <c r="F2878" s="654">
        <v>4.4999999999999998E-2</v>
      </c>
      <c r="G2878" s="711">
        <f t="shared" si="55"/>
        <v>-70.42</v>
      </c>
      <c r="H2878" s="711" t="s">
        <v>3334</v>
      </c>
      <c r="I2878" s="659" t="s">
        <v>627</v>
      </c>
      <c r="J2878" s="711">
        <v>15.4</v>
      </c>
      <c r="K2878" s="711">
        <v>800.4</v>
      </c>
      <c r="L2878" s="710">
        <f>INT(base[[#This Row],[Data de liquidação]])</f>
        <v>46194</v>
      </c>
      <c r="M2878" s="711">
        <f>base[[#This Row],[L/P Bruto]]-base[[#This Row],[L/P Líquido]]</f>
        <v>0</v>
      </c>
      <c r="N2878" s="711">
        <f>base[[#This Row],[L/P Líquido]]/base[[#This Row],[Stake/Responsabilidade]]</f>
        <v>-8.798100949525238E-2</v>
      </c>
      <c r="O2878" s="712">
        <f>IF(base[[#This Row],[L/P Líquido]]&gt;0,1,0)</f>
        <v>0</v>
      </c>
      <c r="P2878" s="712"/>
      <c r="Q2878" s="712" t="str">
        <f>LEFT(base[[#This Row],[Evento / Mercado]],FIND("vs",base[[#This Row],[Evento / Mercado]])-2)</f>
        <v>Odds Ballklubb</v>
      </c>
      <c r="R287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4" t="str">
        <f>LEFT(base[[#This Row],[Evento / Mercado]],FIND("/",base[[#This Row],[Evento / Mercado]])-2)</f>
        <v>Odds Ballklubb vs Hødd</v>
      </c>
      <c r="T2878" s="1420">
        <f>base[[#This Row],[Data de liquidação]]</f>
        <v>46194.536423611113</v>
      </c>
    </row>
    <row r="2879" spans="2:22" ht="15" customHeight="1">
      <c r="B2879" s="714" t="s">
        <v>3489</v>
      </c>
      <c r="C2879" s="911" t="s">
        <v>3556</v>
      </c>
      <c r="D2879" s="1374">
        <v>46194.540219907409</v>
      </c>
      <c r="E2879" s="715">
        <v>97.94</v>
      </c>
      <c r="F2879" s="654">
        <v>4.4999999999999998E-2</v>
      </c>
      <c r="G2879" s="711">
        <f t="shared" si="55"/>
        <v>102.55497382198953</v>
      </c>
      <c r="H2879" s="711" t="s">
        <v>3410</v>
      </c>
      <c r="I2879" s="709"/>
      <c r="J2879" s="711">
        <v>8.8000000000000007</v>
      </c>
      <c r="K2879" s="711">
        <v>799.97</v>
      </c>
      <c r="L2879" s="710">
        <f>INT(base[[#This Row],[Data de liquidação]])</f>
        <v>46194</v>
      </c>
      <c r="M2879" s="711">
        <f>base[[#This Row],[L/P Bruto]]-base[[#This Row],[L/P Líquido]]</f>
        <v>4.6149738219895369</v>
      </c>
      <c r="N2879" s="711">
        <f>base[[#This Row],[L/P Líquido]]/base[[#This Row],[Stake/Responsabilidade]]</f>
        <v>0.1224295911096666</v>
      </c>
      <c r="O2879" s="712">
        <f>IF(base[[#This Row],[L/P Líquido]]&gt;0,1,0)</f>
        <v>1</v>
      </c>
      <c r="P2879" s="712"/>
      <c r="Q2879" s="712" t="str">
        <f>LEFT(base[[#This Row],[Evento / Mercado]],FIND("vs",base[[#This Row],[Evento / Mercado]])-2)</f>
        <v>Bryne</v>
      </c>
      <c r="R287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4" t="str">
        <f>LEFT(base[[#This Row],[Evento / Mercado]],FIND("/",base[[#This Row],[Evento / Mercado]])-2)</f>
        <v>Bryne vs Åsane</v>
      </c>
      <c r="T2879" s="1420">
        <f>base[[#This Row],[Data de liquidação]]</f>
        <v>46194.540219907409</v>
      </c>
    </row>
    <row r="2880" spans="2:22" ht="15" customHeight="1">
      <c r="B2880" s="714" t="s">
        <v>3488</v>
      </c>
      <c r="C2880" s="911" t="s">
        <v>3556</v>
      </c>
      <c r="D2880" s="1374">
        <v>46194.540231481478</v>
      </c>
      <c r="E2880" s="715">
        <v>-120</v>
      </c>
      <c r="F2880" s="654">
        <v>4.4999999999999998E-2</v>
      </c>
      <c r="G2880" s="711">
        <f t="shared" si="55"/>
        <v>-120</v>
      </c>
      <c r="H2880" s="711" t="s">
        <v>3188</v>
      </c>
      <c r="I2880" s="709" t="s">
        <v>1572</v>
      </c>
      <c r="J2880" s="711">
        <v>4</v>
      </c>
      <c r="K2880" s="711">
        <v>40</v>
      </c>
      <c r="L2880" s="710">
        <f>INT(base[[#This Row],[Data de liquidação]])</f>
        <v>46194</v>
      </c>
      <c r="M2880" s="711">
        <f>base[[#This Row],[L/P Bruto]]-base[[#This Row],[L/P Líquido]]</f>
        <v>0</v>
      </c>
      <c r="N2880" s="711">
        <f>base[[#This Row],[L/P Líquido]]/base[[#This Row],[Stake/Responsabilidade]]</f>
        <v>-3</v>
      </c>
      <c r="O2880" s="712">
        <f>IF(base[[#This Row],[L/P Líquido]]&gt;0,1,0)</f>
        <v>0</v>
      </c>
      <c r="P2880" s="712"/>
      <c r="Q2880" s="712" t="str">
        <f>LEFT(base[[#This Row],[Evento / Mercado]],FIND("vs",base[[#This Row],[Evento / Mercado]])-2)</f>
        <v>Bryne</v>
      </c>
      <c r="R288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4" t="str">
        <f>LEFT(base[[#This Row],[Evento / Mercado]],FIND("/",base[[#This Row],[Evento / Mercado]])-2)</f>
        <v>Bryne vs Åsane</v>
      </c>
      <c r="T2880" s="1420">
        <f>base[[#This Row],[Data de liquidação]]</f>
        <v>46194.540231481478</v>
      </c>
    </row>
    <row r="2881" spans="2:20" ht="15" customHeight="1">
      <c r="B2881" s="714" t="s">
        <v>3487</v>
      </c>
      <c r="C2881" s="911" t="s">
        <v>3556</v>
      </c>
      <c r="D2881" s="1374">
        <v>46194.578715277778</v>
      </c>
      <c r="E2881" s="715">
        <v>-117.65</v>
      </c>
      <c r="F2881" s="654">
        <v>4.4999999999999998E-2</v>
      </c>
      <c r="G2881" s="711">
        <f t="shared" si="55"/>
        <v>-117.65</v>
      </c>
      <c r="H2881" s="711" t="s">
        <v>3188</v>
      </c>
      <c r="I2881" s="709" t="s">
        <v>498</v>
      </c>
      <c r="J2881" s="711">
        <v>3.94</v>
      </c>
      <c r="K2881" s="711">
        <v>40</v>
      </c>
      <c r="L2881" s="710">
        <f>INT(base[[#This Row],[Data de liquidação]])</f>
        <v>46194</v>
      </c>
      <c r="M2881" s="711">
        <f>base[[#This Row],[L/P Bruto]]-base[[#This Row],[L/P Líquido]]</f>
        <v>0</v>
      </c>
      <c r="N2881" s="711">
        <f>base[[#This Row],[L/P Líquido]]/base[[#This Row],[Stake/Responsabilidade]]</f>
        <v>-2.9412500000000001</v>
      </c>
      <c r="O2881" s="712">
        <f>IF(base[[#This Row],[L/P Líquido]]&gt;0,1,0)</f>
        <v>0</v>
      </c>
      <c r="P2881" s="712"/>
      <c r="Q2881" s="712" t="str">
        <f>LEFT(base[[#This Row],[Evento / Mercado]],FIND("vs",base[[#This Row],[Evento / Mercado]])-2)</f>
        <v>Norrby IF</v>
      </c>
      <c r="R288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4" t="str">
        <f>LEFT(base[[#This Row],[Evento / Mercado]],FIND("/",base[[#This Row],[Evento / Mercado]])-2)</f>
        <v>Norrby IF vs United IK Nordic</v>
      </c>
      <c r="T2881" s="1420">
        <f>base[[#This Row],[Data de liquidação]]</f>
        <v>46194.578715277778</v>
      </c>
    </row>
    <row r="2882" spans="2:20" ht="15" customHeight="1">
      <c r="B2882" s="714" t="s">
        <v>3486</v>
      </c>
      <c r="C2882" s="911" t="s">
        <v>3556</v>
      </c>
      <c r="D2882" s="1374">
        <v>46194.626226851855</v>
      </c>
      <c r="E2882" s="715">
        <v>13.17</v>
      </c>
      <c r="F2882" s="654">
        <v>4.4999999999999998E-2</v>
      </c>
      <c r="G2882" s="711">
        <f t="shared" si="55"/>
        <v>13.790575916230367</v>
      </c>
      <c r="H2882" s="711" t="s">
        <v>179</v>
      </c>
      <c r="I2882" s="939" t="s">
        <v>3393</v>
      </c>
      <c r="J2882" s="711">
        <v>30</v>
      </c>
      <c r="K2882" s="711">
        <v>399.91</v>
      </c>
      <c r="L2882" s="710">
        <f>INT(base[[#This Row],[Data de liquidação]])</f>
        <v>46194</v>
      </c>
      <c r="M2882" s="711">
        <f>base[[#This Row],[L/P Bruto]]-base[[#This Row],[L/P Líquido]]</f>
        <v>0.62057591623036679</v>
      </c>
      <c r="N2882" s="711">
        <f>base[[#This Row],[L/P Líquido]]/base[[#This Row],[Stake/Responsabilidade]]</f>
        <v>3.2932409792203243E-2</v>
      </c>
      <c r="O2882" s="712">
        <f>IF(base[[#This Row],[L/P Líquido]]&gt;0,1,0)</f>
        <v>1</v>
      </c>
      <c r="P2882" s="712" t="s">
        <v>3331</v>
      </c>
      <c r="Q2882" s="712" t="str">
        <f>LEFT(base[[#This Row],[Evento / Mercado]],FIND("vs",base[[#This Row],[Evento / Mercado]])-2)</f>
        <v>Spain</v>
      </c>
      <c r="R288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4" t="str">
        <f>LEFT(base[[#This Row],[Evento / Mercado]],FIND("/",base[[#This Row],[Evento / Mercado]])-2)</f>
        <v>Spain vs Saudi Arabia</v>
      </c>
      <c r="T2882" s="1420">
        <f>base[[#This Row],[Data de liquidação]]</f>
        <v>46194.626226851855</v>
      </c>
    </row>
    <row r="2883" spans="2:20" ht="15" customHeight="1">
      <c r="B2883" s="714" t="s">
        <v>3485</v>
      </c>
      <c r="C2883" s="911" t="s">
        <v>3556</v>
      </c>
      <c r="D2883" s="1374">
        <v>46194.687997685185</v>
      </c>
      <c r="E2883" s="715">
        <v>38.200000000000003</v>
      </c>
      <c r="F2883" s="654">
        <v>4.4999999999999998E-2</v>
      </c>
      <c r="G2883" s="711">
        <f t="shared" ref="G2883:G2946" si="59">IF(E2883&gt;0,E2883/(1-F2883),E2883)</f>
        <v>40.000000000000007</v>
      </c>
      <c r="H2883" s="711" t="s">
        <v>3188</v>
      </c>
      <c r="I2883" s="709" t="s">
        <v>1572</v>
      </c>
      <c r="J2883" s="711">
        <v>4</v>
      </c>
      <c r="K2883" s="711">
        <v>40</v>
      </c>
      <c r="L2883" s="710">
        <f>INT(base[[#This Row],[Data de liquidação]])</f>
        <v>46194</v>
      </c>
      <c r="M2883" s="711">
        <f>base[[#This Row],[L/P Bruto]]-base[[#This Row],[L/P Líquido]]</f>
        <v>1.8000000000000043</v>
      </c>
      <c r="N2883" s="711">
        <f>base[[#This Row],[L/P Líquido]]/base[[#This Row],[Stake/Responsabilidade]]</f>
        <v>0.95500000000000007</v>
      </c>
      <c r="O2883" s="712">
        <f>IF(base[[#This Row],[L/P Líquido]]&gt;0,1,0)</f>
        <v>1</v>
      </c>
      <c r="P2883" s="712"/>
      <c r="Q2883" s="712" t="str">
        <f>LEFT(base[[#This Row],[Evento / Mercado]],FIND("vs",base[[#This Row],[Evento / Mercado]])-2)</f>
        <v>Valur</v>
      </c>
      <c r="R288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4" t="str">
        <f>LEFT(base[[#This Row],[Evento / Mercado]],FIND("/",base[[#This Row],[Evento / Mercado]])-2)</f>
        <v>Valur vs Keflavik IF</v>
      </c>
      <c r="T2883" s="1420">
        <f>base[[#This Row],[Data de liquidação]]</f>
        <v>46194.687997685185</v>
      </c>
    </row>
    <row r="2884" spans="2:20" ht="15" customHeight="1">
      <c r="B2884" s="714" t="s">
        <v>3484</v>
      </c>
      <c r="C2884" s="911" t="s">
        <v>3556</v>
      </c>
      <c r="D2884" s="1374">
        <v>46194.704363425924</v>
      </c>
      <c r="E2884" s="715">
        <v>-120</v>
      </c>
      <c r="F2884" s="654">
        <v>4.4999999999999998E-2</v>
      </c>
      <c r="G2884" s="711">
        <f t="shared" si="59"/>
        <v>-120</v>
      </c>
      <c r="H2884" s="711" t="s">
        <v>3188</v>
      </c>
      <c r="I2884" s="709" t="s">
        <v>389</v>
      </c>
      <c r="J2884" s="711">
        <v>4</v>
      </c>
      <c r="K2884" s="711">
        <v>40</v>
      </c>
      <c r="L2884" s="710">
        <f>INT(base[[#This Row],[Data de liquidação]])</f>
        <v>46194</v>
      </c>
      <c r="M2884" s="711">
        <f>base[[#This Row],[L/P Bruto]]-base[[#This Row],[L/P Líquido]]</f>
        <v>0</v>
      </c>
      <c r="N2884" s="711">
        <f>base[[#This Row],[L/P Líquido]]/base[[#This Row],[Stake/Responsabilidade]]</f>
        <v>-3</v>
      </c>
      <c r="O2884" s="712">
        <f>IF(base[[#This Row],[L/P Líquido]]&gt;0,1,0)</f>
        <v>0</v>
      </c>
      <c r="P2884" s="712"/>
      <c r="Q2884" s="712" t="str">
        <f>LEFT(base[[#This Row],[Evento / Mercado]],FIND("vs",base[[#This Row],[Evento / Mercado]])-2)</f>
        <v>ÍB Vestmannaeyja</v>
      </c>
      <c r="R288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4" t="str">
        <f>LEFT(base[[#This Row],[Evento / Mercado]],FIND("/",base[[#This Row],[Evento / Mercado]])-2)</f>
        <v>ÍB Vestmannaeyja vs Stjarnan</v>
      </c>
      <c r="T2884" s="1420">
        <f>base[[#This Row],[Data de liquidação]]</f>
        <v>46194.704363425924</v>
      </c>
    </row>
    <row r="2885" spans="2:20" ht="15" customHeight="1">
      <c r="B2885" s="714" t="s">
        <v>3483</v>
      </c>
      <c r="C2885" s="911" t="s">
        <v>3556</v>
      </c>
      <c r="D2885" s="1374">
        <v>46194.707199074073</v>
      </c>
      <c r="E2885" s="715">
        <v>54.57</v>
      </c>
      <c r="F2885" s="654">
        <v>4.4999999999999998E-2</v>
      </c>
      <c r="G2885" s="711">
        <f t="shared" si="59"/>
        <v>57.141361256544506</v>
      </c>
      <c r="H2885" s="711" t="s">
        <v>3411</v>
      </c>
      <c r="I2885" s="659" t="s">
        <v>3412</v>
      </c>
      <c r="J2885" s="711">
        <v>8</v>
      </c>
      <c r="K2885" s="711">
        <v>399.98</v>
      </c>
      <c r="L2885" s="710">
        <f>INT(base[[#This Row],[Data de liquidação]])</f>
        <v>46194</v>
      </c>
      <c r="M2885" s="711">
        <f>base[[#This Row],[L/P Bruto]]-base[[#This Row],[L/P Líquido]]</f>
        <v>2.5713612565445061</v>
      </c>
      <c r="N2885" s="711">
        <f>base[[#This Row],[L/P Líquido]]/base[[#This Row],[Stake/Responsabilidade]]</f>
        <v>0.13643182159107956</v>
      </c>
      <c r="O2885" s="712">
        <f>IF(base[[#This Row],[L/P Líquido]]&gt;0,1,0)</f>
        <v>1</v>
      </c>
      <c r="P2885" s="712"/>
      <c r="Q2885" s="712" t="e">
        <f>LEFT(base[[#This Row],[Evento / Mercado]],FIND("vs",base[[#This Row],[Evento / Mercado]])-2)</f>
        <v>#VALUE!</v>
      </c>
      <c r="R2885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4" t="str">
        <f>LEFT(base[[#This Row],[Evento / Mercado]],FIND("/",base[[#This Row],[Evento / Mercado]])-2)</f>
        <v>FIFA World Cup - Group E Winner</v>
      </c>
      <c r="T2885" s="1420">
        <f>base[[#This Row],[Data de liquidação]]</f>
        <v>46194.707199074073</v>
      </c>
    </row>
    <row r="2886" spans="2:20" ht="15" customHeight="1">
      <c r="B2886" s="714" t="s">
        <v>3482</v>
      </c>
      <c r="C2886" s="911" t="s">
        <v>3556</v>
      </c>
      <c r="D2886" s="1374">
        <v>46194.712673611109</v>
      </c>
      <c r="E2886" s="715">
        <v>40.22</v>
      </c>
      <c r="F2886" s="654">
        <v>4.4999999999999998E-2</v>
      </c>
      <c r="G2886" s="711">
        <f t="shared" si="59"/>
        <v>42.1151832460733</v>
      </c>
      <c r="H2886" s="711" t="s">
        <v>3411</v>
      </c>
      <c r="I2886" s="659" t="s">
        <v>3412</v>
      </c>
      <c r="J2886" s="711">
        <v>10.5</v>
      </c>
      <c r="K2886" s="711">
        <v>400.05</v>
      </c>
      <c r="L2886" s="710">
        <f>INT(base[[#This Row],[Data de liquidação]])</f>
        <v>46194</v>
      </c>
      <c r="M2886" s="711">
        <f>base[[#This Row],[L/P Bruto]]-base[[#This Row],[L/P Líquido]]</f>
        <v>1.8951832460733016</v>
      </c>
      <c r="N2886" s="711">
        <f>base[[#This Row],[L/P Líquido]]/base[[#This Row],[Stake/Responsabilidade]]</f>
        <v>0.10053743282089739</v>
      </c>
      <c r="O2886" s="712">
        <f>IF(base[[#This Row],[L/P Líquido]]&gt;0,1,0)</f>
        <v>1</v>
      </c>
      <c r="P2886" s="712"/>
      <c r="Q2886" s="712" t="e">
        <f>LEFT(base[[#This Row],[Evento / Mercado]],FIND("vs",base[[#This Row],[Evento / Mercado]])-2)</f>
        <v>#VALUE!</v>
      </c>
      <c r="R2886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4" t="str">
        <f>LEFT(base[[#This Row],[Evento / Mercado]],FIND("/",base[[#This Row],[Evento / Mercado]])-2)</f>
        <v>FIFA World Cup - Group D Winner</v>
      </c>
      <c r="T2886" s="1420">
        <f>base[[#This Row],[Data de liquidação]]</f>
        <v>46194.712673611109</v>
      </c>
    </row>
    <row r="2887" spans="2:20" ht="15" customHeight="1">
      <c r="B2887" s="714" t="s">
        <v>3481</v>
      </c>
      <c r="C2887" s="911" t="s">
        <v>3556</v>
      </c>
      <c r="D2887" s="1374">
        <v>46194.739282407405</v>
      </c>
      <c r="E2887" s="715">
        <v>38.200000000000003</v>
      </c>
      <c r="F2887" s="654">
        <v>4.4999999999999998E-2</v>
      </c>
      <c r="G2887" s="711">
        <f t="shared" si="59"/>
        <v>40.000000000000007</v>
      </c>
      <c r="H2887" s="711" t="s">
        <v>3188</v>
      </c>
      <c r="I2887" s="709" t="s">
        <v>1572</v>
      </c>
      <c r="J2887" s="711">
        <v>4</v>
      </c>
      <c r="K2887" s="711">
        <v>40</v>
      </c>
      <c r="L2887" s="710">
        <f>INT(base[[#This Row],[Data de liquidação]])</f>
        <v>46194</v>
      </c>
      <c r="M2887" s="711">
        <f>base[[#This Row],[L/P Bruto]]-base[[#This Row],[L/P Líquido]]</f>
        <v>1.8000000000000043</v>
      </c>
      <c r="N2887" s="711">
        <f>base[[#This Row],[L/P Líquido]]/base[[#This Row],[Stake/Responsabilidade]]</f>
        <v>0.95500000000000007</v>
      </c>
      <c r="O2887" s="712">
        <f>IF(base[[#This Row],[L/P Líquido]]&gt;0,1,0)</f>
        <v>1</v>
      </c>
      <c r="P2887" s="712"/>
      <c r="Q2887" s="712" t="str">
        <f>LEFT(base[[#This Row],[Evento / Mercado]],FIND("vs",base[[#This Row],[Evento / Mercado]])-2)</f>
        <v>CRB</v>
      </c>
      <c r="R288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4" t="str">
        <f>LEFT(base[[#This Row],[Evento / Mercado]],FIND("/",base[[#This Row],[Evento / Mercado]])-2)</f>
        <v>CRB vs Fortaleza EC</v>
      </c>
      <c r="T2887" s="1420">
        <f>base[[#This Row],[Data de liquidação]]</f>
        <v>46194.739282407405</v>
      </c>
    </row>
    <row r="2888" spans="2:20" ht="15" customHeight="1">
      <c r="B2888" s="714" t="s">
        <v>3480</v>
      </c>
      <c r="C2888" s="911" t="s">
        <v>3556</v>
      </c>
      <c r="D2888" s="1374">
        <v>46194.750509259262</v>
      </c>
      <c r="E2888" s="715">
        <v>-32</v>
      </c>
      <c r="F2888" s="654">
        <v>4.4999999999999998E-2</v>
      </c>
      <c r="G2888" s="711">
        <f t="shared" si="59"/>
        <v>-32</v>
      </c>
      <c r="H2888" s="711" t="s">
        <v>3334</v>
      </c>
      <c r="I2888" s="659" t="s">
        <v>627</v>
      </c>
      <c r="J2888" s="711">
        <v>26</v>
      </c>
      <c r="K2888" s="711">
        <v>800</v>
      </c>
      <c r="L2888" s="710">
        <f>INT(base[[#This Row],[Data de liquidação]])</f>
        <v>46194</v>
      </c>
      <c r="M2888" s="711">
        <f>base[[#This Row],[L/P Bruto]]-base[[#This Row],[L/P Líquido]]</f>
        <v>0</v>
      </c>
      <c r="N2888" s="711">
        <f>base[[#This Row],[L/P Líquido]]/base[[#This Row],[Stake/Responsabilidade]]</f>
        <v>-0.04</v>
      </c>
      <c r="O2888" s="712">
        <f>IF(base[[#This Row],[L/P Líquido]]&gt;0,1,0)</f>
        <v>0</v>
      </c>
      <c r="P2888" s="712"/>
      <c r="Q2888" s="712" t="str">
        <f>LEFT(base[[#This Row],[Evento / Mercado]],FIND("vs",base[[#This Row],[Evento / Mercado]])-2)</f>
        <v>Belgium</v>
      </c>
      <c r="R288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4" t="str">
        <f>LEFT(base[[#This Row],[Evento / Mercado]],FIND("/",base[[#This Row],[Evento / Mercado]])-2)</f>
        <v>Belgium vs Iran</v>
      </c>
      <c r="T2888" s="1420">
        <f>base[[#This Row],[Data de liquidação]]</f>
        <v>46194.750509259262</v>
      </c>
    </row>
    <row r="2889" spans="2:20" ht="15" customHeight="1">
      <c r="B2889" s="714" t="s">
        <v>3479</v>
      </c>
      <c r="C2889" s="911" t="s">
        <v>3556</v>
      </c>
      <c r="D2889" s="1374">
        <v>46194.750798611109</v>
      </c>
      <c r="E2889" s="715">
        <v>-120</v>
      </c>
      <c r="F2889" s="654">
        <v>4.4999999999999998E-2</v>
      </c>
      <c r="G2889" s="711">
        <f t="shared" si="59"/>
        <v>-120</v>
      </c>
      <c r="H2889" s="711" t="s">
        <v>3188</v>
      </c>
      <c r="I2889" s="709" t="s">
        <v>1572</v>
      </c>
      <c r="J2889" s="711">
        <v>4</v>
      </c>
      <c r="K2889" s="711">
        <v>40</v>
      </c>
      <c r="L2889" s="710">
        <f>INT(base[[#This Row],[Data de liquidação]])</f>
        <v>46194</v>
      </c>
      <c r="M2889" s="711">
        <f>base[[#This Row],[L/P Bruto]]-base[[#This Row],[L/P Líquido]]</f>
        <v>0</v>
      </c>
      <c r="N2889" s="711">
        <f>base[[#This Row],[L/P Líquido]]/base[[#This Row],[Stake/Responsabilidade]]</f>
        <v>-3</v>
      </c>
      <c r="O2889" s="712">
        <f>IF(base[[#This Row],[L/P Líquido]]&gt;0,1,0)</f>
        <v>0</v>
      </c>
      <c r="P2889" s="712"/>
      <c r="Q2889" s="712" t="str">
        <f>LEFT(base[[#This Row],[Evento / Mercado]],FIND("vs",base[[#This Row],[Evento / Mercado]])-2)</f>
        <v>Belgium</v>
      </c>
      <c r="R288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4" t="str">
        <f>LEFT(base[[#This Row],[Evento / Mercado]],FIND("/",base[[#This Row],[Evento / Mercado]])-2)</f>
        <v>Belgium vs Iran</v>
      </c>
      <c r="T2889" s="1420">
        <f>base[[#This Row],[Data de liquidação]]</f>
        <v>46194.750798611109</v>
      </c>
    </row>
    <row r="2890" spans="2:20" ht="15" customHeight="1">
      <c r="B2890" s="714" t="s">
        <v>3478</v>
      </c>
      <c r="C2890" s="911" t="s">
        <v>3556</v>
      </c>
      <c r="D2890" s="1374">
        <v>46194.750879629632</v>
      </c>
      <c r="E2890" s="715">
        <v>48.97</v>
      </c>
      <c r="F2890" s="654">
        <v>4.4999999999999998E-2</v>
      </c>
      <c r="G2890" s="711">
        <f t="shared" si="59"/>
        <v>51.277486910994767</v>
      </c>
      <c r="H2890" s="711" t="s">
        <v>179</v>
      </c>
      <c r="I2890" s="939" t="s">
        <v>3393</v>
      </c>
      <c r="J2890" s="711">
        <v>8.8000000000000007</v>
      </c>
      <c r="K2890" s="711">
        <v>399.98</v>
      </c>
      <c r="L2890" s="710">
        <f>INT(base[[#This Row],[Data de liquidação]])</f>
        <v>46194</v>
      </c>
      <c r="M2890" s="711">
        <f>base[[#This Row],[L/P Bruto]]-base[[#This Row],[L/P Líquido]]</f>
        <v>2.3074869109947684</v>
      </c>
      <c r="N2890" s="711">
        <f>base[[#This Row],[L/P Líquido]]/base[[#This Row],[Stake/Responsabilidade]]</f>
        <v>0.1224311215560778</v>
      </c>
      <c r="O2890" s="712">
        <f>IF(base[[#This Row],[L/P Líquido]]&gt;0,1,0)</f>
        <v>1</v>
      </c>
      <c r="P2890" s="712" t="s">
        <v>3331</v>
      </c>
      <c r="Q2890" s="712" t="str">
        <f>LEFT(base[[#This Row],[Evento / Mercado]],FIND("vs",base[[#This Row],[Evento / Mercado]])-2)</f>
        <v>Belgium</v>
      </c>
      <c r="R289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4" t="str">
        <f>LEFT(base[[#This Row],[Evento / Mercado]],FIND("/",base[[#This Row],[Evento / Mercado]])-2)</f>
        <v>Belgium vs Iran</v>
      </c>
      <c r="T2890" s="1420">
        <f>base[[#This Row],[Data de liquidação]]</f>
        <v>46194.750879629632</v>
      </c>
    </row>
    <row r="2891" spans="2:20" ht="15" customHeight="1">
      <c r="B2891" s="714" t="s">
        <v>3477</v>
      </c>
      <c r="C2891" s="911" t="s">
        <v>3556</v>
      </c>
      <c r="D2891" s="1374">
        <v>46194.795613425929</v>
      </c>
      <c r="E2891" s="715">
        <v>24.65</v>
      </c>
      <c r="F2891" s="654">
        <v>4.4999999999999998E-2</v>
      </c>
      <c r="G2891" s="711">
        <f t="shared" si="59"/>
        <v>25.811518324607331</v>
      </c>
      <c r="H2891" s="711" t="s">
        <v>3334</v>
      </c>
      <c r="I2891" s="633" t="s">
        <v>694</v>
      </c>
      <c r="J2891" s="711">
        <v>32</v>
      </c>
      <c r="K2891" s="711">
        <v>800.11</v>
      </c>
      <c r="L2891" s="710">
        <f>INT(base[[#This Row],[Data de liquidação]])</f>
        <v>46194</v>
      </c>
      <c r="M2891" s="711">
        <f>base[[#This Row],[L/P Bruto]]-base[[#This Row],[L/P Líquido]]</f>
        <v>1.1615183246073322</v>
      </c>
      <c r="N2891" s="711">
        <f>base[[#This Row],[L/P Líquido]]/base[[#This Row],[Stake/Responsabilidade]]</f>
        <v>3.0808263863718738E-2</v>
      </c>
      <c r="O2891" s="712">
        <f>IF(base[[#This Row],[L/P Líquido]]&gt;0,1,0)</f>
        <v>1</v>
      </c>
      <c r="P2891" s="712"/>
      <c r="Q2891" s="712" t="str">
        <f>LEFT(base[[#This Row],[Evento / Mercado]],FIND("vs",base[[#This Row],[Evento / Mercado]])-2)</f>
        <v>Fram Reykjavik</v>
      </c>
      <c r="R289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4" t="str">
        <f>LEFT(base[[#This Row],[Evento / Mercado]],FIND("/",base[[#This Row],[Evento / Mercado]])-2)</f>
        <v>Fram Reykjavik vs Víkingur</v>
      </c>
      <c r="T2891" s="1420">
        <f>base[[#This Row],[Data de liquidação]]</f>
        <v>46194.795613425929</v>
      </c>
    </row>
    <row r="2892" spans="2:20" ht="15" customHeight="1">
      <c r="B2892" s="714" t="s">
        <v>3476</v>
      </c>
      <c r="C2892" s="911" t="s">
        <v>3556</v>
      </c>
      <c r="D2892" s="1374">
        <v>46194.848738425928</v>
      </c>
      <c r="E2892" s="715">
        <v>-114</v>
      </c>
      <c r="F2892" s="654">
        <v>4.4999999999999998E-2</v>
      </c>
      <c r="G2892" s="711">
        <f t="shared" si="59"/>
        <v>-114</v>
      </c>
      <c r="H2892" s="711" t="s">
        <v>3188</v>
      </c>
      <c r="I2892" s="709" t="s">
        <v>389</v>
      </c>
      <c r="J2892" s="711">
        <v>3.85</v>
      </c>
      <c r="K2892" s="711">
        <v>40</v>
      </c>
      <c r="L2892" s="710">
        <f>INT(base[[#This Row],[Data de liquidação]])</f>
        <v>46194</v>
      </c>
      <c r="M2892" s="711">
        <f>base[[#This Row],[L/P Bruto]]-base[[#This Row],[L/P Líquido]]</f>
        <v>0</v>
      </c>
      <c r="N2892" s="711">
        <f>base[[#This Row],[L/P Líquido]]/base[[#This Row],[Stake/Responsabilidade]]</f>
        <v>-2.85</v>
      </c>
      <c r="O2892" s="712">
        <f>IF(base[[#This Row],[L/P Líquido]]&gt;0,1,0)</f>
        <v>0</v>
      </c>
      <c r="P2892" s="712"/>
      <c r="Q2892" s="712" t="str">
        <f>LEFT(base[[#This Row],[Evento / Mercado]],FIND("vs",base[[#This Row],[Evento / Mercado]])-2)</f>
        <v>Goiás EC</v>
      </c>
      <c r="R289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4" t="str">
        <f>LEFT(base[[#This Row],[Evento / Mercado]],FIND("/",base[[#This Row],[Evento / Mercado]])-2)</f>
        <v>Goiás EC vs Operário Ferroviário</v>
      </c>
      <c r="T2892" s="1420">
        <f>base[[#This Row],[Data de liquidação]]</f>
        <v>46194.848738425928</v>
      </c>
    </row>
    <row r="2893" spans="2:20" ht="15" customHeight="1">
      <c r="B2893" s="714" t="s">
        <v>3475</v>
      </c>
      <c r="C2893" s="911" t="s">
        <v>3556</v>
      </c>
      <c r="D2893" s="1374">
        <v>46194.848749999997</v>
      </c>
      <c r="E2893" s="715">
        <v>-149.99</v>
      </c>
      <c r="F2893" s="654">
        <v>4.4999999999999998E-2</v>
      </c>
      <c r="G2893" s="711">
        <f t="shared" si="59"/>
        <v>-149.99</v>
      </c>
      <c r="H2893" s="711" t="s">
        <v>3330</v>
      </c>
      <c r="I2893" s="1248" t="s">
        <v>4367</v>
      </c>
      <c r="J2893" s="711">
        <f>(3.65+2.08)/2</f>
        <v>2.8650000000000002</v>
      </c>
      <c r="K2893" s="711">
        <v>150</v>
      </c>
      <c r="L2893" s="710">
        <f>INT(base[[#This Row],[Data de liquidação]])</f>
        <v>46194</v>
      </c>
      <c r="M2893" s="711">
        <f>base[[#This Row],[L/P Bruto]]-base[[#This Row],[L/P Líquido]]</f>
        <v>0</v>
      </c>
      <c r="N2893" s="711">
        <f>base[[#This Row],[L/P Líquido]]/base[[#This Row],[Stake/Responsabilidade]]</f>
        <v>-0.99993333333333334</v>
      </c>
      <c r="O2893" s="712">
        <f>IF(base[[#This Row],[L/P Líquido]]&gt;0,1,0)</f>
        <v>0</v>
      </c>
      <c r="P2893" s="712"/>
      <c r="Q2893" s="712" t="str">
        <f>LEFT(base[[#This Row],[Evento / Mercado]],FIND("vs",base[[#This Row],[Evento / Mercado]])-2)</f>
        <v>Goiás EC</v>
      </c>
      <c r="R289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4" t="str">
        <f>LEFT(base[[#This Row],[Evento / Mercado]],FIND("/",base[[#This Row],[Evento / Mercado]])-2)</f>
        <v>Goiás EC vs Operário Ferroviário</v>
      </c>
      <c r="T2893" s="1420">
        <f>base[[#This Row],[Data de liquidação]]</f>
        <v>46194.848749999997</v>
      </c>
    </row>
    <row r="2894" spans="2:20" ht="15" customHeight="1">
      <c r="B2894" s="714" t="s">
        <v>3474</v>
      </c>
      <c r="C2894" s="911" t="s">
        <v>3556</v>
      </c>
      <c r="D2894" s="1374">
        <v>46194.848773148151</v>
      </c>
      <c r="E2894" s="715">
        <v>-100</v>
      </c>
      <c r="F2894" s="654">
        <v>4.4999999999999998E-2</v>
      </c>
      <c r="G2894" s="711">
        <f t="shared" si="59"/>
        <v>-100</v>
      </c>
      <c r="H2894" s="711" t="s">
        <v>3333</v>
      </c>
      <c r="I2894" s="709" t="s">
        <v>3528</v>
      </c>
      <c r="J2894" s="711">
        <f>(4+2.66)/2</f>
        <v>3.33</v>
      </c>
      <c r="K2894" s="711">
        <v>100</v>
      </c>
      <c r="L2894" s="710">
        <f>INT(base[[#This Row],[Data de liquidação]])</f>
        <v>46194</v>
      </c>
      <c r="M2894" s="711">
        <f>base[[#This Row],[L/P Bruto]]-base[[#This Row],[L/P Líquido]]</f>
        <v>0</v>
      </c>
      <c r="N2894" s="711">
        <f>base[[#This Row],[L/P Líquido]]/base[[#This Row],[Stake/Responsabilidade]]</f>
        <v>-1</v>
      </c>
      <c r="O2894" s="712">
        <f>IF(base[[#This Row],[L/P Líquido]]&gt;0,1,0)</f>
        <v>0</v>
      </c>
      <c r="P2894" s="712"/>
      <c r="Q2894" s="712" t="str">
        <f>LEFT(base[[#This Row],[Evento / Mercado]],FIND("vs",base[[#This Row],[Evento / Mercado]])-2)</f>
        <v>Goiás EC</v>
      </c>
      <c r="R289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4" t="str">
        <f>LEFT(base[[#This Row],[Evento / Mercado]],FIND("/",base[[#This Row],[Evento / Mercado]])-2)</f>
        <v>Goiás EC vs Operário Ferroviário</v>
      </c>
      <c r="T2894" s="1420">
        <f>base[[#This Row],[Data de liquidação]]</f>
        <v>46194.848773148151</v>
      </c>
    </row>
    <row r="2895" spans="2:20" ht="15" customHeight="1">
      <c r="B2895" s="714" t="s">
        <v>3473</v>
      </c>
      <c r="C2895" s="911" t="s">
        <v>3556</v>
      </c>
      <c r="D2895" s="1374">
        <v>46194.85224537037</v>
      </c>
      <c r="E2895" s="715">
        <v>5.42</v>
      </c>
      <c r="F2895" s="654">
        <v>4.4999999999999998E-2</v>
      </c>
      <c r="G2895" s="711">
        <f t="shared" si="59"/>
        <v>5.6753926701570681</v>
      </c>
      <c r="H2895" s="711" t="s">
        <v>1666</v>
      </c>
      <c r="I2895" s="709" t="s">
        <v>2951</v>
      </c>
      <c r="J2895" s="711">
        <v>9.6</v>
      </c>
      <c r="K2895" s="711">
        <v>48.85</v>
      </c>
      <c r="L2895" s="710">
        <f>INT(base[[#This Row],[Data de liquidação]])</f>
        <v>46194</v>
      </c>
      <c r="M2895" s="711">
        <f>base[[#This Row],[L/P Bruto]]-base[[#This Row],[L/P Líquido]]</f>
        <v>0.25539267015706812</v>
      </c>
      <c r="N2895" s="711">
        <f>base[[#This Row],[L/P Líquido]]/base[[#This Row],[Stake/Responsabilidade]]</f>
        <v>0.11095189355168884</v>
      </c>
      <c r="O2895" s="712">
        <f>IF(base[[#This Row],[L/P Líquido]]&gt;0,1,0)</f>
        <v>1</v>
      </c>
      <c r="P2895" s="712"/>
      <c r="Q2895" s="712" t="str">
        <f>LEFT(base[[#This Row],[Evento / Mercado]],FIND("vs",base[[#This Row],[Evento / Mercado]])-2)</f>
        <v>Barra FC</v>
      </c>
      <c r="R289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4" t="str">
        <f>LEFT(base[[#This Row],[Evento / Mercado]],FIND("/",base[[#This Row],[Evento / Mercado]])-2)</f>
        <v>Barra FC vs Amazonas FC</v>
      </c>
      <c r="T2895" s="1420">
        <f>base[[#This Row],[Data de liquidação]]</f>
        <v>46194.85224537037</v>
      </c>
    </row>
    <row r="2896" spans="2:20" ht="15" customHeight="1">
      <c r="B2896" s="714" t="s">
        <v>3472</v>
      </c>
      <c r="C2896" s="911" t="s">
        <v>3556</v>
      </c>
      <c r="D2896" s="1374">
        <v>46194.852777777778</v>
      </c>
      <c r="E2896" s="715">
        <v>38.200000000000003</v>
      </c>
      <c r="F2896" s="654">
        <v>4.4999999999999998E-2</v>
      </c>
      <c r="G2896" s="711">
        <f t="shared" si="59"/>
        <v>40.000000000000007</v>
      </c>
      <c r="H2896" s="711" t="s">
        <v>3188</v>
      </c>
      <c r="I2896" s="709" t="s">
        <v>389</v>
      </c>
      <c r="J2896" s="711">
        <v>3.38</v>
      </c>
      <c r="K2896" s="711">
        <v>40</v>
      </c>
      <c r="L2896" s="710">
        <f>INT(base[[#This Row],[Data de liquidação]])</f>
        <v>46194</v>
      </c>
      <c r="M2896" s="711">
        <f>base[[#This Row],[L/P Bruto]]-base[[#This Row],[L/P Líquido]]</f>
        <v>1.8000000000000043</v>
      </c>
      <c r="N2896" s="711">
        <f>base[[#This Row],[L/P Líquido]]/base[[#This Row],[Stake/Responsabilidade]]</f>
        <v>0.95500000000000007</v>
      </c>
      <c r="O2896" s="712">
        <f>IF(base[[#This Row],[L/P Líquido]]&gt;0,1,0)</f>
        <v>1</v>
      </c>
      <c r="P2896" s="712"/>
      <c r="Q2896" s="712" t="str">
        <f>LEFT(base[[#This Row],[Evento / Mercado]],FIND("vs",base[[#This Row],[Evento / Mercado]])-2)</f>
        <v>Uruguay</v>
      </c>
      <c r="R289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4" t="str">
        <f>LEFT(base[[#This Row],[Evento / Mercado]],FIND("/",base[[#This Row],[Evento / Mercado]])-2)</f>
        <v>Uruguay vs Cape Verde</v>
      </c>
      <c r="T2896" s="1420">
        <f>base[[#This Row],[Data de liquidação]]</f>
        <v>46194.852777777778</v>
      </c>
    </row>
    <row r="2897" spans="2:22" ht="15" customHeight="1">
      <c r="B2897" s="714" t="s">
        <v>3471</v>
      </c>
      <c r="C2897" s="911" t="s">
        <v>3556</v>
      </c>
      <c r="D2897" s="1374">
        <v>46194.878310185188</v>
      </c>
      <c r="E2897" s="715">
        <v>-147.5</v>
      </c>
      <c r="F2897" s="654">
        <v>4.4999999999999998E-2</v>
      </c>
      <c r="G2897" s="711">
        <f t="shared" si="59"/>
        <v>-147.5</v>
      </c>
      <c r="H2897" s="711" t="s">
        <v>3410</v>
      </c>
      <c r="I2897" s="709"/>
      <c r="J2897" s="711">
        <v>11</v>
      </c>
      <c r="K2897" s="711">
        <v>800</v>
      </c>
      <c r="L2897" s="710">
        <f>INT(base[[#This Row],[Data de liquidação]])</f>
        <v>46194</v>
      </c>
      <c r="M2897" s="711">
        <f>base[[#This Row],[L/P Bruto]]-base[[#This Row],[L/P Líquido]]</f>
        <v>0</v>
      </c>
      <c r="N2897" s="711">
        <f>base[[#This Row],[L/P Líquido]]/base[[#This Row],[Stake/Responsabilidade]]</f>
        <v>-0.18437500000000001</v>
      </c>
      <c r="O2897" s="712">
        <f>IF(base[[#This Row],[L/P Líquido]]&gt;0,1,0)</f>
        <v>0</v>
      </c>
      <c r="P2897" s="712"/>
      <c r="Q2897" s="712" t="str">
        <f>LEFT(base[[#This Row],[Evento / Mercado]],FIND("vs",base[[#This Row],[Evento / Mercado]])-2)</f>
        <v>Uruguay</v>
      </c>
      <c r="R289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4" t="str">
        <f>LEFT(base[[#This Row],[Evento / Mercado]],FIND("/",base[[#This Row],[Evento / Mercado]])-2)</f>
        <v>Uruguay vs Cape Verde</v>
      </c>
      <c r="T2897" s="1420">
        <f>base[[#This Row],[Data de liquidação]]</f>
        <v>46194.878310185188</v>
      </c>
    </row>
    <row r="2898" spans="2:22" ht="15" customHeight="1">
      <c r="B2898" s="714" t="s">
        <v>3470</v>
      </c>
      <c r="C2898" s="911" t="s">
        <v>3556</v>
      </c>
      <c r="D2898" s="1374">
        <v>46194.978495370371</v>
      </c>
      <c r="E2898" s="715">
        <v>22.47</v>
      </c>
      <c r="F2898" s="654">
        <v>4.4999999999999998E-2</v>
      </c>
      <c r="G2898" s="711">
        <f t="shared" si="59"/>
        <v>23.528795811518325</v>
      </c>
      <c r="H2898" s="711" t="s">
        <v>3333</v>
      </c>
      <c r="I2898" s="709" t="s">
        <v>16</v>
      </c>
      <c r="J2898" s="711">
        <v>2.02</v>
      </c>
      <c r="K2898" s="711">
        <v>50</v>
      </c>
      <c r="L2898" s="710">
        <f>INT(base[[#This Row],[Data de liquidação]])</f>
        <v>46194</v>
      </c>
      <c r="M2898" s="711">
        <f>base[[#This Row],[L/P Bruto]]-base[[#This Row],[L/P Líquido]]</f>
        <v>1.0587958115183262</v>
      </c>
      <c r="N2898" s="711">
        <f>base[[#This Row],[L/P Líquido]]/base[[#This Row],[Stake/Responsabilidade]]</f>
        <v>0.44939999999999997</v>
      </c>
      <c r="O2898" s="712">
        <f>IF(base[[#This Row],[L/P Líquido]]&gt;0,1,0)</f>
        <v>1</v>
      </c>
      <c r="P2898" s="712"/>
      <c r="Q2898" s="712" t="str">
        <f>LEFT(base[[#This Row],[Evento / Mercado]],FIND("vs",base[[#This Row],[Evento / Mercado]])-2)</f>
        <v>New Zealand</v>
      </c>
      <c r="R289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4" t="str">
        <f>LEFT(base[[#This Row],[Evento / Mercado]],FIND("/",base[[#This Row],[Evento / Mercado]])-2)</f>
        <v>New Zealand vs Egypt</v>
      </c>
      <c r="T2898" s="1420">
        <f>base[[#This Row],[Data de liquidação]]</f>
        <v>46194.978495370371</v>
      </c>
    </row>
    <row r="2899" spans="2:22" ht="15" customHeight="1">
      <c r="B2899" s="714" t="s">
        <v>3469</v>
      </c>
      <c r="C2899" s="911" t="s">
        <v>3556</v>
      </c>
      <c r="D2899" s="1374">
        <v>46195.000428240739</v>
      </c>
      <c r="E2899" s="715">
        <v>15.92</v>
      </c>
      <c r="F2899" s="654">
        <v>4.4999999999999998E-2</v>
      </c>
      <c r="G2899" s="711">
        <f t="shared" si="59"/>
        <v>16.670157068062828</v>
      </c>
      <c r="H2899" s="711" t="s">
        <v>150</v>
      </c>
      <c r="I2899" s="709" t="s">
        <v>75</v>
      </c>
      <c r="J2899" s="711">
        <v>13</v>
      </c>
      <c r="K2899" s="711">
        <v>200.04</v>
      </c>
      <c r="L2899" s="710">
        <f>INT(base[[#This Row],[Data de liquidação]])</f>
        <v>46195</v>
      </c>
      <c r="M2899" s="711">
        <f>base[[#This Row],[L/P Bruto]]-base[[#This Row],[L/P Líquido]]</f>
        <v>0.750157068062828</v>
      </c>
      <c r="N2899" s="711">
        <f>base[[#This Row],[L/P Líquido]]/base[[#This Row],[Stake/Responsabilidade]]</f>
        <v>7.9584083183363324E-2</v>
      </c>
      <c r="O2899" s="712">
        <f>IF(base[[#This Row],[L/P Líquido]]&gt;0,1,0)</f>
        <v>1</v>
      </c>
      <c r="P2899" s="712"/>
      <c r="Q2899" s="712" t="str">
        <f>LEFT(base[[#This Row],[Evento / Mercado]],FIND("vs",base[[#This Row],[Evento / Mercado]])-2)</f>
        <v>New Zealand</v>
      </c>
      <c r="R289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4" t="str">
        <f>LEFT(base[[#This Row],[Evento / Mercado]],FIND("/",base[[#This Row],[Evento / Mercado]])-2)</f>
        <v>New Zealand vs Egypt</v>
      </c>
      <c r="T2899" s="1420">
        <f>base[[#This Row],[Data de liquidação]]</f>
        <v>46195.000428240739</v>
      </c>
    </row>
    <row r="2900" spans="2:22" ht="15" customHeight="1">
      <c r="B2900" s="904" t="s">
        <v>3542</v>
      </c>
      <c r="C2900" s="911" t="s">
        <v>3556</v>
      </c>
      <c r="D2900" s="1375">
        <v>46195.662662037037</v>
      </c>
      <c r="E2900" s="906">
        <v>47.75</v>
      </c>
      <c r="F2900" s="654">
        <v>4.4999999999999998E-2</v>
      </c>
      <c r="G2900" s="907">
        <f t="shared" si="59"/>
        <v>50</v>
      </c>
      <c r="H2900" s="907" t="s">
        <v>3271</v>
      </c>
      <c r="I2900" s="659" t="s">
        <v>627</v>
      </c>
      <c r="J2900" s="907">
        <v>17</v>
      </c>
      <c r="K2900" s="907">
        <v>800</v>
      </c>
      <c r="L2900" s="905">
        <f>INT(base[[#This Row],[Data de liquidação]])</f>
        <v>46195</v>
      </c>
      <c r="M2900" s="907">
        <f>base[[#This Row],[L/P Bruto]]-base[[#This Row],[L/P Líquido]]</f>
        <v>2.25</v>
      </c>
      <c r="N2900" s="907">
        <f>base[[#This Row],[L/P Líquido]]/base[[#This Row],[Stake/Responsabilidade]]</f>
        <v>5.9687499999999998E-2</v>
      </c>
      <c r="O2900" s="909">
        <f>IF(base[[#This Row],[L/P Líquido]]&gt;0,1,0)</f>
        <v>1</v>
      </c>
      <c r="P2900" s="909"/>
      <c r="Q2900" s="909" t="str">
        <f>LEFT(base[[#This Row],[Evento / Mercado]],FIND("vs",base[[#This Row],[Evento / Mercado]])-2)</f>
        <v>Varbergs BoIS</v>
      </c>
      <c r="R290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4" t="str">
        <f>LEFT(base[[#This Row],[Evento / Mercado]],FIND("/",base[[#This Row],[Evento / Mercado]])-2)</f>
        <v>Varbergs BoIS vs Landskrona BoIS</v>
      </c>
      <c r="T2900" s="1420">
        <f>base[[#This Row],[Data de liquidação]]</f>
        <v>46195.662662037037</v>
      </c>
    </row>
    <row r="2901" spans="2:22" ht="15" customHeight="1">
      <c r="B2901" s="904" t="s">
        <v>3541</v>
      </c>
      <c r="C2901" s="911" t="s">
        <v>3556</v>
      </c>
      <c r="D2901" s="1375">
        <v>46195.664097222223</v>
      </c>
      <c r="E2901" s="906">
        <v>-94.12</v>
      </c>
      <c r="F2901" s="654">
        <v>4.4999999999999998E-2</v>
      </c>
      <c r="G2901" s="907">
        <f t="shared" si="59"/>
        <v>-94.12</v>
      </c>
      <c r="H2901" s="907" t="s">
        <v>3271</v>
      </c>
      <c r="I2901" s="659" t="s">
        <v>627</v>
      </c>
      <c r="J2901" s="907">
        <v>18</v>
      </c>
      <c r="K2901" s="907">
        <v>800.02</v>
      </c>
      <c r="L2901" s="905">
        <f>INT(base[[#This Row],[Data de liquidação]])</f>
        <v>46195</v>
      </c>
      <c r="M2901" s="907">
        <f>base[[#This Row],[L/P Bruto]]-base[[#This Row],[L/P Líquido]]</f>
        <v>0</v>
      </c>
      <c r="N2901" s="907">
        <f>base[[#This Row],[L/P Líquido]]/base[[#This Row],[Stake/Responsabilidade]]</f>
        <v>-0.11764705882352942</v>
      </c>
      <c r="O2901" s="909">
        <f>IF(base[[#This Row],[L/P Líquido]]&gt;0,1,0)</f>
        <v>0</v>
      </c>
      <c r="P2901" s="909"/>
      <c r="Q2901" s="909" t="str">
        <f>LEFT(base[[#This Row],[Evento / Mercado]],FIND("vs",base[[#This Row],[Evento / Mercado]])-2)</f>
        <v>IK Oddevold</v>
      </c>
      <c r="R290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4" t="str">
        <f>LEFT(base[[#This Row],[Evento / Mercado]],FIND("/",base[[#This Row],[Evento / Mercado]])-2)</f>
        <v>IK Oddevold vs Ljungskile SK</v>
      </c>
      <c r="T2901" s="1420">
        <f>base[[#This Row],[Data de liquidação]]</f>
        <v>46195.664097222223</v>
      </c>
    </row>
    <row r="2902" spans="2:22" ht="15" customHeight="1">
      <c r="B2902" s="904" t="s">
        <v>3540</v>
      </c>
      <c r="C2902" s="911" t="s">
        <v>3556</v>
      </c>
      <c r="D2902" s="1375">
        <v>46195.664212962962</v>
      </c>
      <c r="E2902" s="906">
        <v>-5</v>
      </c>
      <c r="F2902" s="654">
        <v>4.4999999999999998E-2</v>
      </c>
      <c r="G2902" s="907">
        <f t="shared" si="59"/>
        <v>-5</v>
      </c>
      <c r="H2902" s="907" t="s">
        <v>1666</v>
      </c>
      <c r="I2902" s="908" t="s">
        <v>2883</v>
      </c>
      <c r="J2902" s="907">
        <v>1.67</v>
      </c>
      <c r="K2902" s="907">
        <v>5</v>
      </c>
      <c r="L2902" s="905">
        <f>INT(base[[#This Row],[Data de liquidação]])</f>
        <v>46195</v>
      </c>
      <c r="M2902" s="907">
        <f>base[[#This Row],[L/P Bruto]]-base[[#This Row],[L/P Líquido]]</f>
        <v>0</v>
      </c>
      <c r="N2902" s="907">
        <f>base[[#This Row],[L/P Líquido]]/base[[#This Row],[Stake/Responsabilidade]]</f>
        <v>-1</v>
      </c>
      <c r="O2902" s="909">
        <f>IF(base[[#This Row],[L/P Líquido]]&gt;0,1,0)</f>
        <v>0</v>
      </c>
      <c r="P2902" s="909"/>
      <c r="Q2902" s="909" t="str">
        <f>LEFT(base[[#This Row],[Evento / Mercado]],FIND("vs",base[[#This Row],[Evento / Mercado]])-2)</f>
        <v>IK Oddevold</v>
      </c>
      <c r="R290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4" t="str">
        <f>LEFT(base[[#This Row],[Evento / Mercado]],FIND("/",base[[#This Row],[Evento / Mercado]])-2)</f>
        <v>IK Oddevold vs Ljungskile SK</v>
      </c>
      <c r="T2902" s="1420">
        <f>base[[#This Row],[Data de liquidação]]</f>
        <v>46195.664212962962</v>
      </c>
    </row>
    <row r="2903" spans="2:22" ht="15" customHeight="1">
      <c r="B2903" s="904" t="s">
        <v>3539</v>
      </c>
      <c r="C2903" s="911" t="s">
        <v>3556</v>
      </c>
      <c r="D2903" s="1375">
        <v>46195.668310185189</v>
      </c>
      <c r="E2903" s="906">
        <v>6.62</v>
      </c>
      <c r="F2903" s="654">
        <v>4.4999999999999998E-2</v>
      </c>
      <c r="G2903" s="907">
        <f t="shared" si="59"/>
        <v>6.9319371727748695</v>
      </c>
      <c r="H2903" s="907" t="s">
        <v>3330</v>
      </c>
      <c r="I2903" s="926" t="s">
        <v>3566</v>
      </c>
      <c r="J2903" s="907">
        <v>9.1999999999999993</v>
      </c>
      <c r="K2903" s="907">
        <v>75.03</v>
      </c>
      <c r="L2903" s="905">
        <f>INT(base[[#This Row],[Data de liquidação]])</f>
        <v>46195</v>
      </c>
      <c r="M2903" s="907">
        <f>base[[#This Row],[L/P Bruto]]-base[[#This Row],[L/P Líquido]]</f>
        <v>0.31193717277486943</v>
      </c>
      <c r="N2903" s="907">
        <f>base[[#This Row],[L/P Líquido]]/base[[#This Row],[Stake/Responsabilidade]]</f>
        <v>8.8231374117019853E-2</v>
      </c>
      <c r="O2903" s="909">
        <f>IF(base[[#This Row],[L/P Líquido]]&gt;0,1,0)</f>
        <v>1</v>
      </c>
      <c r="P2903" s="909"/>
      <c r="Q2903" s="909" t="str">
        <f>LEFT(base[[#This Row],[Evento / Mercado]],FIND("vs",base[[#This Row],[Evento / Mercado]])-2)</f>
        <v>Argentina</v>
      </c>
      <c r="R2903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4" t="str">
        <f>LEFT(base[[#This Row],[Evento / Mercado]],FIND("/",base[[#This Row],[Evento / Mercado]])-2)</f>
        <v>Argentina vs Austria</v>
      </c>
      <c r="T2903" s="1420">
        <f>base[[#This Row],[Data de liquidação]]</f>
        <v>46195.668310185189</v>
      </c>
    </row>
    <row r="2904" spans="2:22" ht="15" customHeight="1">
      <c r="B2904" s="904" t="s">
        <v>3539</v>
      </c>
      <c r="C2904" s="911" t="s">
        <v>3555</v>
      </c>
      <c r="D2904" s="1375">
        <v>46195.668310185189</v>
      </c>
      <c r="E2904" s="906">
        <v>48.6</v>
      </c>
      <c r="F2904" s="654">
        <v>4.4999999999999998E-2</v>
      </c>
      <c r="G2904" s="907">
        <f t="shared" si="59"/>
        <v>50.890052356020945</v>
      </c>
      <c r="H2904" s="907" t="s">
        <v>179</v>
      </c>
      <c r="I2904" s="939" t="s">
        <v>3393</v>
      </c>
      <c r="J2904" s="907">
        <v>9</v>
      </c>
      <c r="K2904" s="907">
        <v>400</v>
      </c>
      <c r="L2904" s="905">
        <f>INT(base[[#This Row],[Data de liquidação]])</f>
        <v>46195</v>
      </c>
      <c r="M2904" s="907">
        <f>base[[#This Row],[L/P Bruto]]-base[[#This Row],[L/P Líquido]]</f>
        <v>2.2900523560209436</v>
      </c>
      <c r="N2904" s="907">
        <f>base[[#This Row],[L/P Líquido]]/base[[#This Row],[Stake/Responsabilidade]]</f>
        <v>0.1215</v>
      </c>
      <c r="O2904" s="909">
        <f>IF(base[[#This Row],[L/P Líquido]]&gt;0,1,0)</f>
        <v>1</v>
      </c>
      <c r="P2904" s="909" t="s">
        <v>3331</v>
      </c>
      <c r="Q2904" s="909" t="str">
        <f>LEFT(base[[#This Row],[Evento / Mercado]],FIND("vs",base[[#This Row],[Evento / Mercado]])-2)</f>
        <v>Argentina</v>
      </c>
      <c r="R2904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4" t="str">
        <f>LEFT(base[[#This Row],[Evento / Mercado]],FIND("/",base[[#This Row],[Evento / Mercado]])-2)</f>
        <v>Argentina vs Austria</v>
      </c>
      <c r="T2904" s="1420">
        <f>base[[#This Row],[Data de liquidação]]</f>
        <v>46195.668310185189</v>
      </c>
    </row>
    <row r="2905" spans="2:22" ht="15" customHeight="1">
      <c r="B2905" s="904" t="s">
        <v>3538</v>
      </c>
      <c r="C2905" s="911" t="s">
        <v>3556</v>
      </c>
      <c r="D2905" s="1375">
        <v>46195.734259259261</v>
      </c>
      <c r="E2905" s="906">
        <v>40.22</v>
      </c>
      <c r="F2905" s="654">
        <v>4.4999999999999998E-2</v>
      </c>
      <c r="G2905" s="907">
        <f t="shared" si="59"/>
        <v>42.1151832460733</v>
      </c>
      <c r="H2905" s="907" t="s">
        <v>74</v>
      </c>
      <c r="I2905" s="908" t="s">
        <v>628</v>
      </c>
      <c r="J2905" s="907">
        <v>10.5</v>
      </c>
      <c r="K2905" s="907">
        <v>400.05</v>
      </c>
      <c r="L2905" s="905">
        <f>INT(base[[#This Row],[Data de liquidação]])</f>
        <v>46195</v>
      </c>
      <c r="M2905" s="907">
        <f>base[[#This Row],[L/P Bruto]]-base[[#This Row],[L/P Líquido]]</f>
        <v>1.8951832460733016</v>
      </c>
      <c r="N2905" s="907">
        <f>base[[#This Row],[L/P Líquido]]/base[[#This Row],[Stake/Responsabilidade]]</f>
        <v>0.10053743282089739</v>
      </c>
      <c r="O2905" s="909">
        <f>IF(base[[#This Row],[L/P Líquido]]&gt;0,1,0)</f>
        <v>1</v>
      </c>
      <c r="P2905" s="940" t="s">
        <v>2152</v>
      </c>
      <c r="Q2905" s="909" t="str">
        <f>LEFT(base[[#This Row],[Evento / Mercado]],FIND("vs",base[[#This Row],[Evento / Mercado]])-2)</f>
        <v>Shelbourne FC</v>
      </c>
      <c r="R2905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4" t="str">
        <f>LEFT(base[[#This Row],[Evento / Mercado]],FIND("/",base[[#This Row],[Evento / Mercado]])-2)</f>
        <v>Shelbourne FC vs Bohemian FC</v>
      </c>
      <c r="T2905" s="1420">
        <f>base[[#This Row],[Data de liquidação]]</f>
        <v>46195.734259259261</v>
      </c>
    </row>
    <row r="2906" spans="2:22" ht="15" customHeight="1">
      <c r="B2906" s="904" t="s">
        <v>3537</v>
      </c>
      <c r="C2906" s="911" t="s">
        <v>3556</v>
      </c>
      <c r="D2906" s="1375">
        <v>46195.746782407405</v>
      </c>
      <c r="E2906" s="906">
        <v>-2</v>
      </c>
      <c r="F2906" s="654">
        <v>4.4999999999999998E-2</v>
      </c>
      <c r="G2906" s="907">
        <f t="shared" si="59"/>
        <v>-2</v>
      </c>
      <c r="H2906" s="907" t="s">
        <v>1666</v>
      </c>
      <c r="I2906" s="908" t="s">
        <v>1758</v>
      </c>
      <c r="J2906" s="907">
        <v>2.12</v>
      </c>
      <c r="K2906" s="907">
        <v>2</v>
      </c>
      <c r="L2906" s="905">
        <f>INT(base[[#This Row],[Data de liquidação]])</f>
        <v>46195</v>
      </c>
      <c r="M2906" s="907">
        <f>base[[#This Row],[L/P Bruto]]-base[[#This Row],[L/P Líquido]]</f>
        <v>0</v>
      </c>
      <c r="N2906" s="907">
        <f>base[[#This Row],[L/P Líquido]]/base[[#This Row],[Stake/Responsabilidade]]</f>
        <v>-1</v>
      </c>
      <c r="O2906" s="909">
        <f>IF(base[[#This Row],[L/P Líquido]]&gt;0,1,0)</f>
        <v>0</v>
      </c>
      <c r="P2906" s="909"/>
      <c r="Q2906" s="909" t="str">
        <f>LEFT(base[[#This Row],[Evento / Mercado]],FIND("vs",base[[#This Row],[Evento / Mercado]])-2)</f>
        <v>Shamrock Rovers</v>
      </c>
      <c r="R2906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4" t="str">
        <f>LEFT(base[[#This Row],[Evento / Mercado]],FIND("/",base[[#This Row],[Evento / Mercado]])-2)</f>
        <v>Shamrock Rovers vs Derry City</v>
      </c>
      <c r="T2906" s="1420">
        <f>base[[#This Row],[Data de liquidação]]</f>
        <v>46195.746782407405</v>
      </c>
    </row>
    <row r="2907" spans="2:22" ht="15" customHeight="1">
      <c r="B2907" s="904" t="s">
        <v>3536</v>
      </c>
      <c r="C2907" s="911" t="s">
        <v>3556</v>
      </c>
      <c r="D2907" s="1375">
        <v>46195.746817129628</v>
      </c>
      <c r="E2907" s="906">
        <v>-19.77</v>
      </c>
      <c r="F2907" s="654">
        <v>4.4999999999999998E-2</v>
      </c>
      <c r="G2907" s="907">
        <f t="shared" si="59"/>
        <v>-19.77</v>
      </c>
      <c r="H2907" s="907" t="s">
        <v>3333</v>
      </c>
      <c r="I2907" s="908" t="s">
        <v>13</v>
      </c>
      <c r="J2907" s="907">
        <f>(2.27+3.35)/2</f>
        <v>2.81</v>
      </c>
      <c r="K2907" s="907">
        <v>100</v>
      </c>
      <c r="L2907" s="905">
        <f>INT(base[[#This Row],[Data de liquidação]])</f>
        <v>46195</v>
      </c>
      <c r="M2907" s="907">
        <f>base[[#This Row],[L/P Bruto]]-base[[#This Row],[L/P Líquido]]</f>
        <v>0</v>
      </c>
      <c r="N2907" s="907">
        <f>base[[#This Row],[L/P Líquido]]/base[[#This Row],[Stake/Responsabilidade]]</f>
        <v>-0.19769999999999999</v>
      </c>
      <c r="O2907" s="909">
        <f>IF(base[[#This Row],[L/P Líquido]]&gt;0,1,0)</f>
        <v>0</v>
      </c>
      <c r="P2907" s="909"/>
      <c r="Q2907" s="909" t="str">
        <f>LEFT(base[[#This Row],[Evento / Mercado]],FIND("vs",base[[#This Row],[Evento / Mercado]])-2)</f>
        <v>Shamrock Rovers</v>
      </c>
      <c r="R2907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4" t="str">
        <f>LEFT(base[[#This Row],[Evento / Mercado]],FIND("/",base[[#This Row],[Evento / Mercado]])-2)</f>
        <v>Shamrock Rovers vs Derry City</v>
      </c>
      <c r="T2907" s="1420">
        <f>base[[#This Row],[Data de liquidação]]</f>
        <v>46195.746817129628</v>
      </c>
    </row>
    <row r="2908" spans="2:22" ht="15" customHeight="1">
      <c r="B2908" s="904" t="s">
        <v>3535</v>
      </c>
      <c r="C2908" s="911" t="s">
        <v>3556</v>
      </c>
      <c r="D2908" s="1375">
        <v>46195.756886574076</v>
      </c>
      <c r="E2908" s="906">
        <v>16.25</v>
      </c>
      <c r="F2908" s="654">
        <v>4.4999999999999998E-2</v>
      </c>
      <c r="G2908" s="907">
        <f t="shared" si="59"/>
        <v>17.015706806282722</v>
      </c>
      <c r="H2908" s="907" t="s">
        <v>3334</v>
      </c>
      <c r="I2908" s="659" t="s">
        <v>627</v>
      </c>
      <c r="J2908" s="907">
        <v>48</v>
      </c>
      <c r="K2908" s="907">
        <v>799.94</v>
      </c>
      <c r="L2908" s="905">
        <f>INT(base[[#This Row],[Data de liquidação]])</f>
        <v>46195</v>
      </c>
      <c r="M2908" s="907">
        <f>base[[#This Row],[L/P Bruto]]-base[[#This Row],[L/P Líquido]]</f>
        <v>0.76570680628272214</v>
      </c>
      <c r="N2908" s="907">
        <f>base[[#This Row],[L/P Líquido]]/base[[#This Row],[Stake/Responsabilidade]]</f>
        <v>2.031402355176638E-2</v>
      </c>
      <c r="O2908" s="909">
        <f>IF(base[[#This Row],[L/P Líquido]]&gt;0,1,0)</f>
        <v>1</v>
      </c>
      <c r="P2908" s="909"/>
      <c r="Q2908" s="909" t="str">
        <f>LEFT(base[[#This Row],[Evento / Mercado]],FIND("vs",base[[#This Row],[Evento / Mercado]])-2)</f>
        <v>KR Reykjavik</v>
      </c>
      <c r="R2908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4" t="str">
        <f>LEFT(base[[#This Row],[Evento / Mercado]],FIND("/",base[[#This Row],[Evento / Mercado]])-2)</f>
        <v>KR Reykjavik vs IA Akranes</v>
      </c>
      <c r="T2908" s="1420">
        <f>base[[#This Row],[Data de liquidação]]</f>
        <v>46195.756886574076</v>
      </c>
    </row>
    <row r="2909" spans="2:22" ht="15" customHeight="1">
      <c r="B2909" s="904" t="s">
        <v>3534</v>
      </c>
      <c r="C2909" s="911" t="s">
        <v>3556</v>
      </c>
      <c r="D2909" s="1375">
        <v>46195.908680555556</v>
      </c>
      <c r="E2909" s="906">
        <v>10.323550000000001</v>
      </c>
      <c r="F2909" s="654">
        <v>4.4999999999999998E-2</v>
      </c>
      <c r="G2909" s="907">
        <f t="shared" si="59"/>
        <v>10.810000000000002</v>
      </c>
      <c r="H2909" s="907" t="s">
        <v>179</v>
      </c>
      <c r="I2909" s="939" t="s">
        <v>3393</v>
      </c>
      <c r="J2909" s="907">
        <v>38</v>
      </c>
      <c r="K2909" s="907">
        <v>399.97</v>
      </c>
      <c r="L2909" s="905">
        <f>INT(base[[#This Row],[Data de liquidação]])</f>
        <v>46195</v>
      </c>
      <c r="M2909" s="907">
        <f>base[[#This Row],[L/P Bruto]]-base[[#This Row],[L/P Líquido]]</f>
        <v>0.48645000000000138</v>
      </c>
      <c r="N2909" s="907">
        <f>base[[#This Row],[L/P Líquido]]/base[[#This Row],[Stake/Responsabilidade]]</f>
        <v>2.5810810810810811E-2</v>
      </c>
      <c r="O2909" s="909">
        <f>IF(base[[#This Row],[L/P Líquido]]&gt;0,1,0)</f>
        <v>1</v>
      </c>
      <c r="P2909" s="940" t="s">
        <v>3331</v>
      </c>
      <c r="Q2909" s="909" t="str">
        <f>LEFT(base[[#This Row],[Evento / Mercado]],FIND("vs",base[[#This Row],[Evento / Mercado]])-2)</f>
        <v>France</v>
      </c>
      <c r="R2909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4" t="str">
        <f>LEFT(base[[#This Row],[Evento / Mercado]],FIND("/",base[[#This Row],[Evento / Mercado]])-2)</f>
        <v>France vs Iraq</v>
      </c>
      <c r="T2909" s="142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904" t="s">
        <v>3534</v>
      </c>
      <c r="C2910" s="911" t="s">
        <v>3556</v>
      </c>
      <c r="D2910" s="1375">
        <v>46195.908680555556</v>
      </c>
      <c r="E2910" s="906">
        <v>28.29665</v>
      </c>
      <c r="F2910" s="654">
        <v>4.4999999999999998E-2</v>
      </c>
      <c r="G2910" s="907">
        <f t="shared" si="59"/>
        <v>29.630000000000003</v>
      </c>
      <c r="H2910" s="907" t="s">
        <v>1555</v>
      </c>
      <c r="I2910" s="908"/>
      <c r="J2910" s="907">
        <v>14.5</v>
      </c>
      <c r="K2910" s="907">
        <v>400.01</v>
      </c>
      <c r="L2910" s="905">
        <f>INT(base[[#This Row],[Data de liquidação]])</f>
        <v>46195</v>
      </c>
      <c r="M2910" s="907">
        <f>base[[#This Row],[L/P Bruto]]-base[[#This Row],[L/P Líquido]]</f>
        <v>1.3333500000000029</v>
      </c>
      <c r="N2910" s="907">
        <f>base[[#This Row],[L/P Líquido]]/base[[#This Row],[Stake/Responsabilidade]]</f>
        <v>7.0739856503587412E-2</v>
      </c>
      <c r="O2910" s="909">
        <f>IF(base[[#This Row],[L/P Líquido]]&gt;0,1,0)</f>
        <v>1</v>
      </c>
      <c r="P2910" s="909" t="s">
        <v>3331</v>
      </c>
      <c r="Q2910" s="909" t="str">
        <f>LEFT(base[[#This Row],[Evento / Mercado]],FIND("vs",base[[#This Row],[Evento / Mercado]])-2)</f>
        <v>France</v>
      </c>
      <c r="R291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4" t="str">
        <f>LEFT(base[[#This Row],[Evento / Mercado]],FIND("/",base[[#This Row],[Evento / Mercado]])-2)</f>
        <v>France vs Iraq</v>
      </c>
      <c r="T2910" s="142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904" t="s">
        <v>3533</v>
      </c>
      <c r="C2911" s="911" t="s">
        <v>3556</v>
      </c>
      <c r="D2911" s="1375">
        <v>46195.958194444444</v>
      </c>
      <c r="E2911" s="906">
        <v>16.88</v>
      </c>
      <c r="F2911" s="654">
        <v>4.4999999999999998E-2</v>
      </c>
      <c r="G2911" s="907">
        <f t="shared" si="59"/>
        <v>17.675392670157066</v>
      </c>
      <c r="H2911" s="907" t="s">
        <v>3330</v>
      </c>
      <c r="I2911" s="1248" t="s">
        <v>4368</v>
      </c>
      <c r="J2911" s="907">
        <v>3.3</v>
      </c>
      <c r="K2911" s="907">
        <v>73.39</v>
      </c>
      <c r="L2911" s="905">
        <f>INT(base[[#This Row],[Data de liquidação]])</f>
        <v>46195</v>
      </c>
      <c r="M2911" s="907">
        <f>base[[#This Row],[L/P Bruto]]-base[[#This Row],[L/P Líquido]]</f>
        <v>0.79539267015706727</v>
      </c>
      <c r="N2911" s="907">
        <f>base[[#This Row],[L/P Líquido]]/base[[#This Row],[Stake/Responsabilidade]]</f>
        <v>0.2300040877503747</v>
      </c>
      <c r="O2911" s="909">
        <f>IF(base[[#This Row],[L/P Líquido]]&gt;0,1,0)</f>
        <v>1</v>
      </c>
      <c r="P2911" s="909"/>
      <c r="Q2911" s="909" t="str">
        <f>LEFT(base[[#This Row],[Evento / Mercado]],FIND("vs",base[[#This Row],[Evento / Mercado]])-2)</f>
        <v>Norway</v>
      </c>
      <c r="R291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4" t="str">
        <f>LEFT(base[[#This Row],[Evento / Mercado]],FIND("/",base[[#This Row],[Evento / Mercado]])-2)</f>
        <v>Norway vs Senegal</v>
      </c>
      <c r="T2911" s="1420">
        <f>base[[#This Row],[Data de liquidação]]</f>
        <v>46195.958194444444</v>
      </c>
    </row>
    <row r="2912" spans="2:22" ht="15" customHeight="1">
      <c r="B2912" s="904" t="s">
        <v>3532</v>
      </c>
      <c r="C2912" s="911" t="s">
        <v>3556</v>
      </c>
      <c r="D2912" s="1375">
        <v>46196.083414351851</v>
      </c>
      <c r="E2912" s="906">
        <v>10.06</v>
      </c>
      <c r="F2912" s="654">
        <v>4.4999999999999998E-2</v>
      </c>
      <c r="G2912" s="907">
        <f t="shared" si="59"/>
        <v>10.534031413612567</v>
      </c>
      <c r="H2912" s="907" t="s">
        <v>3334</v>
      </c>
      <c r="I2912" s="633" t="s">
        <v>694</v>
      </c>
      <c r="J2912" s="907">
        <v>20</v>
      </c>
      <c r="K2912" s="907">
        <v>200.07</v>
      </c>
      <c r="L2912" s="905">
        <f>INT(base[[#This Row],[Data de liquidação]])</f>
        <v>46196</v>
      </c>
      <c r="M2912" s="907">
        <f>base[[#This Row],[L/P Bruto]]-base[[#This Row],[L/P Líquido]]</f>
        <v>0.47403141361256651</v>
      </c>
      <c r="N2912" s="907">
        <f>base[[#This Row],[L/P Líquido]]/base[[#This Row],[Stake/Responsabilidade]]</f>
        <v>5.0282401159594148E-2</v>
      </c>
      <c r="O2912" s="909">
        <f>IF(base[[#This Row],[L/P Líquido]]&gt;0,1,0)</f>
        <v>1</v>
      </c>
      <c r="P2912" s="909"/>
      <c r="Q2912" s="909" t="str">
        <f>LEFT(base[[#This Row],[Evento / Mercado]],FIND("vs",base[[#This Row],[Evento / Mercado]])-2)</f>
        <v>Jordan</v>
      </c>
      <c r="R291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4" t="str">
        <f>LEFT(base[[#This Row],[Evento / Mercado]],FIND("/",base[[#This Row],[Evento / Mercado]])-2)</f>
        <v>Jordan vs Algeria</v>
      </c>
      <c r="T2912" s="1420">
        <f>base[[#This Row],[Data de liquidação]]</f>
        <v>46196.083414351851</v>
      </c>
    </row>
    <row r="2913" spans="2:22" ht="15" customHeight="1">
      <c r="B2913" s="911" t="s">
        <v>3548</v>
      </c>
      <c r="C2913" s="911" t="s">
        <v>3556</v>
      </c>
      <c r="D2913" s="1376">
        <v>46196.579629629632</v>
      </c>
      <c r="E2913" s="913">
        <v>5.83</v>
      </c>
      <c r="F2913" s="654">
        <v>4.4999999999999998E-2</v>
      </c>
      <c r="G2913" s="914">
        <f t="shared" si="59"/>
        <v>6.1047120418848166</v>
      </c>
      <c r="H2913" s="914" t="s">
        <v>1666</v>
      </c>
      <c r="I2913" s="915" t="s">
        <v>2951</v>
      </c>
      <c r="J2913" s="914">
        <v>9</v>
      </c>
      <c r="K2913" s="914">
        <v>48.8</v>
      </c>
      <c r="L2913" s="912">
        <f>INT(base[[#This Row],[Data de liquidação]])</f>
        <v>46196</v>
      </c>
      <c r="M2913" s="914">
        <f>base[[#This Row],[L/P Bruto]]-base[[#This Row],[L/P Líquido]]</f>
        <v>0.27471204188481657</v>
      </c>
      <c r="N2913" s="914">
        <f>base[[#This Row],[L/P Líquido]]/base[[#This Row],[Stake/Responsabilidade]]</f>
        <v>0.11946721311475411</v>
      </c>
      <c r="O2913" s="916">
        <f>IF(base[[#This Row],[L/P Líquido]]&gt;0,1,0)</f>
        <v>1</v>
      </c>
      <c r="P2913" s="916"/>
      <c r="Q2913" s="916" t="str">
        <f>LEFT(base[[#This Row],[Evento / Mercado]],FIND("vs",base[[#This Row],[Evento / Mercado]])-2)</f>
        <v>FC Lahti</v>
      </c>
      <c r="R291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4" t="str">
        <f>LEFT(base[[#This Row],[Evento / Mercado]],FIND("/",base[[#This Row],[Evento / Mercado]])-2)</f>
        <v>FC Lahti vs TPS</v>
      </c>
      <c r="T2913" s="1420">
        <f>base[[#This Row],[Data de liquidação]]</f>
        <v>46196.579629629632</v>
      </c>
    </row>
    <row r="2914" spans="2:22" ht="15" customHeight="1">
      <c r="B2914" s="911" t="s">
        <v>3547</v>
      </c>
      <c r="C2914" s="911" t="s">
        <v>3556</v>
      </c>
      <c r="D2914" s="1376">
        <v>46196.621238425927</v>
      </c>
      <c r="E2914" s="913">
        <v>34.46555</v>
      </c>
      <c r="F2914" s="654">
        <v>4.4999999999999998E-2</v>
      </c>
      <c r="G2914" s="914">
        <f t="shared" si="59"/>
        <v>36.089581151832462</v>
      </c>
      <c r="H2914" s="914" t="s">
        <v>3330</v>
      </c>
      <c r="I2914" s="1248" t="s">
        <v>4367</v>
      </c>
      <c r="J2914" s="914">
        <f>(5.6*74.98+2.12*73.68)/base[[#This Row],[Stake/Responsabilidade]]</f>
        <v>3.875215928965424</v>
      </c>
      <c r="K2914" s="914">
        <f>74.98+73.68</f>
        <v>148.66000000000003</v>
      </c>
      <c r="L2914" s="912">
        <f>INT(base[[#This Row],[Data de liquidação]])</f>
        <v>46196</v>
      </c>
      <c r="M2914" s="914">
        <f>base[[#This Row],[L/P Bruto]]-base[[#This Row],[L/P Líquido]]</f>
        <v>1.6240311518324617</v>
      </c>
      <c r="N2914" s="914">
        <f>base[[#This Row],[L/P Líquido]]/base[[#This Row],[Stake/Responsabilidade]]</f>
        <v>0.2318414502892506</v>
      </c>
      <c r="O2914" s="916">
        <f>IF(base[[#This Row],[L/P Líquido]]&gt;0,1,0)</f>
        <v>1</v>
      </c>
      <c r="P2914" s="916"/>
      <c r="Q2914" s="916" t="str">
        <f>LEFT(base[[#This Row],[Evento / Mercado]],FIND("vs",base[[#This Row],[Evento / Mercado]])-2)</f>
        <v>FC Inter Turku</v>
      </c>
      <c r="R291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4" t="str">
        <f>LEFT(base[[#This Row],[Evento / Mercado]],FIND("/",base[[#This Row],[Evento / Mercado]])-2)</f>
        <v>FC Inter Turku vs SJK</v>
      </c>
      <c r="T2914" s="1420">
        <f>base[[#This Row],[Data de liquidação]]</f>
        <v>46196.621238425927</v>
      </c>
      <c r="V2914" s="11"/>
    </row>
    <row r="2915" spans="2:22" ht="15" customHeight="1">
      <c r="B2915" s="911" t="s">
        <v>3547</v>
      </c>
      <c r="C2915" s="911" t="s">
        <v>3556</v>
      </c>
      <c r="D2915" s="1376">
        <v>46196.621238425927</v>
      </c>
      <c r="E2915" s="913">
        <v>25.584449999999997</v>
      </c>
      <c r="F2915" s="654">
        <v>4.4999999999999998E-2</v>
      </c>
      <c r="G2915" s="914">
        <f t="shared" si="59"/>
        <v>26.79</v>
      </c>
      <c r="H2915" s="914" t="s">
        <v>1666</v>
      </c>
      <c r="I2915" s="915" t="s">
        <v>1777</v>
      </c>
      <c r="J2915" s="914">
        <v>2.08</v>
      </c>
      <c r="K2915" s="914">
        <v>28.93</v>
      </c>
      <c r="L2915" s="912">
        <f>INT(base[[#This Row],[Data de liquidação]])</f>
        <v>46196</v>
      </c>
      <c r="M2915" s="914">
        <f>base[[#This Row],[L/P Bruto]]-base[[#This Row],[L/P Líquido]]</f>
        <v>1.2055500000000023</v>
      </c>
      <c r="N2915" s="914">
        <f>base[[#This Row],[L/P Líquido]]/base[[#This Row],[Stake/Responsabilidade]]</f>
        <v>0.88435706878672649</v>
      </c>
      <c r="O2915" s="916">
        <f>IF(base[[#This Row],[L/P Líquido]]&gt;0,1,0)</f>
        <v>1</v>
      </c>
      <c r="P2915" s="916"/>
      <c r="Q2915" s="916" t="str">
        <f>LEFT(base[[#This Row],[Evento / Mercado]],FIND("vs",base[[#This Row],[Evento / Mercado]])-2)</f>
        <v>FC Inter Turku</v>
      </c>
      <c r="R291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4" t="str">
        <f>LEFT(base[[#This Row],[Evento / Mercado]],FIND("/",base[[#This Row],[Evento / Mercado]])-2)</f>
        <v>FC Inter Turku vs SJK</v>
      </c>
      <c r="T2915" s="142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911" t="s">
        <v>3546</v>
      </c>
      <c r="C2916" s="911" t="s">
        <v>3556</v>
      </c>
      <c r="D2916" s="1376">
        <v>46196.621261574073</v>
      </c>
      <c r="E2916" s="913">
        <v>0.49</v>
      </c>
      <c r="F2916" s="654">
        <v>4.4999999999999998E-2</v>
      </c>
      <c r="G2916" s="914">
        <f t="shared" si="59"/>
        <v>0.51308900523560208</v>
      </c>
      <c r="H2916" s="914" t="s">
        <v>3333</v>
      </c>
      <c r="I2916" s="915" t="s">
        <v>13</v>
      </c>
      <c r="J2916" s="914">
        <v>1.97</v>
      </c>
      <c r="K2916" s="914">
        <v>50</v>
      </c>
      <c r="L2916" s="912">
        <f>INT(base[[#This Row],[Data de liquidação]])</f>
        <v>46196</v>
      </c>
      <c r="M2916" s="914">
        <f>base[[#This Row],[L/P Bruto]]-base[[#This Row],[L/P Líquido]]</f>
        <v>2.3089005235602089E-2</v>
      </c>
      <c r="N2916" s="914">
        <f>base[[#This Row],[L/P Líquido]]/base[[#This Row],[Stake/Responsabilidade]]</f>
        <v>9.7999999999999997E-3</v>
      </c>
      <c r="O2916" s="916">
        <f>IF(base[[#This Row],[L/P Líquido]]&gt;0,1,0)</f>
        <v>1</v>
      </c>
      <c r="P2916" s="916"/>
      <c r="Q2916" s="916" t="str">
        <f>LEFT(base[[#This Row],[Evento / Mercado]],FIND("vs",base[[#This Row],[Evento / Mercado]])-2)</f>
        <v>FC Inter Turku</v>
      </c>
      <c r="R291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4" t="str">
        <f>LEFT(base[[#This Row],[Evento / Mercado]],FIND("/",base[[#This Row],[Evento / Mercado]])-2)</f>
        <v>FC Inter Turku vs SJK</v>
      </c>
      <c r="T2916" s="1420">
        <f>base[[#This Row],[Data de liquidação]]</f>
        <v>46196.621261574073</v>
      </c>
    </row>
    <row r="2917" spans="2:22" ht="15" customHeight="1">
      <c r="B2917" s="911" t="s">
        <v>3552</v>
      </c>
      <c r="C2917" s="911" t="s">
        <v>3555</v>
      </c>
      <c r="D2917" s="1376">
        <v>46196.666620370372</v>
      </c>
      <c r="E2917" s="913">
        <v>16.2</v>
      </c>
      <c r="F2917" s="654">
        <v>4.4999999999999998E-2</v>
      </c>
      <c r="G2917" s="914">
        <f t="shared" si="59"/>
        <v>16.963350785340314</v>
      </c>
      <c r="H2917" s="914" t="s">
        <v>179</v>
      </c>
      <c r="I2917" s="939" t="s">
        <v>3393</v>
      </c>
      <c r="J2917" s="914">
        <v>25</v>
      </c>
      <c r="K2917" s="914">
        <v>400.08</v>
      </c>
      <c r="L2917" s="912">
        <f>INT(base[[#This Row],[Data de liquidação]])</f>
        <v>46196</v>
      </c>
      <c r="M2917" s="914">
        <f>base[[#This Row],[L/P Bruto]]-base[[#This Row],[L/P Líquido]]</f>
        <v>0.76335078534031453</v>
      </c>
      <c r="N2917" s="914">
        <f>base[[#This Row],[L/P Líquido]]/base[[#This Row],[Stake/Responsabilidade]]</f>
        <v>4.0491901619676064E-2</v>
      </c>
      <c r="O2917" s="916">
        <f>IF(base[[#This Row],[L/P Líquido]]&gt;0,1,0)</f>
        <v>1</v>
      </c>
      <c r="P2917" s="916" t="s">
        <v>3331</v>
      </c>
      <c r="Q2917" s="916" t="str">
        <f>LEFT(base[[#This Row],[Evento / Mercado]],FIND("vs",base[[#This Row],[Evento / Mercado]])-2)</f>
        <v>Portugal</v>
      </c>
      <c r="R291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4" t="str">
        <f>LEFT(base[[#This Row],[Evento / Mercado]],FIND("/",base[[#This Row],[Evento / Mercado]])-2)</f>
        <v>Portugal vs Uzbekistan</v>
      </c>
      <c r="T2917" s="1420">
        <f>base[[#This Row],[Data de liquidação]]</f>
        <v>46196.666620370372</v>
      </c>
    </row>
    <row r="2918" spans="2:22" ht="15" customHeight="1">
      <c r="B2918" s="911" t="s">
        <v>3551</v>
      </c>
      <c r="C2918" s="911" t="s">
        <v>3555</v>
      </c>
      <c r="D2918" s="1376">
        <v>46196.79210648148</v>
      </c>
      <c r="E2918" s="913">
        <v>19.440000000000001</v>
      </c>
      <c r="F2918" s="654">
        <v>4.4999999999999998E-2</v>
      </c>
      <c r="G2918" s="914">
        <f t="shared" si="59"/>
        <v>20.356020942408378</v>
      </c>
      <c r="H2918" s="914" t="s">
        <v>179</v>
      </c>
      <c r="I2918" s="939" t="s">
        <v>3393</v>
      </c>
      <c r="J2918" s="914">
        <v>21</v>
      </c>
      <c r="K2918" s="914">
        <v>400</v>
      </c>
      <c r="L2918" s="912">
        <f>INT(base[[#This Row],[Data de liquidação]])</f>
        <v>46196</v>
      </c>
      <c r="M2918" s="914">
        <f>base[[#This Row],[L/P Bruto]]-base[[#This Row],[L/P Líquido]]</f>
        <v>0.91602094240837673</v>
      </c>
      <c r="N2918" s="914">
        <f>base[[#This Row],[L/P Líquido]]/base[[#This Row],[Stake/Responsabilidade]]</f>
        <v>4.8600000000000004E-2</v>
      </c>
      <c r="O2918" s="916">
        <f>IF(base[[#This Row],[L/P Líquido]]&gt;0,1,0)</f>
        <v>1</v>
      </c>
      <c r="P2918" s="916" t="s">
        <v>3331</v>
      </c>
      <c r="Q2918" s="916" t="str">
        <f>LEFT(base[[#This Row],[Evento / Mercado]],FIND("vs",base[[#This Row],[Evento / Mercado]])-2)</f>
        <v>England</v>
      </c>
      <c r="R2918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4" t="str">
        <f>LEFT(base[[#This Row],[Evento / Mercado]],FIND("/",base[[#This Row],[Evento / Mercado]])-2)</f>
        <v>England vs Ghana</v>
      </c>
      <c r="T2918" s="1420">
        <f>base[[#This Row],[Data de liquidação]]</f>
        <v>46196.79210648148</v>
      </c>
      <c r="V2918" s="11"/>
    </row>
    <row r="2919" spans="2:22" ht="15" customHeight="1">
      <c r="B2919" s="911" t="s">
        <v>3545</v>
      </c>
      <c r="C2919" s="911" t="s">
        <v>3556</v>
      </c>
      <c r="D2919" s="1376">
        <v>46196.912569444445</v>
      </c>
      <c r="E2919" s="913">
        <v>27.28</v>
      </c>
      <c r="F2919" s="654">
        <v>4.4999999999999998E-2</v>
      </c>
      <c r="G2919" s="914">
        <f t="shared" si="59"/>
        <v>28.565445026178011</v>
      </c>
      <c r="H2919" s="914" t="s">
        <v>3334</v>
      </c>
      <c r="I2919" s="915" t="s">
        <v>694</v>
      </c>
      <c r="J2919" s="914">
        <v>29</v>
      </c>
      <c r="K2919" s="914">
        <v>799.96</v>
      </c>
      <c r="L2919" s="912">
        <f>INT(base[[#This Row],[Data de liquidação]])</f>
        <v>46196</v>
      </c>
      <c r="M2919" s="914">
        <f>base[[#This Row],[L/P Bruto]]-base[[#This Row],[L/P Líquido]]</f>
        <v>1.2854450261780102</v>
      </c>
      <c r="N2919" s="914">
        <f>base[[#This Row],[L/P Líquido]]/base[[#This Row],[Stake/Responsabilidade]]</f>
        <v>3.4101705085254265E-2</v>
      </c>
      <c r="O2919" s="916">
        <f>IF(base[[#This Row],[L/P Líquido]]&gt;0,1,0)</f>
        <v>1</v>
      </c>
      <c r="P2919" s="916"/>
      <c r="Q2919" s="916" t="str">
        <f>LEFT(base[[#This Row],[Evento / Mercado]],FIND("vs",base[[#This Row],[Evento / Mercado]])-2)</f>
        <v>Panama</v>
      </c>
      <c r="R291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4" t="str">
        <f>LEFT(base[[#This Row],[Evento / Mercado]],FIND("/",base[[#This Row],[Evento / Mercado]])-2)</f>
        <v>Panama vs Croatia</v>
      </c>
      <c r="T2919" s="1420">
        <f>base[[#This Row],[Data de liquidação]]</f>
        <v>46196.912569444445</v>
      </c>
    </row>
    <row r="2920" spans="2:22" ht="15" customHeight="1">
      <c r="B2920" s="911" t="s">
        <v>3545</v>
      </c>
      <c r="C2920" s="911" t="s">
        <v>3555</v>
      </c>
      <c r="D2920" s="1376">
        <v>46196.912569444445</v>
      </c>
      <c r="E2920" s="913">
        <v>34.54</v>
      </c>
      <c r="F2920" s="654">
        <v>4.4999999999999998E-2</v>
      </c>
      <c r="G2920" s="914">
        <f t="shared" si="59"/>
        <v>36.167539267015705</v>
      </c>
      <c r="H2920" s="914" t="s">
        <v>3209</v>
      </c>
      <c r="I2920" s="915" t="s">
        <v>3210</v>
      </c>
      <c r="J2920" s="914"/>
      <c r="K2920" s="914">
        <v>100</v>
      </c>
      <c r="L2920" s="912">
        <f>INT(base[[#This Row],[Data de liquidação]])</f>
        <v>46196</v>
      </c>
      <c r="M2920" s="914">
        <f>base[[#This Row],[L/P Bruto]]-base[[#This Row],[L/P Líquido]]</f>
        <v>1.6275392670157061</v>
      </c>
      <c r="N2920" s="914">
        <f>base[[#This Row],[L/P Líquido]]/base[[#This Row],[Stake/Responsabilidade]]</f>
        <v>0.34539999999999998</v>
      </c>
      <c r="O2920" s="916">
        <f>IF(base[[#This Row],[L/P Líquido]]&gt;0,1,0)</f>
        <v>1</v>
      </c>
      <c r="P2920" s="916"/>
      <c r="Q2920" s="916" t="str">
        <f>LEFT(base[[#This Row],[Evento / Mercado]],FIND("vs",base[[#This Row],[Evento / Mercado]])-2)</f>
        <v>Panama</v>
      </c>
      <c r="R292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4" t="str">
        <f>LEFT(base[[#This Row],[Evento / Mercado]],FIND("/",base[[#This Row],[Evento / Mercado]])-2)</f>
        <v>Panama vs Croatia</v>
      </c>
      <c r="T2920" s="1420">
        <f>base[[#This Row],[Data de liquidação]]</f>
        <v>46196.912569444445</v>
      </c>
    </row>
    <row r="2921" spans="2:22" ht="15" customHeight="1">
      <c r="B2921" s="911" t="s">
        <v>3550</v>
      </c>
      <c r="C2921" s="911" t="s">
        <v>3555</v>
      </c>
      <c r="D2921" s="1376">
        <v>46196.912824074076</v>
      </c>
      <c r="E2921" s="913">
        <v>57.17</v>
      </c>
      <c r="F2921" s="654">
        <v>4.4999999999999998E-2</v>
      </c>
      <c r="G2921" s="914">
        <f t="shared" si="59"/>
        <v>59.863874345549739</v>
      </c>
      <c r="H2921" s="914" t="s">
        <v>179</v>
      </c>
      <c r="I2921" s="939" t="s">
        <v>3393</v>
      </c>
      <c r="J2921" s="914">
        <v>7.8</v>
      </c>
      <c r="K2921" s="914">
        <v>399.98</v>
      </c>
      <c r="L2921" s="912">
        <f>INT(base[[#This Row],[Data de liquidação]])</f>
        <v>46196</v>
      </c>
      <c r="M2921" s="914">
        <f>base[[#This Row],[L/P Bruto]]-base[[#This Row],[L/P Líquido]]</f>
        <v>2.6938743455497374</v>
      </c>
      <c r="N2921" s="914">
        <f>base[[#This Row],[L/P Líquido]]/base[[#This Row],[Stake/Responsabilidade]]</f>
        <v>0.14293214660733036</v>
      </c>
      <c r="O2921" s="916">
        <f>IF(base[[#This Row],[L/P Líquido]]&gt;0,1,0)</f>
        <v>1</v>
      </c>
      <c r="P2921" s="916" t="s">
        <v>3331</v>
      </c>
      <c r="Q2921" s="916" t="str">
        <f>LEFT(base[[#This Row],[Evento / Mercado]],FIND("vs",base[[#This Row],[Evento / Mercado]])-2)</f>
        <v>Panama</v>
      </c>
      <c r="R292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4" t="str">
        <f>LEFT(base[[#This Row],[Evento / Mercado]],FIND("/",base[[#This Row],[Evento / Mercado]])-2)</f>
        <v>Panama vs Croatia</v>
      </c>
      <c r="T2921" s="1420">
        <f>base[[#This Row],[Data de liquidação]]</f>
        <v>46196.912824074076</v>
      </c>
    </row>
    <row r="2922" spans="2:22" ht="15" customHeight="1">
      <c r="B2922" s="911" t="s">
        <v>3550</v>
      </c>
      <c r="C2922" s="911" t="s">
        <v>3554</v>
      </c>
      <c r="D2922" s="1376">
        <v>46196.912824074076</v>
      </c>
      <c r="E2922" s="913">
        <v>47.75</v>
      </c>
      <c r="F2922" s="654">
        <v>4.4999999999999998E-2</v>
      </c>
      <c r="G2922" s="914">
        <f t="shared" si="59"/>
        <v>50</v>
      </c>
      <c r="H2922" s="914" t="s">
        <v>3253</v>
      </c>
      <c r="I2922" s="915" t="s">
        <v>1555</v>
      </c>
      <c r="J2922" s="914">
        <v>5</v>
      </c>
      <c r="K2922" s="914">
        <v>200</v>
      </c>
      <c r="L2922" s="912">
        <f>INT(base[[#This Row],[Data de liquidação]])</f>
        <v>46196</v>
      </c>
      <c r="M2922" s="914">
        <f>base[[#This Row],[L/P Bruto]]-base[[#This Row],[L/P Líquido]]</f>
        <v>2.25</v>
      </c>
      <c r="N2922" s="914">
        <f>base[[#This Row],[L/P Líquido]]/base[[#This Row],[Stake/Responsabilidade]]</f>
        <v>0.23874999999999999</v>
      </c>
      <c r="O2922" s="916">
        <f>IF(base[[#This Row],[L/P Líquido]]&gt;0,1,0)</f>
        <v>1</v>
      </c>
      <c r="P2922" s="916"/>
      <c r="Q2922" s="916" t="str">
        <f>LEFT(base[[#This Row],[Evento / Mercado]],FIND("vs",base[[#This Row],[Evento / Mercado]])-2)</f>
        <v>Panama</v>
      </c>
      <c r="R292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4" t="str">
        <f>LEFT(base[[#This Row],[Evento / Mercado]],FIND("/",base[[#This Row],[Evento / Mercado]])-2)</f>
        <v>Panama vs Croatia</v>
      </c>
      <c r="T2922" s="1420">
        <f>base[[#This Row],[Data de liquidação]]</f>
        <v>46196.912824074076</v>
      </c>
    </row>
    <row r="2923" spans="2:22" ht="15" customHeight="1">
      <c r="B2923" s="911" t="s">
        <v>3545</v>
      </c>
      <c r="C2923" s="911" t="s">
        <v>3554</v>
      </c>
      <c r="D2923" s="1376">
        <v>46196.912824074076</v>
      </c>
      <c r="E2923" s="913">
        <v>-21.06</v>
      </c>
      <c r="F2923" s="654">
        <v>4.4999999999999998E-2</v>
      </c>
      <c r="G2923" s="914">
        <f t="shared" si="59"/>
        <v>-21.06</v>
      </c>
      <c r="H2923" s="914" t="s">
        <v>3253</v>
      </c>
      <c r="I2923" s="915" t="s">
        <v>3254</v>
      </c>
      <c r="J2923" s="914">
        <v>10.5</v>
      </c>
      <c r="K2923" s="914">
        <f>10.53*2</f>
        <v>21.06</v>
      </c>
      <c r="L2923" s="912">
        <f>INT(base[[#This Row],[Data de liquidação]])</f>
        <v>46196</v>
      </c>
      <c r="M2923" s="914">
        <f>base[[#This Row],[L/P Bruto]]-base[[#This Row],[L/P Líquido]]</f>
        <v>0</v>
      </c>
      <c r="N2923" s="914">
        <f>base[[#This Row],[L/P Líquido]]/base[[#This Row],[Stake/Responsabilidade]]</f>
        <v>-1</v>
      </c>
      <c r="O2923" s="916">
        <f>IF(base[[#This Row],[L/P Líquido]]&gt;0,1,0)</f>
        <v>0</v>
      </c>
      <c r="P2923" s="916"/>
      <c r="Q2923" s="916" t="str">
        <f>LEFT(base[[#This Row],[Evento / Mercado]],FIND("vs",base[[#This Row],[Evento / Mercado]])-2)</f>
        <v>Panama</v>
      </c>
      <c r="R292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4" t="str">
        <f>LEFT(base[[#This Row],[Evento / Mercado]],FIND("/",base[[#This Row],[Evento / Mercado]])-2)</f>
        <v>Panama vs Croatia</v>
      </c>
      <c r="T2923" s="1420">
        <f>base[[#This Row],[Data de liquidação]]</f>
        <v>46196.912824074076</v>
      </c>
    </row>
    <row r="2924" spans="2:22" ht="15" customHeight="1">
      <c r="B2924" s="911" t="s">
        <v>3544</v>
      </c>
      <c r="C2924" s="911" t="s">
        <v>3556</v>
      </c>
      <c r="D2924" s="1376">
        <v>46197.040196759262</v>
      </c>
      <c r="E2924" s="913">
        <v>-16.93</v>
      </c>
      <c r="F2924" s="654">
        <v>4.4999999999999998E-2</v>
      </c>
      <c r="G2924" s="914">
        <f t="shared" si="59"/>
        <v>-16.93</v>
      </c>
      <c r="H2924" s="914" t="s">
        <v>3334</v>
      </c>
      <c r="I2924" s="915" t="s">
        <v>627</v>
      </c>
      <c r="J2924" s="914">
        <v>18.5</v>
      </c>
      <c r="K2924" s="914">
        <v>799.93</v>
      </c>
      <c r="L2924" s="912">
        <f>INT(base[[#This Row],[Data de liquidação]])</f>
        <v>46197</v>
      </c>
      <c r="M2924" s="914">
        <f>base[[#This Row],[L/P Bruto]]-base[[#This Row],[L/P Líquido]]</f>
        <v>0</v>
      </c>
      <c r="N2924" s="914">
        <f>base[[#This Row],[L/P Líquido]]/base[[#This Row],[Stake/Responsabilidade]]</f>
        <v>-2.1164351880789571E-2</v>
      </c>
      <c r="O2924" s="916">
        <f>IF(base[[#This Row],[L/P Líquido]]&gt;0,1,0)</f>
        <v>0</v>
      </c>
      <c r="P2924" s="916"/>
      <c r="Q2924" s="916" t="str">
        <f>LEFT(base[[#This Row],[Evento / Mercado]],FIND("vs",base[[#This Row],[Evento / Mercado]])-2)</f>
        <v>Colombia</v>
      </c>
      <c r="R292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4" t="str">
        <f>LEFT(base[[#This Row],[Evento / Mercado]],FIND("/",base[[#This Row],[Evento / Mercado]])-2)</f>
        <v>Colombia vs Congo DR</v>
      </c>
      <c r="T2924" s="1420">
        <f>base[[#This Row],[Data de liquidação]]</f>
        <v>46197.040196759262</v>
      </c>
    </row>
    <row r="2925" spans="2:22" ht="15" customHeight="1">
      <c r="B2925" s="911" t="s">
        <v>3544</v>
      </c>
      <c r="C2925" s="911" t="s">
        <v>3555</v>
      </c>
      <c r="D2925" s="1376">
        <v>46197.040196759262</v>
      </c>
      <c r="E2925" s="913">
        <v>18.19275</v>
      </c>
      <c r="F2925" s="654">
        <v>4.4999999999999998E-2</v>
      </c>
      <c r="G2925" s="914">
        <f t="shared" si="59"/>
        <v>19.05</v>
      </c>
      <c r="H2925" s="914" t="s">
        <v>150</v>
      </c>
      <c r="I2925" s="915" t="s">
        <v>75</v>
      </c>
      <c r="J2925" s="914">
        <v>11.5</v>
      </c>
      <c r="K2925" s="914">
        <v>200.03</v>
      </c>
      <c r="L2925" s="912">
        <f>INT(base[[#This Row],[Data de liquidação]])</f>
        <v>46197</v>
      </c>
      <c r="M2925" s="914">
        <f>base[[#This Row],[L/P Bruto]]-base[[#This Row],[L/P Líquido]]</f>
        <v>0.85725000000000051</v>
      </c>
      <c r="N2925" s="914">
        <f>base[[#This Row],[L/P Líquido]]/base[[#This Row],[Stake/Responsabilidade]]</f>
        <v>9.0950107483877413E-2</v>
      </c>
      <c r="O2925" s="916">
        <f>IF(base[[#This Row],[L/P Líquido]]&gt;0,1,0)</f>
        <v>1</v>
      </c>
      <c r="P2925" s="916" t="s">
        <v>3331</v>
      </c>
      <c r="Q2925" s="916" t="str">
        <f>LEFT(base[[#This Row],[Evento / Mercado]],FIND("vs",base[[#This Row],[Evento / Mercado]])-2)</f>
        <v>Colombia</v>
      </c>
      <c r="R292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4" t="str">
        <f>LEFT(base[[#This Row],[Evento / Mercado]],FIND("/",base[[#This Row],[Evento / Mercado]])-2)</f>
        <v>Colombia vs Congo DR</v>
      </c>
      <c r="T2925" s="142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911" t="s">
        <v>3544</v>
      </c>
      <c r="C2926" s="911" t="s">
        <v>3555</v>
      </c>
      <c r="D2926" s="1376">
        <v>46197.040196759262</v>
      </c>
      <c r="E2926" s="913">
        <v>29.957249999999998</v>
      </c>
      <c r="F2926" s="654">
        <v>4.4999999999999998E-2</v>
      </c>
      <c r="G2926" s="914">
        <f t="shared" si="59"/>
        <v>31.368848167539266</v>
      </c>
      <c r="H2926" s="914" t="s">
        <v>3209</v>
      </c>
      <c r="I2926" s="915" t="s">
        <v>3210</v>
      </c>
      <c r="J2926" s="914"/>
      <c r="K2926" s="914">
        <v>100</v>
      </c>
      <c r="L2926" s="912">
        <f>INT(base[[#This Row],[Data de liquidação]])</f>
        <v>46197</v>
      </c>
      <c r="M2926" s="914">
        <f>base[[#This Row],[L/P Bruto]]-base[[#This Row],[L/P Líquido]]</f>
        <v>1.4115981675392675</v>
      </c>
      <c r="N2926" s="914">
        <f>base[[#This Row],[L/P Líquido]]/base[[#This Row],[Stake/Responsabilidade]]</f>
        <v>0.29957249999999996</v>
      </c>
      <c r="O2926" s="916">
        <f>IF(base[[#This Row],[L/P Líquido]]&gt;0,1,0)</f>
        <v>1</v>
      </c>
      <c r="P2926" s="916"/>
      <c r="Q2926" s="916" t="str">
        <f>LEFT(base[[#This Row],[Evento / Mercado]],FIND("vs",base[[#This Row],[Evento / Mercado]])-2)</f>
        <v>Colombia</v>
      </c>
      <c r="R292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4" t="str">
        <f>LEFT(base[[#This Row],[Evento / Mercado]],FIND("/",base[[#This Row],[Evento / Mercado]])-2)</f>
        <v>Colombia vs Congo DR</v>
      </c>
      <c r="T2926" s="1420">
        <f>base[[#This Row],[Data de liquidação]]</f>
        <v>46197.040196759262</v>
      </c>
    </row>
    <row r="2927" spans="2:22" ht="15" customHeight="1">
      <c r="B2927" s="911" t="s">
        <v>3549</v>
      </c>
      <c r="C2927" s="911" t="s">
        <v>3555</v>
      </c>
      <c r="D2927" s="1376">
        <v>46197.04042824074</v>
      </c>
      <c r="E2927" s="913">
        <v>58.91</v>
      </c>
      <c r="F2927" s="654">
        <v>4.4999999999999998E-2</v>
      </c>
      <c r="G2927" s="914">
        <f t="shared" si="59"/>
        <v>61.68586387434555</v>
      </c>
      <c r="H2927" s="914" t="s">
        <v>179</v>
      </c>
      <c r="I2927" s="939" t="s">
        <v>3393</v>
      </c>
      <c r="J2927" s="914">
        <v>7.6</v>
      </c>
      <c r="K2927" s="914">
        <v>400.03</v>
      </c>
      <c r="L2927" s="912">
        <f>INT(base[[#This Row],[Data de liquidação]])</f>
        <v>46197</v>
      </c>
      <c r="M2927" s="914">
        <f>base[[#This Row],[L/P Bruto]]-base[[#This Row],[L/P Líquido]]</f>
        <v>2.7758638743455535</v>
      </c>
      <c r="N2927" s="914">
        <f>base[[#This Row],[L/P Líquido]]/base[[#This Row],[Stake/Responsabilidade]]</f>
        <v>0.14726395520335975</v>
      </c>
      <c r="O2927" s="916">
        <f>IF(base[[#This Row],[L/P Líquido]]&gt;0,1,0)</f>
        <v>1</v>
      </c>
      <c r="P2927" s="916" t="s">
        <v>3331</v>
      </c>
      <c r="Q2927" s="916" t="str">
        <f>LEFT(base[[#This Row],[Evento / Mercado]],FIND("vs",base[[#This Row],[Evento / Mercado]])-2)</f>
        <v>Colombia</v>
      </c>
      <c r="R292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4" t="str">
        <f>LEFT(base[[#This Row],[Evento / Mercado]],FIND("/",base[[#This Row],[Evento / Mercado]])-2)</f>
        <v>Colombia vs Congo DR</v>
      </c>
      <c r="T2927" s="1420">
        <f>base[[#This Row],[Data de liquidação]]</f>
        <v>46197.04042824074</v>
      </c>
    </row>
    <row r="2928" spans="2:22" ht="15" customHeight="1">
      <c r="B2928" s="922" t="s">
        <v>3564</v>
      </c>
      <c r="C2928" s="911" t="s">
        <v>3554</v>
      </c>
      <c r="D2928" s="1377">
        <v>46197.584513888891</v>
      </c>
      <c r="E2928" s="924">
        <v>32.659999999999997</v>
      </c>
      <c r="F2928" s="654">
        <v>4.4999999999999998E-2</v>
      </c>
      <c r="G2928" s="925">
        <f t="shared" si="59"/>
        <v>34.198952879581149</v>
      </c>
      <c r="H2928" s="914" t="s">
        <v>3253</v>
      </c>
      <c r="I2928" s="915" t="s">
        <v>1555</v>
      </c>
      <c r="J2928" s="925">
        <v>5.4</v>
      </c>
      <c r="K2928" s="925">
        <v>199.98</v>
      </c>
      <c r="L2928" s="923">
        <f>INT(base[[#This Row],[Data de liquidação]])</f>
        <v>46197</v>
      </c>
      <c r="M2928" s="925">
        <f>base[[#This Row],[L/P Bruto]]-base[[#This Row],[L/P Líquido]]</f>
        <v>1.5389528795811529</v>
      </c>
      <c r="N2928" s="925">
        <f>base[[#This Row],[L/P Líquido]]/base[[#This Row],[Stake/Responsabilidade]]</f>
        <v>0.16331633163316331</v>
      </c>
      <c r="O2928" s="927">
        <f>IF(base[[#This Row],[L/P Líquido]]&gt;0,1,0)</f>
        <v>1</v>
      </c>
      <c r="P2928" s="927"/>
      <c r="Q2928" s="927" t="str">
        <f>LEFT(base[[#This Row],[Evento / Mercado]],FIND("vs",base[[#This Row],[Evento / Mercado]])-2)</f>
        <v>Bosnia-Herzegovina</v>
      </c>
      <c r="R2928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4" t="str">
        <f>LEFT(base[[#This Row],[Evento / Mercado]],FIND("/",base[[#This Row],[Evento / Mercado]])-2)</f>
        <v>Bosnia-Herzegovina vs Qatar</v>
      </c>
      <c r="T2928" s="1420">
        <f>base[[#This Row],[Data de liquidação]]</f>
        <v>46197.584513888891</v>
      </c>
    </row>
    <row r="2929" spans="2:20" ht="15" customHeight="1">
      <c r="B2929" s="922" t="s">
        <v>3565</v>
      </c>
      <c r="C2929" s="911" t="s">
        <v>3554</v>
      </c>
      <c r="D2929" s="1377">
        <v>46197.584513888891</v>
      </c>
      <c r="E2929" s="924">
        <v>-20</v>
      </c>
      <c r="F2929" s="654">
        <v>4.4999999999999998E-2</v>
      </c>
      <c r="G2929" s="925">
        <f t="shared" si="59"/>
        <v>-20</v>
      </c>
      <c r="H2929" s="914" t="s">
        <v>3253</v>
      </c>
      <c r="I2929" s="915" t="s">
        <v>3254</v>
      </c>
      <c r="J2929" s="925">
        <v>11</v>
      </c>
      <c r="K2929" s="925">
        <v>20</v>
      </c>
      <c r="L2929" s="923">
        <f>INT(base[[#This Row],[Data de liquidação]])</f>
        <v>46197</v>
      </c>
      <c r="M2929" s="925">
        <f>base[[#This Row],[L/P Bruto]]-base[[#This Row],[L/P Líquido]]</f>
        <v>0</v>
      </c>
      <c r="N2929" s="925">
        <f>base[[#This Row],[L/P Líquido]]/base[[#This Row],[Stake/Responsabilidade]]</f>
        <v>-1</v>
      </c>
      <c r="O2929" s="927">
        <f>IF(base[[#This Row],[L/P Líquido]]&gt;0,1,0)</f>
        <v>0</v>
      </c>
      <c r="P2929" s="927"/>
      <c r="Q2929" s="927" t="str">
        <f>LEFT(base[[#This Row],[Evento / Mercado]],FIND("vs",base[[#This Row],[Evento / Mercado]])-2)</f>
        <v>Bosnia-Herzegovina</v>
      </c>
      <c r="R2929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4" t="str">
        <f>LEFT(base[[#This Row],[Evento / Mercado]],FIND("/",base[[#This Row],[Evento / Mercado]])-2)</f>
        <v>Bosnia-Herzegovina vs Qatar</v>
      </c>
      <c r="T2929" s="1420">
        <f>base[[#This Row],[Data de liquidação]]</f>
        <v>46197.584513888891</v>
      </c>
    </row>
    <row r="2930" spans="2:20" ht="15" customHeight="1">
      <c r="B2930" s="922" t="s">
        <v>3560</v>
      </c>
      <c r="C2930" s="911" t="s">
        <v>3556</v>
      </c>
      <c r="D2930" s="1377">
        <v>46197.750625000001</v>
      </c>
      <c r="E2930" s="924">
        <v>51.62</v>
      </c>
      <c r="F2930" s="654">
        <v>4.4999999999999998E-2</v>
      </c>
      <c r="G2930" s="925">
        <f t="shared" si="59"/>
        <v>54.052356020942405</v>
      </c>
      <c r="H2930" s="925" t="s">
        <v>3411</v>
      </c>
      <c r="I2930" s="926" t="s">
        <v>3412</v>
      </c>
      <c r="J2930" s="925">
        <v>8.4</v>
      </c>
      <c r="K2930" s="925">
        <v>399.97</v>
      </c>
      <c r="L2930" s="923">
        <f>INT(base[[#This Row],[Data de liquidação]])</f>
        <v>46197</v>
      </c>
      <c r="M2930" s="925">
        <f>base[[#This Row],[L/P Bruto]]-base[[#This Row],[L/P Líquido]]</f>
        <v>2.4323560209424073</v>
      </c>
      <c r="N2930" s="925">
        <f>base[[#This Row],[L/P Líquido]]/base[[#This Row],[Stake/Responsabilidade]]</f>
        <v>0.12905967947596067</v>
      </c>
      <c r="O2930" s="927">
        <f>IF(base[[#This Row],[L/P Líquido]]&gt;0,1,0)</f>
        <v>1</v>
      </c>
      <c r="P2930" s="927"/>
      <c r="Q2930" s="927" t="e">
        <f>LEFT(base[[#This Row],[Evento / Mercado]],FIND("vs",base[[#This Row],[Evento / Mercado]])-2)</f>
        <v>#VALUE!</v>
      </c>
      <c r="R2930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4" t="str">
        <f>LEFT(base[[#This Row],[Evento / Mercado]],FIND("/",base[[#This Row],[Evento / Mercado]])-2)</f>
        <v>FIFA World Cup - Group B Winner</v>
      </c>
      <c r="T2930" s="1420">
        <f>base[[#This Row],[Data de liquidação]]</f>
        <v>46197.750625000001</v>
      </c>
    </row>
    <row r="2931" spans="2:20" ht="15" customHeight="1">
      <c r="B2931" s="922" t="s">
        <v>3562</v>
      </c>
      <c r="C2931" s="911" t="s">
        <v>3555</v>
      </c>
      <c r="D2931" s="1377">
        <v>46197.87604166667</v>
      </c>
      <c r="E2931" s="924">
        <v>18.52</v>
      </c>
      <c r="F2931" s="654">
        <v>4.4999999999999998E-2</v>
      </c>
      <c r="G2931" s="925">
        <f t="shared" si="59"/>
        <v>19.392670157068064</v>
      </c>
      <c r="H2931" s="925" t="s">
        <v>179</v>
      </c>
      <c r="I2931" s="939" t="s">
        <v>3393</v>
      </c>
      <c r="J2931" s="925">
        <v>22</v>
      </c>
      <c r="K2931" s="925">
        <v>400.05</v>
      </c>
      <c r="L2931" s="923">
        <f>INT(base[[#This Row],[Data de liquidação]])</f>
        <v>46197</v>
      </c>
      <c r="M2931" s="925">
        <f>base[[#This Row],[L/P Bruto]]-base[[#This Row],[L/P Líquido]]</f>
        <v>0.87267015706806461</v>
      </c>
      <c r="N2931" s="925">
        <f>base[[#This Row],[L/P Líquido]]/base[[#This Row],[Stake/Responsabilidade]]</f>
        <v>4.6294213223347078E-2</v>
      </c>
      <c r="O2931" s="927">
        <f>IF(base[[#This Row],[L/P Líquido]]&gt;0,1,0)</f>
        <v>1</v>
      </c>
      <c r="P2931" s="927" t="s">
        <v>3331</v>
      </c>
      <c r="Q2931" s="927" t="str">
        <f>LEFT(base[[#This Row],[Evento / Mercado]],FIND("vs",base[[#This Row],[Evento / Mercado]])-2)</f>
        <v>Morocco</v>
      </c>
      <c r="R2931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4" t="str">
        <f>LEFT(base[[#This Row],[Evento / Mercado]],FIND("/",base[[#This Row],[Evento / Mercado]])-2)</f>
        <v>Morocco vs Haiti</v>
      </c>
      <c r="T2931" s="1420">
        <f>base[[#This Row],[Data de liquidação]]</f>
        <v>46197.87604166667</v>
      </c>
    </row>
    <row r="2932" spans="2:20" ht="15" customHeight="1">
      <c r="B2932" s="922" t="s">
        <v>3559</v>
      </c>
      <c r="C2932" s="911" t="s">
        <v>3556</v>
      </c>
      <c r="D2932" s="1377">
        <v>46197.876180555555</v>
      </c>
      <c r="E2932" s="924">
        <v>28.3</v>
      </c>
      <c r="F2932" s="654">
        <v>4.4999999999999998E-2</v>
      </c>
      <c r="G2932" s="925">
        <f t="shared" si="59"/>
        <v>29.633507853403142</v>
      </c>
      <c r="H2932" s="925" t="s">
        <v>3334</v>
      </c>
      <c r="I2932" s="926" t="s">
        <v>694</v>
      </c>
      <c r="J2932" s="925">
        <v>28</v>
      </c>
      <c r="K2932" s="925">
        <v>800.01</v>
      </c>
      <c r="L2932" s="923">
        <f>INT(base[[#This Row],[Data de liquidação]])</f>
        <v>46197</v>
      </c>
      <c r="M2932" s="925">
        <f>base[[#This Row],[L/P Bruto]]-base[[#This Row],[L/P Líquido]]</f>
        <v>1.333507853403141</v>
      </c>
      <c r="N2932" s="925">
        <f>base[[#This Row],[L/P Líquido]]/base[[#This Row],[Stake/Responsabilidade]]</f>
        <v>3.5374557818027279E-2</v>
      </c>
      <c r="O2932" s="927">
        <f>IF(base[[#This Row],[L/P Líquido]]&gt;0,1,0)</f>
        <v>1</v>
      </c>
      <c r="P2932" s="927"/>
      <c r="Q2932" s="927" t="str">
        <f>LEFT(base[[#This Row],[Evento / Mercado]],FIND("vs",base[[#This Row],[Evento / Mercado]])-2)</f>
        <v>Scotland</v>
      </c>
      <c r="R2932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4" t="str">
        <f>LEFT(base[[#This Row],[Evento / Mercado]],FIND("/",base[[#This Row],[Evento / Mercado]])-2)</f>
        <v>Scotland vs Brazil</v>
      </c>
      <c r="T2932" s="1420">
        <f>base[[#This Row],[Data de liquidação]]</f>
        <v>46197.876180555555</v>
      </c>
    </row>
    <row r="2933" spans="2:20" ht="15" customHeight="1">
      <c r="B2933" s="922" t="s">
        <v>3561</v>
      </c>
      <c r="C2933" s="911" t="s">
        <v>3555</v>
      </c>
      <c r="D2933" s="1377">
        <v>46197.876435185186</v>
      </c>
      <c r="E2933" s="924">
        <v>37.03</v>
      </c>
      <c r="F2933" s="654">
        <v>4.4999999999999998E-2</v>
      </c>
      <c r="G2933" s="925">
        <f t="shared" si="59"/>
        <v>38.774869109947645</v>
      </c>
      <c r="H2933" s="925" t="s">
        <v>179</v>
      </c>
      <c r="I2933" s="939" t="s">
        <v>3393</v>
      </c>
      <c r="J2933" s="925">
        <v>11.5</v>
      </c>
      <c r="K2933" s="925">
        <v>400.05</v>
      </c>
      <c r="L2933" s="923">
        <f>INT(base[[#This Row],[Data de liquidação]])</f>
        <v>46197</v>
      </c>
      <c r="M2933" s="925">
        <f>base[[#This Row],[L/P Bruto]]-base[[#This Row],[L/P Líquido]]</f>
        <v>1.7448691099476434</v>
      </c>
      <c r="N2933" s="925">
        <f>base[[#This Row],[L/P Líquido]]/base[[#This Row],[Stake/Responsabilidade]]</f>
        <v>9.256342957130359E-2</v>
      </c>
      <c r="O2933" s="927">
        <f>IF(base[[#This Row],[L/P Líquido]]&gt;0,1,0)</f>
        <v>1</v>
      </c>
      <c r="P2933" s="927" t="s">
        <v>3331</v>
      </c>
      <c r="Q2933" s="927" t="str">
        <f>LEFT(base[[#This Row],[Evento / Mercado]],FIND("vs",base[[#This Row],[Evento / Mercado]])-2)</f>
        <v>Scotland</v>
      </c>
      <c r="R2933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4" t="str">
        <f>LEFT(base[[#This Row],[Evento / Mercado]],FIND("/",base[[#This Row],[Evento / Mercado]])-2)</f>
        <v>Scotland vs Brazil</v>
      </c>
      <c r="T2933" s="1420">
        <f>base[[#This Row],[Data de liquidação]]</f>
        <v>46197.876435185186</v>
      </c>
    </row>
    <row r="2934" spans="2:20" ht="15" customHeight="1">
      <c r="B2934" s="922" t="s">
        <v>3558</v>
      </c>
      <c r="C2934" s="911" t="s">
        <v>3556</v>
      </c>
      <c r="D2934" s="1377">
        <v>46197.878599537034</v>
      </c>
      <c r="E2934" s="924">
        <v>33.21</v>
      </c>
      <c r="F2934" s="654">
        <v>4.4999999999999998E-2</v>
      </c>
      <c r="G2934" s="925">
        <f t="shared" si="59"/>
        <v>34.774869109947645</v>
      </c>
      <c r="H2934" s="925" t="s">
        <v>3411</v>
      </c>
      <c r="I2934" s="926" t="s">
        <v>3412</v>
      </c>
      <c r="J2934" s="925">
        <v>12.5</v>
      </c>
      <c r="K2934" s="925">
        <v>399.97</v>
      </c>
      <c r="L2934" s="923">
        <f>INT(base[[#This Row],[Data de liquidação]])</f>
        <v>46197</v>
      </c>
      <c r="M2934" s="925">
        <f>base[[#This Row],[L/P Bruto]]-base[[#This Row],[L/P Líquido]]</f>
        <v>1.5648691099476437</v>
      </c>
      <c r="N2934" s="925">
        <f>base[[#This Row],[L/P Líquido]]/base[[#This Row],[Stake/Responsabilidade]]</f>
        <v>8.3031227342050651E-2</v>
      </c>
      <c r="O2934" s="927">
        <f>IF(base[[#This Row],[L/P Líquido]]&gt;0,1,0)</f>
        <v>1</v>
      </c>
      <c r="P2934" s="927"/>
      <c r="Q2934" s="927" t="e">
        <f>LEFT(base[[#This Row],[Evento / Mercado]],FIND("vs",base[[#This Row],[Evento / Mercado]])-2)</f>
        <v>#VALUE!</v>
      </c>
      <c r="R2934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4" t="str">
        <f>LEFT(base[[#This Row],[Evento / Mercado]],FIND("/",base[[#This Row],[Evento / Mercado]])-2)</f>
        <v>FIFA World Cup - Group C Winner</v>
      </c>
      <c r="T2934" s="1420">
        <f>base[[#This Row],[Data de liquidação]]</f>
        <v>46197.878599537034</v>
      </c>
    </row>
    <row r="2935" spans="2:20" ht="15" customHeight="1">
      <c r="B2935" s="922" t="s">
        <v>3557</v>
      </c>
      <c r="C2935" s="911" t="s">
        <v>3556</v>
      </c>
      <c r="D2935" s="1377">
        <v>46197.998402777775</v>
      </c>
      <c r="E2935" s="924">
        <v>-147.78</v>
      </c>
      <c r="F2935" s="654">
        <v>4.4999999999999998E-2</v>
      </c>
      <c r="G2935" s="925">
        <f t="shared" si="59"/>
        <v>-147.78</v>
      </c>
      <c r="H2935" s="925" t="s">
        <v>3330</v>
      </c>
      <c r="I2935" s="926" t="s">
        <v>3566</v>
      </c>
      <c r="J2935" s="925">
        <f>(5.9*75.02+1.65*72.76)/base[[#This Row],[Stake/Responsabilidade]]</f>
        <v>3.8074976316145621</v>
      </c>
      <c r="K2935" s="925">
        <f>75.02+72.76</f>
        <v>147.78</v>
      </c>
      <c r="L2935" s="923">
        <f>INT(base[[#This Row],[Data de liquidação]])</f>
        <v>46197</v>
      </c>
      <c r="M2935" s="925">
        <f>base[[#This Row],[L/P Bruto]]-base[[#This Row],[L/P Líquido]]</f>
        <v>0</v>
      </c>
      <c r="N2935" s="925">
        <f>base[[#This Row],[L/P Líquido]]/base[[#This Row],[Stake/Responsabilidade]]</f>
        <v>-1</v>
      </c>
      <c r="O2935" s="927">
        <f>IF(base[[#This Row],[L/P Líquido]]&gt;0,1,0)</f>
        <v>0</v>
      </c>
      <c r="P2935" s="927"/>
      <c r="Q2935" s="927" t="str">
        <f>LEFT(base[[#This Row],[Evento / Mercado]],FIND("vs",base[[#This Row],[Evento / Mercado]])-2)</f>
        <v>South Africa</v>
      </c>
      <c r="R2935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4" t="str">
        <f>LEFT(base[[#This Row],[Evento / Mercado]],FIND("/",base[[#This Row],[Evento / Mercado]])-2)</f>
        <v>South Africa vs South Korea</v>
      </c>
      <c r="T2935" s="1420">
        <f>base[[#This Row],[Data de liquidação]]</f>
        <v>46197.998402777775</v>
      </c>
    </row>
    <row r="2936" spans="2:20" ht="15" customHeight="1">
      <c r="B2936" s="922" t="s">
        <v>3557</v>
      </c>
      <c r="C2936" s="911" t="s">
        <v>3554</v>
      </c>
      <c r="D2936" s="1377">
        <v>46197.998402777775</v>
      </c>
      <c r="E2936" s="924">
        <v>67.02</v>
      </c>
      <c r="F2936" s="654">
        <v>4.4999999999999998E-2</v>
      </c>
      <c r="G2936" s="925">
        <f t="shared" si="59"/>
        <v>70.178010471204189</v>
      </c>
      <c r="H2936" s="914" t="s">
        <v>3253</v>
      </c>
      <c r="I2936" s="915" t="s">
        <v>3254</v>
      </c>
      <c r="J2936" s="925">
        <v>7.6</v>
      </c>
      <c r="K2936" s="925">
        <v>30.3</v>
      </c>
      <c r="L2936" s="923">
        <f>INT(base[[#This Row],[Data de liquidação]])</f>
        <v>46197</v>
      </c>
      <c r="M2936" s="925">
        <f>base[[#This Row],[L/P Bruto]]-base[[#This Row],[L/P Líquido]]</f>
        <v>3.158010471204193</v>
      </c>
      <c r="N2936" s="925">
        <f>base[[#This Row],[L/P Líquido]]/base[[#This Row],[Stake/Responsabilidade]]</f>
        <v>2.2118811881188116</v>
      </c>
      <c r="O2936" s="927">
        <f>IF(base[[#This Row],[L/P Líquido]]&gt;0,1,0)</f>
        <v>1</v>
      </c>
      <c r="P2936" s="927"/>
      <c r="Q2936" s="927" t="str">
        <f>LEFT(base[[#This Row],[Evento / Mercado]],FIND("vs",base[[#This Row],[Evento / Mercado]])-2)</f>
        <v>South Africa</v>
      </c>
      <c r="R2936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4" t="str">
        <f>LEFT(base[[#This Row],[Evento / Mercado]],FIND("/",base[[#This Row],[Evento / Mercado]])-2)</f>
        <v>South Africa vs South Korea</v>
      </c>
      <c r="T2936" s="1420">
        <f>base[[#This Row],[Data de liquidação]]</f>
        <v>46197.998402777775</v>
      </c>
    </row>
    <row r="2937" spans="2:20" ht="15" customHeight="1">
      <c r="B2937" s="922" t="s">
        <v>3563</v>
      </c>
      <c r="C2937" s="911" t="s">
        <v>3554</v>
      </c>
      <c r="D2937" s="1377">
        <v>46197.998402777775</v>
      </c>
      <c r="E2937" s="924">
        <v>-30.3</v>
      </c>
      <c r="F2937" s="654">
        <v>4.4999999999999998E-2</v>
      </c>
      <c r="G2937" s="925">
        <f t="shared" si="59"/>
        <v>-30.3</v>
      </c>
      <c r="H2937" s="914" t="s">
        <v>3253</v>
      </c>
      <c r="I2937" s="915" t="s">
        <v>1555</v>
      </c>
      <c r="J2937" s="925">
        <v>3.8</v>
      </c>
      <c r="K2937" s="925">
        <v>196.5</v>
      </c>
      <c r="L2937" s="923">
        <f>INT(base[[#This Row],[Data de liquidação]])</f>
        <v>46197</v>
      </c>
      <c r="M2937" s="925">
        <f>base[[#This Row],[L/P Bruto]]-base[[#This Row],[L/P Líquido]]</f>
        <v>0</v>
      </c>
      <c r="N2937" s="925">
        <f>base[[#This Row],[L/P Líquido]]/base[[#This Row],[Stake/Responsabilidade]]</f>
        <v>-0.15419847328244274</v>
      </c>
      <c r="O2937" s="927">
        <f>IF(base[[#This Row],[L/P Líquido]]&gt;0,1,0)</f>
        <v>0</v>
      </c>
      <c r="P2937" s="927"/>
      <c r="Q2937" s="927" t="str">
        <f>LEFT(base[[#This Row],[Evento / Mercado]],FIND("vs",base[[#This Row],[Evento / Mercado]])-2)</f>
        <v>South Africa</v>
      </c>
      <c r="R2937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4" t="str">
        <f>LEFT(base[[#This Row],[Evento / Mercado]],FIND("/",base[[#This Row],[Evento / Mercado]])-2)</f>
        <v>South Africa vs South Korea</v>
      </c>
      <c r="T2937" s="1420">
        <f>base[[#This Row],[Data de liquidação]]</f>
        <v>46197.998402777775</v>
      </c>
    </row>
    <row r="2938" spans="2:20" ht="15" customHeight="1">
      <c r="B2938" s="928" t="s">
        <v>3580</v>
      </c>
      <c r="C2938" s="911" t="s">
        <v>3556</v>
      </c>
      <c r="D2938" s="1378">
        <v>46198.578657407408</v>
      </c>
      <c r="E2938" s="930">
        <v>-120</v>
      </c>
      <c r="F2938" s="654">
        <v>4.4999999999999998E-2</v>
      </c>
      <c r="G2938" s="931">
        <f t="shared" si="59"/>
        <v>-120</v>
      </c>
      <c r="H2938" s="931" t="s">
        <v>3188</v>
      </c>
      <c r="I2938" s="932" t="s">
        <v>498</v>
      </c>
      <c r="J2938" s="931">
        <v>4</v>
      </c>
      <c r="K2938" s="931">
        <v>40</v>
      </c>
      <c r="L2938" s="929">
        <f>INT(base[[#This Row],[Data de liquidação]])</f>
        <v>46198</v>
      </c>
      <c r="M2938" s="931">
        <f>base[[#This Row],[L/P Bruto]]-base[[#This Row],[L/P Líquido]]</f>
        <v>0</v>
      </c>
      <c r="N2938" s="931">
        <f>base[[#This Row],[L/P Líquido]]/base[[#This Row],[Stake/Responsabilidade]]</f>
        <v>-3</v>
      </c>
      <c r="O2938" s="933">
        <f>IF(base[[#This Row],[L/P Líquido]]&gt;0,1,0)</f>
        <v>0</v>
      </c>
      <c r="P2938" s="933"/>
      <c r="Q2938" s="933" t="str">
        <f>LEFT(base[[#This Row],[Evento / Mercado]],FIND("vs",base[[#This Row],[Evento / Mercado]])-2)</f>
        <v>BFC Daugavpils</v>
      </c>
      <c r="R2938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4" t="str">
        <f>LEFT(base[[#This Row],[Evento / Mercado]],FIND("/",base[[#This Row],[Evento / Mercado]])-2)</f>
        <v>BFC Daugavpils vs Riga FC</v>
      </c>
      <c r="T2938" s="1420">
        <f>base[[#This Row],[Data de liquidação]]</f>
        <v>46198.578657407408</v>
      </c>
    </row>
    <row r="2939" spans="2:20" ht="15" customHeight="1">
      <c r="B2939" s="928" t="s">
        <v>3579</v>
      </c>
      <c r="C2939" s="911" t="s">
        <v>3556</v>
      </c>
      <c r="D2939" s="1378">
        <v>46198.777384259258</v>
      </c>
      <c r="E2939" s="930">
        <v>46.33</v>
      </c>
      <c r="F2939" s="654">
        <v>4.4999999999999998E-2</v>
      </c>
      <c r="G2939" s="931">
        <f t="shared" si="59"/>
        <v>48.513089005235599</v>
      </c>
      <c r="H2939" s="931" t="s">
        <v>3581</v>
      </c>
      <c r="I2939" s="932" t="s">
        <v>315</v>
      </c>
      <c r="J2939" s="931">
        <v>1.65</v>
      </c>
      <c r="K2939" s="931">
        <v>50</v>
      </c>
      <c r="L2939" s="929">
        <f>INT(base[[#This Row],[Data de liquidação]])</f>
        <v>46198</v>
      </c>
      <c r="M2939" s="931">
        <f>base[[#This Row],[L/P Bruto]]-base[[#This Row],[L/P Líquido]]</f>
        <v>2.1830890052356011</v>
      </c>
      <c r="N2939" s="931">
        <f>base[[#This Row],[L/P Líquido]]/base[[#This Row],[Stake/Responsabilidade]]</f>
        <v>0.92659999999999998</v>
      </c>
      <c r="O2939" s="933">
        <f>IF(base[[#This Row],[L/P Líquido]]&gt;0,1,0)</f>
        <v>1</v>
      </c>
      <c r="P2939" s="933"/>
      <c r="Q2939" s="933" t="str">
        <f>LEFT(base[[#This Row],[Evento / Mercado]],FIND("vs",base[[#This Row],[Evento / Mercado]])-2)</f>
        <v>Ecuador</v>
      </c>
      <c r="R2939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4" t="str">
        <f>LEFT(base[[#This Row],[Evento / Mercado]],FIND("/",base[[#This Row],[Evento / Mercado]])-2)</f>
        <v>Ecuador vs Germany</v>
      </c>
      <c r="T2939" s="1420">
        <f>base[[#This Row],[Data de liquidação]]</f>
        <v>46198.777384259258</v>
      </c>
    </row>
    <row r="2940" spans="2:20" ht="15" customHeight="1">
      <c r="B2940" s="928" t="s">
        <v>3578</v>
      </c>
      <c r="C2940" s="911" t="s">
        <v>3556</v>
      </c>
      <c r="D2940" s="1378">
        <v>46198.790162037039</v>
      </c>
      <c r="E2940" s="930">
        <v>20.100000000000001</v>
      </c>
      <c r="F2940" s="654">
        <v>4.4999999999999998E-2</v>
      </c>
      <c r="G2940" s="931">
        <f t="shared" si="59"/>
        <v>21.04712041884817</v>
      </c>
      <c r="H2940" s="931" t="s">
        <v>3334</v>
      </c>
      <c r="I2940" s="932" t="s">
        <v>694</v>
      </c>
      <c r="J2940" s="931">
        <v>19.5</v>
      </c>
      <c r="K2940" s="931">
        <v>389.43</v>
      </c>
      <c r="L2940" s="929">
        <f>INT(base[[#This Row],[Data de liquidação]])</f>
        <v>46198</v>
      </c>
      <c r="M2940" s="931">
        <f>base[[#This Row],[L/P Bruto]]-base[[#This Row],[L/P Líquido]]</f>
        <v>0.94712041884816855</v>
      </c>
      <c r="N2940" s="931">
        <f>base[[#This Row],[L/P Líquido]]/base[[#This Row],[Stake/Responsabilidade]]</f>
        <v>5.1613897234419538E-2</v>
      </c>
      <c r="O2940" s="933">
        <f>IF(base[[#This Row],[L/P Líquido]]&gt;0,1,0)</f>
        <v>1</v>
      </c>
      <c r="P2940" s="933"/>
      <c r="Q2940" s="933" t="str">
        <f>LEFT(base[[#This Row],[Evento / Mercado]],FIND("vs",base[[#This Row],[Evento / Mercado]])-2)</f>
        <v>Ecuador</v>
      </c>
      <c r="R2940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4" t="str">
        <f>LEFT(base[[#This Row],[Evento / Mercado]],FIND("/",base[[#This Row],[Evento / Mercado]])-2)</f>
        <v>Ecuador vs Germany</v>
      </c>
      <c r="T2940" s="1420">
        <f>base[[#This Row],[Data de liquidação]]</f>
        <v>46198.790162037039</v>
      </c>
    </row>
    <row r="2941" spans="2:20" ht="15" customHeight="1">
      <c r="B2941" s="928" t="s">
        <v>3577</v>
      </c>
      <c r="C2941" s="911" t="s">
        <v>3556</v>
      </c>
      <c r="D2941" s="1378">
        <v>46198.887106481481</v>
      </c>
      <c r="E2941" s="930">
        <v>38.200000000000003</v>
      </c>
      <c r="F2941" s="654">
        <v>4.4999999999999998E-2</v>
      </c>
      <c r="G2941" s="931">
        <f t="shared" si="59"/>
        <v>40.000000000000007</v>
      </c>
      <c r="H2941" s="931" t="s">
        <v>3188</v>
      </c>
      <c r="I2941" s="932" t="s">
        <v>498</v>
      </c>
      <c r="J2941" s="931">
        <v>3.6</v>
      </c>
      <c r="K2941" s="931">
        <v>40</v>
      </c>
      <c r="L2941" s="929">
        <f>INT(base[[#This Row],[Data de liquidação]])</f>
        <v>46198</v>
      </c>
      <c r="M2941" s="931">
        <f>base[[#This Row],[L/P Bruto]]-base[[#This Row],[L/P Líquido]]</f>
        <v>1.8000000000000043</v>
      </c>
      <c r="N2941" s="931">
        <f>base[[#This Row],[L/P Líquido]]/base[[#This Row],[Stake/Responsabilidade]]</f>
        <v>0.95500000000000007</v>
      </c>
      <c r="O2941" s="933">
        <f>IF(base[[#This Row],[L/P Líquido]]&gt;0,1,0)</f>
        <v>1</v>
      </c>
      <c r="P2941" s="933"/>
      <c r="Q2941" s="933" t="str">
        <f>LEFT(base[[#This Row],[Evento / Mercado]],FIND("vs",base[[#This Row],[Evento / Mercado]])-2)</f>
        <v>Japan</v>
      </c>
      <c r="R2941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4" t="str">
        <f>LEFT(base[[#This Row],[Evento / Mercado]],FIND("/",base[[#This Row],[Evento / Mercado]])-2)</f>
        <v>Japan vs Sweden</v>
      </c>
      <c r="T2941" s="1420">
        <f>base[[#This Row],[Data de liquidação]]</f>
        <v>46198.887106481481</v>
      </c>
    </row>
    <row r="2942" spans="2:20" ht="15" customHeight="1">
      <c r="B2942" s="928" t="s">
        <v>3576</v>
      </c>
      <c r="C2942" s="911" t="s">
        <v>3556</v>
      </c>
      <c r="D2942" s="1378">
        <v>46198.915312500001</v>
      </c>
      <c r="E2942" s="930">
        <v>29.79</v>
      </c>
      <c r="F2942" s="654">
        <v>4.4999999999999998E-2</v>
      </c>
      <c r="G2942" s="931">
        <f t="shared" si="59"/>
        <v>31.193717277486911</v>
      </c>
      <c r="H2942" s="931" t="s">
        <v>3334</v>
      </c>
      <c r="I2942" s="932" t="s">
        <v>627</v>
      </c>
      <c r="J2942" s="931">
        <v>14.5</v>
      </c>
      <c r="K2942" s="931">
        <v>421.07</v>
      </c>
      <c r="L2942" s="929">
        <f>INT(base[[#This Row],[Data de liquidação]])</f>
        <v>46198</v>
      </c>
      <c r="M2942" s="931">
        <f>base[[#This Row],[L/P Bruto]]-base[[#This Row],[L/P Líquido]]</f>
        <v>1.403717277486912</v>
      </c>
      <c r="N2942" s="931">
        <f>base[[#This Row],[L/P Líquido]]/base[[#This Row],[Stake/Responsabilidade]]</f>
        <v>7.0748331631320202E-2</v>
      </c>
      <c r="O2942" s="933">
        <f>IF(base[[#This Row],[L/P Líquido]]&gt;0,1,0)</f>
        <v>1</v>
      </c>
      <c r="P2942" s="933"/>
      <c r="Q2942" s="933" t="str">
        <f>LEFT(base[[#This Row],[Evento / Mercado]],FIND("vs",base[[#This Row],[Evento / Mercado]])-2)</f>
        <v>Japan</v>
      </c>
      <c r="R2942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4" t="str">
        <f>LEFT(base[[#This Row],[Evento / Mercado]],FIND("/",base[[#This Row],[Evento / Mercado]])-2)</f>
        <v>Japan vs Sweden</v>
      </c>
      <c r="T2942" s="1420">
        <f>base[[#This Row],[Data de liquidação]]</f>
        <v>46198.915312500001</v>
      </c>
    </row>
    <row r="2943" spans="2:20" ht="15" customHeight="1">
      <c r="B2943" s="928" t="s">
        <v>3575</v>
      </c>
      <c r="C2943" s="911" t="s">
        <v>3556</v>
      </c>
      <c r="D2943" s="1378">
        <v>46198.935428240744</v>
      </c>
      <c r="E2943" s="930">
        <v>-31.25</v>
      </c>
      <c r="F2943" s="654">
        <v>4.4999999999999998E-2</v>
      </c>
      <c r="G2943" s="931">
        <f t="shared" si="59"/>
        <v>-31.25</v>
      </c>
      <c r="H2943" s="914" t="s">
        <v>3253</v>
      </c>
      <c r="I2943" s="915" t="s">
        <v>3254</v>
      </c>
      <c r="J2943" s="931">
        <v>7.4</v>
      </c>
      <c r="K2943" s="931">
        <v>31.25</v>
      </c>
      <c r="L2943" s="929">
        <f>INT(base[[#This Row],[Data de liquidação]])</f>
        <v>46198</v>
      </c>
      <c r="M2943" s="931">
        <f>base[[#This Row],[L/P Bruto]]-base[[#This Row],[L/P Líquido]]</f>
        <v>0</v>
      </c>
      <c r="N2943" s="931">
        <f>base[[#This Row],[L/P Líquido]]/base[[#This Row],[Stake/Responsabilidade]]</f>
        <v>-1</v>
      </c>
      <c r="O2943" s="933">
        <f>IF(base[[#This Row],[L/P Líquido]]&gt;0,1,0)</f>
        <v>0</v>
      </c>
      <c r="P2943" s="933"/>
      <c r="Q2943" s="933" t="str">
        <f>LEFT(base[[#This Row],[Evento / Mercado]],FIND("vs",base[[#This Row],[Evento / Mercado]])-2)</f>
        <v>Cuiabá EC</v>
      </c>
      <c r="R2943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4" t="str">
        <f>LEFT(base[[#This Row],[Evento / Mercado]],FIND("/",base[[#This Row],[Evento / Mercado]])-2)</f>
        <v>Cuiabá EC vs Londrina</v>
      </c>
      <c r="T2943" s="1420">
        <f>base[[#This Row],[Data de liquidação]]</f>
        <v>46198.935428240744</v>
      </c>
    </row>
    <row r="2944" spans="2:20" ht="15" customHeight="1">
      <c r="B2944" s="928" t="s">
        <v>3574</v>
      </c>
      <c r="C2944" s="911" t="s">
        <v>3556</v>
      </c>
      <c r="D2944" s="1378">
        <v>46198.935555555552</v>
      </c>
      <c r="E2944" s="930">
        <v>33.72</v>
      </c>
      <c r="F2944" s="654">
        <v>4.4999999999999998E-2</v>
      </c>
      <c r="G2944" s="931">
        <f t="shared" si="59"/>
        <v>35.308900523560212</v>
      </c>
      <c r="H2944" s="914" t="s">
        <v>3253</v>
      </c>
      <c r="I2944" s="915" t="s">
        <v>1555</v>
      </c>
      <c r="J2944" s="931">
        <v>3.4</v>
      </c>
      <c r="K2944" s="931">
        <v>199.99</v>
      </c>
      <c r="L2944" s="929">
        <f>INT(base[[#This Row],[Data de liquidação]])</f>
        <v>46198</v>
      </c>
      <c r="M2944" s="931">
        <f>base[[#This Row],[L/P Bruto]]-base[[#This Row],[L/P Líquido]]</f>
        <v>1.5889005235602127</v>
      </c>
      <c r="N2944" s="931">
        <f>base[[#This Row],[L/P Líquido]]/base[[#This Row],[Stake/Responsabilidade]]</f>
        <v>0.16860843042152107</v>
      </c>
      <c r="O2944" s="933">
        <f>IF(base[[#This Row],[L/P Líquido]]&gt;0,1,0)</f>
        <v>1</v>
      </c>
      <c r="P2944" s="933"/>
      <c r="Q2944" s="933" t="str">
        <f>LEFT(base[[#This Row],[Evento / Mercado]],FIND("vs",base[[#This Row],[Evento / Mercado]])-2)</f>
        <v>Cuiabá EC</v>
      </c>
      <c r="R2944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4" t="str">
        <f>LEFT(base[[#This Row],[Evento / Mercado]],FIND("/",base[[#This Row],[Evento / Mercado]])-2)</f>
        <v>Cuiabá EC vs Londrina</v>
      </c>
      <c r="T2944" s="1420">
        <f>base[[#This Row],[Data de liquidação]]</f>
        <v>46198.935555555552</v>
      </c>
    </row>
    <row r="2945" spans="2:22" ht="15" customHeight="1">
      <c r="B2945" s="935" t="s">
        <v>3627</v>
      </c>
      <c r="C2945" s="911" t="s">
        <v>3556</v>
      </c>
      <c r="D2945" s="1379">
        <v>46199.595347222225</v>
      </c>
      <c r="E2945" s="937">
        <v>2.6</v>
      </c>
      <c r="F2945" s="654">
        <v>4.4999999999999998E-2</v>
      </c>
      <c r="G2945" s="938">
        <f t="shared" si="59"/>
        <v>2.7225130890052358</v>
      </c>
      <c r="H2945" s="938" t="s">
        <v>1666</v>
      </c>
      <c r="I2945" s="939" t="s">
        <v>2883</v>
      </c>
      <c r="J2945" s="938">
        <v>1.54</v>
      </c>
      <c r="K2945" s="938">
        <v>5</v>
      </c>
      <c r="L2945" s="936">
        <f>INT(base[[#This Row],[Data de liquidação]])</f>
        <v>46199</v>
      </c>
      <c r="M2945" s="938">
        <f>base[[#This Row],[L/P Bruto]]-base[[#This Row],[L/P Líquido]]</f>
        <v>0.12251308900523572</v>
      </c>
      <c r="N2945" s="938">
        <f>base[[#This Row],[L/P Líquido]]/base[[#This Row],[Stake/Responsabilidade]]</f>
        <v>0.52</v>
      </c>
      <c r="O2945" s="940">
        <f>IF(base[[#This Row],[L/P Líquido]]&gt;0,1,0)</f>
        <v>1</v>
      </c>
      <c r="P2945" s="940"/>
      <c r="Q2945" s="940" t="str">
        <f>LEFT(base[[#This Row],[Evento / Mercado]],FIND("vs",base[[#This Row],[Evento / Mercado]])-2)</f>
        <v>IK Brage</v>
      </c>
      <c r="R29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4" t="str">
        <f>LEFT(base[[#This Row],[Evento / Mercado]],FIND("/",base[[#This Row],[Evento / Mercado]])-2)</f>
        <v>IK Brage vs Falkenbergs FF</v>
      </c>
      <c r="T2945" s="1420">
        <f>base[[#This Row],[Data de liquidação]]</f>
        <v>46199.595347222225</v>
      </c>
    </row>
    <row r="2946" spans="2:22" ht="15" customHeight="1">
      <c r="B2946" s="935" t="s">
        <v>3626</v>
      </c>
      <c r="C2946" s="911" t="s">
        <v>3556</v>
      </c>
      <c r="D2946" s="1379">
        <v>46199.621354166666</v>
      </c>
      <c r="E2946" s="937">
        <v>13.55</v>
      </c>
      <c r="F2946" s="654">
        <v>4.4999999999999998E-2</v>
      </c>
      <c r="G2946" s="938">
        <f t="shared" si="59"/>
        <v>14.188481675392671</v>
      </c>
      <c r="H2946" s="938" t="s">
        <v>3334</v>
      </c>
      <c r="I2946" s="939" t="s">
        <v>694</v>
      </c>
      <c r="J2946" s="938">
        <v>32</v>
      </c>
      <c r="K2946" s="938">
        <v>439.89</v>
      </c>
      <c r="L2946" s="936">
        <f>INT(base[[#This Row],[Data de liquidação]])</f>
        <v>46199</v>
      </c>
      <c r="M2946" s="938">
        <f>base[[#This Row],[L/P Bruto]]-base[[#This Row],[L/P Líquido]]</f>
        <v>0.63848167539267031</v>
      </c>
      <c r="N2946" s="938">
        <f>base[[#This Row],[L/P Líquido]]/base[[#This Row],[Stake/Responsabilidade]]</f>
        <v>3.080315533428812E-2</v>
      </c>
      <c r="O2946" s="940">
        <f>IF(base[[#This Row],[L/P Líquido]]&gt;0,1,0)</f>
        <v>1</v>
      </c>
      <c r="P2946" s="940"/>
      <c r="Q2946" s="940" t="str">
        <f>LEFT(base[[#This Row],[Evento / Mercado]],FIND("vs",base[[#This Row],[Evento / Mercado]])-2)</f>
        <v>FK Liepaja</v>
      </c>
      <c r="R29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4" t="str">
        <f>LEFT(base[[#This Row],[Evento / Mercado]],FIND("/",base[[#This Row],[Evento / Mercado]])-2)</f>
        <v>FK Liepaja vs Rigas Futbola Skola</v>
      </c>
      <c r="T2946" s="1420">
        <f>base[[#This Row],[Data de liquidação]]</f>
        <v>46199.621354166666</v>
      </c>
    </row>
    <row r="2947" spans="2:22" ht="15" customHeight="1">
      <c r="B2947" s="935" t="s">
        <v>3625</v>
      </c>
      <c r="C2947" s="911" t="s">
        <v>3556</v>
      </c>
      <c r="D2947" s="1379">
        <v>46199.719976851855</v>
      </c>
      <c r="E2947" s="937">
        <v>38.200000000000003</v>
      </c>
      <c r="F2947" s="654">
        <v>4.4999999999999998E-2</v>
      </c>
      <c r="G2947" s="938">
        <f t="shared" ref="G2947:G3010" si="63">IF(E2947&gt;0,E2947/(1-F2947),E2947)</f>
        <v>40.000000000000007</v>
      </c>
      <c r="H2947" s="938" t="s">
        <v>3188</v>
      </c>
      <c r="I2947" s="939" t="s">
        <v>296</v>
      </c>
      <c r="J2947" s="938">
        <v>4</v>
      </c>
      <c r="K2947" s="938">
        <v>40</v>
      </c>
      <c r="L2947" s="936">
        <f>INT(base[[#This Row],[Data de liquidação]])</f>
        <v>46199</v>
      </c>
      <c r="M2947" s="938">
        <f>base[[#This Row],[L/P Bruto]]-base[[#This Row],[L/P Líquido]]</f>
        <v>1.8000000000000043</v>
      </c>
      <c r="N2947" s="938">
        <f>base[[#This Row],[L/P Líquido]]/base[[#This Row],[Stake/Responsabilidade]]</f>
        <v>0.95500000000000007</v>
      </c>
      <c r="O2947" s="940">
        <f>IF(base[[#This Row],[L/P Líquido]]&gt;0,1,0)</f>
        <v>1</v>
      </c>
      <c r="P2947" s="940"/>
      <c r="Q2947" s="940" t="str">
        <f>LEFT(base[[#This Row],[Evento / Mercado]],FIND("vs",base[[#This Row],[Evento / Mercado]])-2)</f>
        <v>Shamrock Rovers</v>
      </c>
      <c r="R29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4" t="str">
        <f>LEFT(base[[#This Row],[Evento / Mercado]],FIND("/",base[[#This Row],[Evento / Mercado]])-2)</f>
        <v>Shamrock Rovers vs Galway United</v>
      </c>
      <c r="T2947" s="1420">
        <f>base[[#This Row],[Data de liquidação]]</f>
        <v>46199.719976851855</v>
      </c>
    </row>
    <row r="2948" spans="2:22" ht="15" customHeight="1">
      <c r="B2948" s="935" t="s">
        <v>3602</v>
      </c>
      <c r="C2948" s="935" t="s">
        <v>3555</v>
      </c>
      <c r="D2948" s="1379">
        <v>46199.725613425922</v>
      </c>
      <c r="E2948" s="937">
        <v>-22.22</v>
      </c>
      <c r="F2948" s="654">
        <v>4.4999999999999998E-2</v>
      </c>
      <c r="G2948" s="938">
        <f t="shared" si="63"/>
        <v>-22.22</v>
      </c>
      <c r="H2948" s="938" t="s">
        <v>3253</v>
      </c>
      <c r="I2948" s="939" t="s">
        <v>3254</v>
      </c>
      <c r="J2948" s="938">
        <v>10</v>
      </c>
      <c r="K2948" s="938">
        <v>22.22</v>
      </c>
      <c r="L2948" s="936">
        <f>INT(base[[#This Row],[Data de liquidação]])</f>
        <v>46199</v>
      </c>
      <c r="M2948" s="938">
        <f>base[[#This Row],[L/P Bruto]]-base[[#This Row],[L/P Líquido]]</f>
        <v>0</v>
      </c>
      <c r="N2948" s="938">
        <f>base[[#This Row],[L/P Líquido]]/base[[#This Row],[Stake/Responsabilidade]]</f>
        <v>-1</v>
      </c>
      <c r="O2948" s="940">
        <f>IF(base[[#This Row],[L/P Líquido]]&gt;0,1,0)</f>
        <v>0</v>
      </c>
      <c r="P2948" s="940"/>
      <c r="Q2948" s="940" t="str">
        <f>LEFT(base[[#This Row],[Evento / Mercado]],FIND("vs",base[[#This Row],[Evento / Mercado]])-2)</f>
        <v>Shamrock Rovers</v>
      </c>
      <c r="R29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4" t="str">
        <f>LEFT(base[[#This Row],[Evento / Mercado]],FIND("/",base[[#This Row],[Evento / Mercado]])-2)</f>
        <v>Shamrock Rovers vs Galway United</v>
      </c>
      <c r="T2948" s="1420">
        <f>base[[#This Row],[Data de liquidação]]</f>
        <v>46199.725613425922</v>
      </c>
    </row>
    <row r="2949" spans="2:22" ht="15" customHeight="1">
      <c r="B2949" s="935" t="s">
        <v>3602</v>
      </c>
      <c r="C2949" s="935" t="s">
        <v>3556</v>
      </c>
      <c r="D2949" s="1379">
        <v>46199.725613425922</v>
      </c>
      <c r="E2949" s="937">
        <v>27.28</v>
      </c>
      <c r="F2949" s="654">
        <v>4.4999999999999998E-2</v>
      </c>
      <c r="G2949" s="938">
        <f t="shared" si="63"/>
        <v>28.565445026178011</v>
      </c>
      <c r="H2949" s="938" t="s">
        <v>3271</v>
      </c>
      <c r="I2949" s="939" t="s">
        <v>627</v>
      </c>
      <c r="J2949" s="938">
        <v>15</v>
      </c>
      <c r="K2949" s="938">
        <v>399.98</v>
      </c>
      <c r="L2949" s="936">
        <f>INT(base[[#This Row],[Data de liquidação]])</f>
        <v>46199</v>
      </c>
      <c r="M2949" s="938">
        <f>base[[#This Row],[L/P Bruto]]-base[[#This Row],[L/P Líquido]]</f>
        <v>1.2854450261780102</v>
      </c>
      <c r="N2949" s="938">
        <f>base[[#This Row],[L/P Líquido]]/base[[#This Row],[Stake/Responsabilidade]]</f>
        <v>6.820341017050853E-2</v>
      </c>
      <c r="O2949" s="940">
        <f>IF(base[[#This Row],[L/P Líquido]]&gt;0,1,0)</f>
        <v>1</v>
      </c>
      <c r="P2949" s="940"/>
      <c r="Q2949" s="940" t="str">
        <f>LEFT(base[[#This Row],[Evento / Mercado]],FIND("vs",base[[#This Row],[Evento / Mercado]])-2)</f>
        <v>Shamrock Rovers</v>
      </c>
      <c r="R29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4" t="str">
        <f>LEFT(base[[#This Row],[Evento / Mercado]],FIND("/",base[[#This Row],[Evento / Mercado]])-2)</f>
        <v>Shamrock Rovers vs Galway United</v>
      </c>
      <c r="T2949" s="1420">
        <f>base[[#This Row],[Data de liquidação]]</f>
        <v>46199.725613425922</v>
      </c>
    </row>
    <row r="2950" spans="2:22" ht="15" customHeight="1">
      <c r="B2950" s="935" t="s">
        <v>3601</v>
      </c>
      <c r="C2950" s="935" t="s">
        <v>3555</v>
      </c>
      <c r="D2950" s="1379">
        <v>46199.726087962961</v>
      </c>
      <c r="E2950" s="937">
        <v>39.25</v>
      </c>
      <c r="F2950" s="654">
        <v>4.4999999999999998E-2</v>
      </c>
      <c r="G2950" s="938">
        <f t="shared" si="63"/>
        <v>41.099476439790578</v>
      </c>
      <c r="H2950" s="938" t="s">
        <v>3253</v>
      </c>
      <c r="I2950" s="939" t="s">
        <v>1555</v>
      </c>
      <c r="J2950" s="938">
        <v>5</v>
      </c>
      <c r="K2950" s="938">
        <v>200</v>
      </c>
      <c r="L2950" s="936">
        <f>INT(base[[#This Row],[Data de liquidação]])</f>
        <v>46199</v>
      </c>
      <c r="M2950" s="938">
        <f>base[[#This Row],[L/P Bruto]]-base[[#This Row],[L/P Líquido]]</f>
        <v>1.8494764397905783</v>
      </c>
      <c r="N2950" s="938">
        <f>base[[#This Row],[L/P Líquido]]/base[[#This Row],[Stake/Responsabilidade]]</f>
        <v>0.19625000000000001</v>
      </c>
      <c r="O2950" s="940">
        <f>IF(base[[#This Row],[L/P Líquido]]&gt;0,1,0)</f>
        <v>1</v>
      </c>
      <c r="P2950" s="940"/>
      <c r="Q2950" s="940" t="str">
        <f>LEFT(base[[#This Row],[Evento / Mercado]],FIND("vs",base[[#This Row],[Evento / Mercado]])-2)</f>
        <v>Shamrock Rovers</v>
      </c>
      <c r="R29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4" t="str">
        <f>LEFT(base[[#This Row],[Evento / Mercado]],FIND("/",base[[#This Row],[Evento / Mercado]])-2)</f>
        <v>Shamrock Rovers vs Galway United</v>
      </c>
      <c r="T2950" s="1420">
        <f>base[[#This Row],[Data de liquidação]]</f>
        <v>46199.726087962961</v>
      </c>
    </row>
    <row r="2951" spans="2:22" ht="15" customHeight="1">
      <c r="B2951" s="935" t="s">
        <v>3601</v>
      </c>
      <c r="C2951" s="935" t="s">
        <v>3556</v>
      </c>
      <c r="D2951" s="1379">
        <v>46199.726087962961</v>
      </c>
      <c r="E2951" s="937">
        <v>5.51</v>
      </c>
      <c r="F2951" s="654">
        <v>4.4999999999999998E-2</v>
      </c>
      <c r="G2951" s="938">
        <f t="shared" si="63"/>
        <v>5.7696335078534036</v>
      </c>
      <c r="H2951" s="938" t="s">
        <v>3330</v>
      </c>
      <c r="I2951" s="939" t="s">
        <v>3566</v>
      </c>
      <c r="J2951" s="938">
        <v>8.8000000000000007</v>
      </c>
      <c r="K2951" s="938">
        <v>75.040000000000006</v>
      </c>
      <c r="L2951" s="936">
        <f>INT(base[[#This Row],[Data de liquidação]])</f>
        <v>46199</v>
      </c>
      <c r="M2951" s="938">
        <f>base[[#This Row],[L/P Bruto]]-base[[#This Row],[L/P Líquido]]</f>
        <v>0.25963350785340378</v>
      </c>
      <c r="N2951" s="938">
        <f>base[[#This Row],[L/P Líquido]]/base[[#This Row],[Stake/Responsabilidade]]</f>
        <v>7.3427505330490403E-2</v>
      </c>
      <c r="O2951" s="940">
        <f>IF(base[[#This Row],[L/P Líquido]]&gt;0,1,0)</f>
        <v>1</v>
      </c>
      <c r="P2951" s="940"/>
      <c r="Q2951" s="940" t="str">
        <f>LEFT(base[[#This Row],[Evento / Mercado]],FIND("vs",base[[#This Row],[Evento / Mercado]])-2)</f>
        <v>Shamrock Rovers</v>
      </c>
      <c r="R295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4" t="str">
        <f>LEFT(base[[#This Row],[Evento / Mercado]],FIND("/",base[[#This Row],[Evento / Mercado]])-2)</f>
        <v>Shamrock Rovers vs Galway United</v>
      </c>
      <c r="T2951" s="1420">
        <f>base[[#This Row],[Data de liquidação]]</f>
        <v>46199.726087962961</v>
      </c>
    </row>
    <row r="2952" spans="2:22" ht="15" customHeight="1">
      <c r="B2952" s="935" t="s">
        <v>3624</v>
      </c>
      <c r="C2952" s="935" t="s">
        <v>3556</v>
      </c>
      <c r="D2952" s="1379">
        <v>46199.73228009259</v>
      </c>
      <c r="E2952" s="937">
        <v>-399.37</v>
      </c>
      <c r="F2952" s="654">
        <v>4.4999999999999998E-2</v>
      </c>
      <c r="G2952" s="938">
        <f t="shared" si="63"/>
        <v>-399.37</v>
      </c>
      <c r="H2952" s="938" t="s">
        <v>179</v>
      </c>
      <c r="I2952" s="939" t="s">
        <v>392</v>
      </c>
      <c r="J2952" s="938">
        <v>6.2</v>
      </c>
      <c r="K2952" s="938">
        <f>62.4+336.97</f>
        <v>399.37</v>
      </c>
      <c r="L2952" s="936">
        <f>INT(base[[#This Row],[Data de liquidação]])</f>
        <v>46199</v>
      </c>
      <c r="M2952" s="938">
        <f>base[[#This Row],[L/P Bruto]]-base[[#This Row],[L/P Líquido]]</f>
        <v>0</v>
      </c>
      <c r="N2952" s="938">
        <f>base[[#This Row],[L/P Líquido]]/base[[#This Row],[Stake/Responsabilidade]]</f>
        <v>-1</v>
      </c>
      <c r="O2952" s="940">
        <f>IF(base[[#This Row],[L/P Líquido]]&gt;0,1,0)</f>
        <v>0</v>
      </c>
      <c r="P2952" s="940" t="s">
        <v>2152</v>
      </c>
      <c r="Q2952" s="940" t="str">
        <f>LEFT(base[[#This Row],[Evento / Mercado]],FIND("vs",base[[#This Row],[Evento / Mercado]])-2)</f>
        <v>Dundalk</v>
      </c>
      <c r="R295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4" t="str">
        <f>LEFT(base[[#This Row],[Evento / Mercado]],FIND("/",base[[#This Row],[Evento / Mercado]])-2)</f>
        <v>Dundalk vs Waterford FC</v>
      </c>
      <c r="T2952" s="1420">
        <f>base[[#This Row],[Data de liquidação]]</f>
        <v>46199.73228009259</v>
      </c>
    </row>
    <row r="2953" spans="2:22" ht="15" customHeight="1">
      <c r="B2953" s="935" t="s">
        <v>3623</v>
      </c>
      <c r="C2953" s="935" t="s">
        <v>3556</v>
      </c>
      <c r="D2953" s="1379">
        <v>46199.749039351853</v>
      </c>
      <c r="E2953" s="937">
        <f>-184.85-40</f>
        <v>-224.85</v>
      </c>
      <c r="F2953" s="654">
        <v>4.4999999999999998E-2</v>
      </c>
      <c r="G2953" s="938">
        <f t="shared" si="63"/>
        <v>-224.85</v>
      </c>
      <c r="H2953" s="938" t="s">
        <v>3581</v>
      </c>
      <c r="I2953" s="939" t="s">
        <v>3632</v>
      </c>
      <c r="J2953" s="938">
        <v>1.23</v>
      </c>
      <c r="K2953" s="938">
        <v>50</v>
      </c>
      <c r="L2953" s="936">
        <f>INT(base[[#This Row],[Data de liquidação]])</f>
        <v>46199</v>
      </c>
      <c r="M2953" s="938">
        <f>base[[#This Row],[L/P Bruto]]-base[[#This Row],[L/P Líquido]]</f>
        <v>0</v>
      </c>
      <c r="N2953" s="938">
        <f>base[[#This Row],[L/P Líquido]]/base[[#This Row],[Stake/Responsabilidade]]</f>
        <v>-4.4969999999999999</v>
      </c>
      <c r="O2953" s="940">
        <f>IF(base[[#This Row],[L/P Líquido]]&gt;0,1,0)</f>
        <v>0</v>
      </c>
      <c r="P2953" s="940"/>
      <c r="Q2953" s="940" t="str">
        <f>LEFT(base[[#This Row],[Evento / Mercado]],FIND("vs",base[[#This Row],[Evento / Mercado]])-2)</f>
        <v>Norway</v>
      </c>
      <c r="R295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4" t="str">
        <f>LEFT(base[[#This Row],[Evento / Mercado]],FIND("/",base[[#This Row],[Evento / Mercado]])-2)</f>
        <v>Norway vs France</v>
      </c>
      <c r="T2953" s="1420">
        <f>base[[#This Row],[Data de liquidação]]</f>
        <v>46199.749039351853</v>
      </c>
    </row>
    <row r="2954" spans="2:22" ht="15" customHeight="1">
      <c r="B2954" s="935" t="s">
        <v>3623</v>
      </c>
      <c r="C2954" s="935" t="s">
        <v>3556</v>
      </c>
      <c r="D2954" s="1379">
        <v>46199.749039351853</v>
      </c>
      <c r="E2954" s="937">
        <v>40</v>
      </c>
      <c r="F2954" s="654">
        <v>0</v>
      </c>
      <c r="G2954" s="938">
        <f t="shared" si="63"/>
        <v>40</v>
      </c>
      <c r="H2954" s="938" t="s">
        <v>3188</v>
      </c>
      <c r="I2954" s="939" t="s">
        <v>3631</v>
      </c>
      <c r="J2954" s="938">
        <v>3.5</v>
      </c>
      <c r="K2954" s="938">
        <v>40</v>
      </c>
      <c r="L2954" s="936">
        <f>INT(base[[#This Row],[Data de liquidação]])</f>
        <v>46199</v>
      </c>
      <c r="M2954" s="938">
        <f>base[[#This Row],[L/P Bruto]]-base[[#This Row],[L/P Líquido]]</f>
        <v>0</v>
      </c>
      <c r="N2954" s="938">
        <f>base[[#This Row],[L/P Líquido]]/base[[#This Row],[Stake/Responsabilidade]]</f>
        <v>1</v>
      </c>
      <c r="O2954" s="940">
        <f>IF(base[[#This Row],[L/P Líquido]]&gt;0,1,0)</f>
        <v>1</v>
      </c>
      <c r="P2954" s="940"/>
      <c r="Q2954" s="940" t="str">
        <f>LEFT(base[[#This Row],[Evento / Mercado]],FIND("vs",base[[#This Row],[Evento / Mercado]])-2)</f>
        <v>Norway</v>
      </c>
      <c r="R295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4" t="str">
        <f>LEFT(base[[#This Row],[Evento / Mercado]],FIND("/",base[[#This Row],[Evento / Mercado]])-2)</f>
        <v>Norway vs France</v>
      </c>
      <c r="T2954" s="142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935" t="s">
        <v>3622</v>
      </c>
      <c r="C2955" s="935" t="s">
        <v>3556</v>
      </c>
      <c r="D2955" s="1379">
        <v>46199.749537037038</v>
      </c>
      <c r="E2955" s="937">
        <v>6.99</v>
      </c>
      <c r="F2955" s="654">
        <v>4.4999999999999998E-2</v>
      </c>
      <c r="G2955" s="938">
        <f t="shared" si="63"/>
        <v>7.3193717277486918</v>
      </c>
      <c r="H2955" s="938" t="s">
        <v>3334</v>
      </c>
      <c r="I2955" s="939" t="s">
        <v>694</v>
      </c>
      <c r="J2955" s="938">
        <v>32</v>
      </c>
      <c r="K2955" s="938">
        <v>226.92</v>
      </c>
      <c r="L2955" s="936">
        <f>INT(base[[#This Row],[Data de liquidação]])</f>
        <v>46199</v>
      </c>
      <c r="M2955" s="938">
        <f>base[[#This Row],[L/P Bruto]]-base[[#This Row],[L/P Líquido]]</f>
        <v>0.32937172774869161</v>
      </c>
      <c r="N2955" s="938">
        <f>base[[#This Row],[L/P Líquido]]/base[[#This Row],[Stake/Responsabilidade]]</f>
        <v>3.0803807509254367E-2</v>
      </c>
      <c r="O2955" s="940">
        <f>IF(base[[#This Row],[L/P Líquido]]&gt;0,1,0)</f>
        <v>1</v>
      </c>
      <c r="P2955" s="940"/>
      <c r="Q2955" s="940" t="str">
        <f>LEFT(base[[#This Row],[Evento / Mercado]],FIND("vs",base[[#This Row],[Evento / Mercado]])-2)</f>
        <v>Norway</v>
      </c>
      <c r="R295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4" t="str">
        <f>LEFT(base[[#This Row],[Evento / Mercado]],FIND("/",base[[#This Row],[Evento / Mercado]])-2)</f>
        <v>Norway vs France</v>
      </c>
      <c r="T2955" s="1420">
        <f>base[[#This Row],[Data de liquidação]]</f>
        <v>46199.749537037038</v>
      </c>
    </row>
    <row r="2956" spans="2:22" ht="15" customHeight="1">
      <c r="B2956" s="935" t="s">
        <v>3621</v>
      </c>
      <c r="C2956" s="935" t="s">
        <v>3556</v>
      </c>
      <c r="D2956" s="1379">
        <v>46199.761944444443</v>
      </c>
      <c r="E2956" s="937">
        <v>47.75</v>
      </c>
      <c r="F2956" s="654">
        <v>4.4999999999999998E-2</v>
      </c>
      <c r="G2956" s="938">
        <f t="shared" si="63"/>
        <v>50</v>
      </c>
      <c r="H2956" s="938" t="s">
        <v>3411</v>
      </c>
      <c r="I2956" s="939" t="s">
        <v>3412</v>
      </c>
      <c r="J2956" s="938">
        <v>9</v>
      </c>
      <c r="K2956" s="938">
        <v>400</v>
      </c>
      <c r="L2956" s="936">
        <f>INT(base[[#This Row],[Data de liquidação]])</f>
        <v>46199</v>
      </c>
      <c r="M2956" s="938">
        <f>base[[#This Row],[L/P Bruto]]-base[[#This Row],[L/P Líquido]]</f>
        <v>2.25</v>
      </c>
      <c r="N2956" s="938">
        <f>base[[#This Row],[L/P Líquido]]/base[[#This Row],[Stake/Responsabilidade]]</f>
        <v>0.119375</v>
      </c>
      <c r="O2956" s="940">
        <f>IF(base[[#This Row],[L/P Líquido]]&gt;0,1,0)</f>
        <v>1</v>
      </c>
      <c r="P2956" s="940"/>
      <c r="Q2956" s="940" t="e">
        <f>LEFT(base[[#This Row],[Evento / Mercado]],FIND("vs",base[[#This Row],[Evento / Mercado]])-2)</f>
        <v>#VALUE!</v>
      </c>
      <c r="R2956" s="9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4" t="str">
        <f>LEFT(base[[#This Row],[Evento / Mercado]],FIND("/",base[[#This Row],[Evento / Mercado]])-2)</f>
        <v>FIFA World Cup - Group I Winner</v>
      </c>
      <c r="T2956" s="1420">
        <f>base[[#This Row],[Data de liquidação]]</f>
        <v>46199.761944444443</v>
      </c>
    </row>
    <row r="2957" spans="2:22" ht="15" customHeight="1">
      <c r="B2957" s="935" t="s">
        <v>3600</v>
      </c>
      <c r="C2957" s="935" t="s">
        <v>3555</v>
      </c>
      <c r="D2957" s="1379">
        <v>46199.958043981482</v>
      </c>
      <c r="E2957" s="937">
        <v>-201.39</v>
      </c>
      <c r="F2957" s="654">
        <v>4.4999999999999998E-2</v>
      </c>
      <c r="G2957" s="938">
        <f t="shared" si="63"/>
        <v>-201.39</v>
      </c>
      <c r="H2957" s="938" t="s">
        <v>150</v>
      </c>
      <c r="I2957" s="939" t="s">
        <v>75</v>
      </c>
      <c r="J2957" s="938">
        <v>11.5</v>
      </c>
      <c r="K2957" s="938">
        <v>201.39</v>
      </c>
      <c r="L2957" s="936">
        <f>INT(base[[#This Row],[Data de liquidação]])</f>
        <v>46199</v>
      </c>
      <c r="M2957" s="938">
        <f>base[[#This Row],[L/P Bruto]]-base[[#This Row],[L/P Líquido]]</f>
        <v>0</v>
      </c>
      <c r="N2957" s="938">
        <f>base[[#This Row],[L/P Líquido]]/base[[#This Row],[Stake/Responsabilidade]]</f>
        <v>-1</v>
      </c>
      <c r="O2957" s="940">
        <f>IF(base[[#This Row],[L/P Líquido]]&gt;0,1,0)</f>
        <v>0</v>
      </c>
      <c r="P2957" s="940"/>
      <c r="Q2957" s="940" t="str">
        <f>LEFT(base[[#This Row],[Evento / Mercado]],FIND("vs",base[[#This Row],[Evento / Mercado]])-2)</f>
        <v>Cape Verde</v>
      </c>
      <c r="R295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4" t="str">
        <f>LEFT(base[[#This Row],[Evento / Mercado]],FIND("/",base[[#This Row],[Evento / Mercado]])-2)</f>
        <v>Cape Verde vs Saudi Arabia</v>
      </c>
      <c r="T2957" s="1420">
        <f>base[[#This Row],[Data de liquidação]]</f>
        <v>46199.958043981482</v>
      </c>
    </row>
    <row r="2958" spans="2:22" ht="15" customHeight="1">
      <c r="B2958" s="935" t="s">
        <v>3620</v>
      </c>
      <c r="C2958" s="935" t="s">
        <v>3556</v>
      </c>
      <c r="D2958" s="1379">
        <v>46199.959074074075</v>
      </c>
      <c r="E2958" s="937">
        <v>30.29</v>
      </c>
      <c r="F2958" s="654">
        <v>4.4999999999999998E-2</v>
      </c>
      <c r="G2958" s="938">
        <f t="shared" si="63"/>
        <v>31.717277486910994</v>
      </c>
      <c r="H2958" s="938" t="s">
        <v>3334</v>
      </c>
      <c r="I2958" s="939" t="s">
        <v>694</v>
      </c>
      <c r="J2958" s="938">
        <v>15.5</v>
      </c>
      <c r="K2958" s="938">
        <v>459.94</v>
      </c>
      <c r="L2958" s="936">
        <f>INT(base[[#This Row],[Data de liquidação]])</f>
        <v>46199</v>
      </c>
      <c r="M2958" s="938">
        <f>base[[#This Row],[L/P Bruto]]-base[[#This Row],[L/P Líquido]]</f>
        <v>1.4272774869109952</v>
      </c>
      <c r="N2958" s="938">
        <f>base[[#This Row],[L/P Líquido]]/base[[#This Row],[Stake/Responsabilidade]]</f>
        <v>6.5856416054267952E-2</v>
      </c>
      <c r="O2958" s="940">
        <f>IF(base[[#This Row],[L/P Líquido]]&gt;0,1,0)</f>
        <v>1</v>
      </c>
      <c r="P2958" s="940"/>
      <c r="Q2958" s="940" t="str">
        <f>LEFT(base[[#This Row],[Evento / Mercado]],FIND("vs",base[[#This Row],[Evento / Mercado]])-2)</f>
        <v>Uruguay</v>
      </c>
      <c r="R295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4" t="str">
        <f>LEFT(base[[#This Row],[Evento / Mercado]],FIND("/",base[[#This Row],[Evento / Mercado]])-2)</f>
        <v>Uruguay vs Spain</v>
      </c>
      <c r="T2958" s="1420">
        <f>base[[#This Row],[Data de liquidação]]</f>
        <v>46199.959074074075</v>
      </c>
    </row>
    <row r="2959" spans="2:22" ht="15" customHeight="1">
      <c r="B2959" s="935" t="s">
        <v>3599</v>
      </c>
      <c r="C2959" s="935" t="s">
        <v>3555</v>
      </c>
      <c r="D2959" s="1379">
        <v>46199.959618055553</v>
      </c>
      <c r="E2959" s="937">
        <v>72</v>
      </c>
      <c r="F2959" s="654">
        <v>4.4999999999999998E-2</v>
      </c>
      <c r="G2959" s="938">
        <f t="shared" si="63"/>
        <v>75.392670157068068</v>
      </c>
      <c r="H2959" s="938" t="s">
        <v>179</v>
      </c>
      <c r="I2959" s="939" t="s">
        <v>3393</v>
      </c>
      <c r="J2959" s="938">
        <v>6.4</v>
      </c>
      <c r="K2959" s="938">
        <v>399.98</v>
      </c>
      <c r="L2959" s="936">
        <f>INT(base[[#This Row],[Data de liquidação]])</f>
        <v>46199</v>
      </c>
      <c r="M2959" s="938">
        <f>base[[#This Row],[L/P Bruto]]-base[[#This Row],[L/P Líquido]]</f>
        <v>3.3926701570680677</v>
      </c>
      <c r="N2959" s="938">
        <f>base[[#This Row],[L/P Líquido]]/base[[#This Row],[Stake/Responsabilidade]]</f>
        <v>0.18000900045002249</v>
      </c>
      <c r="O2959" s="940">
        <f>IF(base[[#This Row],[L/P Líquido]]&gt;0,1,0)</f>
        <v>1</v>
      </c>
      <c r="P2959" s="940" t="s">
        <v>3331</v>
      </c>
      <c r="Q2959" s="940" t="str">
        <f>LEFT(base[[#This Row],[Evento / Mercado]],FIND("vs",base[[#This Row],[Evento / Mercado]])-2)</f>
        <v>Uruguay</v>
      </c>
      <c r="R295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4" t="str">
        <f>LEFT(base[[#This Row],[Evento / Mercado]],FIND("/",base[[#This Row],[Evento / Mercado]])-2)</f>
        <v>Uruguay vs Spain</v>
      </c>
      <c r="T2959" s="1420">
        <f>base[[#This Row],[Data de liquidação]]</f>
        <v>46199.959618055553</v>
      </c>
    </row>
    <row r="2960" spans="2:22" ht="15" customHeight="1">
      <c r="B2960" s="935" t="s">
        <v>3598</v>
      </c>
      <c r="C2960" s="935" t="s">
        <v>3555</v>
      </c>
      <c r="D2960" s="1379">
        <v>46200.08184027778</v>
      </c>
      <c r="E2960" s="937">
        <v>25.09</v>
      </c>
      <c r="F2960" s="654">
        <v>4.4999999999999998E-2</v>
      </c>
      <c r="G2960" s="938">
        <f t="shared" si="63"/>
        <v>26.272251308900525</v>
      </c>
      <c r="H2960" s="938" t="s">
        <v>179</v>
      </c>
      <c r="I2960" s="939" t="s">
        <v>3393</v>
      </c>
      <c r="J2960" s="938">
        <v>16.5</v>
      </c>
      <c r="K2960" s="938">
        <v>400.06</v>
      </c>
      <c r="L2960" s="936">
        <f>INT(base[[#This Row],[Data de liquidação]])</f>
        <v>46200</v>
      </c>
      <c r="M2960" s="938">
        <f>base[[#This Row],[L/P Bruto]]-base[[#This Row],[L/P Líquido]]</f>
        <v>1.1822513089005255</v>
      </c>
      <c r="N2960" s="938">
        <f>base[[#This Row],[L/P Líquido]]/base[[#This Row],[Stake/Responsabilidade]]</f>
        <v>6.2715592661100827E-2</v>
      </c>
      <c r="O2960" s="940">
        <f>IF(base[[#This Row],[L/P Líquido]]&gt;0,1,0)</f>
        <v>1</v>
      </c>
      <c r="P2960" s="940" t="s">
        <v>3331</v>
      </c>
      <c r="Q2960" s="940" t="str">
        <f>LEFT(base[[#This Row],[Evento / Mercado]],FIND("vs",base[[#This Row],[Evento / Mercado]])-2)</f>
        <v>New Zealand</v>
      </c>
      <c r="R296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4" t="str">
        <f>LEFT(base[[#This Row],[Evento / Mercado]],FIND("/",base[[#This Row],[Evento / Mercado]])-2)</f>
        <v>New Zealand vs Belgium</v>
      </c>
      <c r="T2960" s="1420">
        <f>base[[#This Row],[Data de liquidação]]</f>
        <v>46200.08184027778</v>
      </c>
    </row>
    <row r="2961" spans="2:20" ht="15" customHeight="1">
      <c r="B2961" s="935" t="s">
        <v>3619</v>
      </c>
      <c r="C2961" s="935" t="s">
        <v>3556</v>
      </c>
      <c r="D2961" s="1379">
        <v>46200.410995370374</v>
      </c>
      <c r="E2961" s="937">
        <v>1.08</v>
      </c>
      <c r="F2961" s="654">
        <v>4.4999999999999998E-2</v>
      </c>
      <c r="G2961" s="938">
        <f t="shared" si="63"/>
        <v>1.130890052356021</v>
      </c>
      <c r="H2961" s="938" t="s">
        <v>3188</v>
      </c>
      <c r="I2961" s="939" t="s">
        <v>296</v>
      </c>
      <c r="J2961" s="938">
        <v>3.8</v>
      </c>
      <c r="K2961" s="938">
        <v>3.16</v>
      </c>
      <c r="L2961" s="936">
        <f>INT(base[[#This Row],[Data de liquidação]])</f>
        <v>46200</v>
      </c>
      <c r="M2961" s="938">
        <f>base[[#This Row],[L/P Bruto]]-base[[#This Row],[L/P Líquido]]</f>
        <v>5.0890052356020954E-2</v>
      </c>
      <c r="N2961" s="938">
        <f>base[[#This Row],[L/P Líquido]]/base[[#This Row],[Stake/Responsabilidade]]</f>
        <v>0.34177215189873417</v>
      </c>
      <c r="O2961" s="940">
        <f>IF(base[[#This Row],[L/P Líquido]]&gt;0,1,0)</f>
        <v>1</v>
      </c>
      <c r="P2961" s="940"/>
      <c r="Q2961" s="940" t="str">
        <f>LEFT(base[[#This Row],[Evento / Mercado]],FIND("vs",base[[#This Row],[Evento / Mercado]])-2)</f>
        <v>Henan Songshan Longmen</v>
      </c>
      <c r="R296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4" t="str">
        <f>LEFT(base[[#This Row],[Evento / Mercado]],FIND("/",base[[#This Row],[Evento / Mercado]])-2)</f>
        <v>Henan Songshan Longmen vs Shanghai Port</v>
      </c>
      <c r="T2961" s="1420">
        <f>base[[#This Row],[Data de liquidação]]</f>
        <v>46200.410995370374</v>
      </c>
    </row>
    <row r="2962" spans="2:20" ht="15" customHeight="1">
      <c r="B2962" s="935" t="s">
        <v>3618</v>
      </c>
      <c r="C2962" s="935" t="s">
        <v>3556</v>
      </c>
      <c r="D2962" s="1379">
        <v>46200.412835648145</v>
      </c>
      <c r="E2962" s="937">
        <v>38.200000000000003</v>
      </c>
      <c r="F2962" s="654">
        <v>4.4999999999999998E-2</v>
      </c>
      <c r="G2962" s="938">
        <f t="shared" si="63"/>
        <v>40.000000000000007</v>
      </c>
      <c r="H2962" s="938" t="s">
        <v>3188</v>
      </c>
      <c r="I2962" s="939" t="s">
        <v>1572</v>
      </c>
      <c r="J2962" s="938">
        <v>4</v>
      </c>
      <c r="K2962" s="938">
        <v>40</v>
      </c>
      <c r="L2962" s="936">
        <f>INT(base[[#This Row],[Data de liquidação]])</f>
        <v>46200</v>
      </c>
      <c r="M2962" s="938">
        <f>base[[#This Row],[L/P Bruto]]-base[[#This Row],[L/P Líquido]]</f>
        <v>1.8000000000000043</v>
      </c>
      <c r="N2962" s="938">
        <f>base[[#This Row],[L/P Líquido]]/base[[#This Row],[Stake/Responsabilidade]]</f>
        <v>0.95500000000000007</v>
      </c>
      <c r="O2962" s="940">
        <f>IF(base[[#This Row],[L/P Líquido]]&gt;0,1,0)</f>
        <v>1</v>
      </c>
      <c r="P2962" s="940"/>
      <c r="Q2962" s="940" t="str">
        <f>LEFT(base[[#This Row],[Evento / Mercado]],FIND("vs",base[[#This Row],[Evento / Mercado]])-2)</f>
        <v>Shenzhen Peng City</v>
      </c>
      <c r="R296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4" t="str">
        <f>LEFT(base[[#This Row],[Evento / Mercado]],FIND("/",base[[#This Row],[Evento / Mercado]])-2)</f>
        <v>Shenzhen Peng City vs Chengdu Rongcheng</v>
      </c>
      <c r="T2962" s="1420">
        <f>base[[#This Row],[Data de liquidação]]</f>
        <v>46200.412835648145</v>
      </c>
    </row>
    <row r="2963" spans="2:20" ht="15" customHeight="1">
      <c r="B2963" s="935" t="s">
        <v>3617</v>
      </c>
      <c r="C2963" s="935" t="s">
        <v>3556</v>
      </c>
      <c r="D2963" s="1379">
        <v>46200.458634259259</v>
      </c>
      <c r="E2963" s="937">
        <v>11.41</v>
      </c>
      <c r="F2963" s="654">
        <v>4.4999999999999998E-2</v>
      </c>
      <c r="G2963" s="938">
        <f t="shared" si="63"/>
        <v>11.947643979057592</v>
      </c>
      <c r="H2963" s="938" t="s">
        <v>3334</v>
      </c>
      <c r="I2963" s="939" t="s">
        <v>627</v>
      </c>
      <c r="J2963" s="938">
        <v>42</v>
      </c>
      <c r="K2963" s="938">
        <v>489.95</v>
      </c>
      <c r="L2963" s="936">
        <f>INT(base[[#This Row],[Data de liquidação]])</f>
        <v>46200</v>
      </c>
      <c r="M2963" s="938">
        <f>base[[#This Row],[L/P Bruto]]-base[[#This Row],[L/P Líquido]]</f>
        <v>0.53764397905759154</v>
      </c>
      <c r="N2963" s="938">
        <f>base[[#This Row],[L/P Líquido]]/base[[#This Row],[Stake/Responsabilidade]]</f>
        <v>2.3288090621491991E-2</v>
      </c>
      <c r="O2963" s="940">
        <f>IF(base[[#This Row],[L/P Líquido]]&gt;0,1,0)</f>
        <v>1</v>
      </c>
      <c r="P2963" s="940"/>
      <c r="Q2963" s="940" t="str">
        <f>LEFT(base[[#This Row],[Evento / Mercado]],FIND("vs",base[[#This Row],[Evento / Mercado]])-2)</f>
        <v>Beijing Guoan</v>
      </c>
      <c r="R296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4" t="str">
        <f>LEFT(base[[#This Row],[Evento / Mercado]],FIND("/",base[[#This Row],[Evento / Mercado]])-2)</f>
        <v>Beijing Guoan vs Wuhan Three Towns</v>
      </c>
      <c r="T2963" s="1420">
        <f>base[[#This Row],[Data de liquidação]]</f>
        <v>46200.458634259259</v>
      </c>
    </row>
    <row r="2964" spans="2:20" ht="15" customHeight="1">
      <c r="B2964" s="935" t="s">
        <v>3616</v>
      </c>
      <c r="C2964" s="935" t="s">
        <v>3556</v>
      </c>
      <c r="D2964" s="1379">
        <v>46200.496238425927</v>
      </c>
      <c r="E2964" s="937">
        <v>27.02</v>
      </c>
      <c r="F2964" s="654">
        <v>4.4999999999999998E-2</v>
      </c>
      <c r="G2964" s="938">
        <f t="shared" si="63"/>
        <v>28.293193717277486</v>
      </c>
      <c r="H2964" s="938" t="s">
        <v>3334</v>
      </c>
      <c r="I2964" s="939" t="s">
        <v>627</v>
      </c>
      <c r="J2964" s="938">
        <f>(19*489.46+11*11)/base[[#This Row],[Stake/Responsabilidade]]</f>
        <v>18.824161771170523</v>
      </c>
      <c r="K2964" s="938">
        <f>489.46+11</f>
        <v>500.46</v>
      </c>
      <c r="L2964" s="936">
        <f>INT(base[[#This Row],[Data de liquidação]])</f>
        <v>46200</v>
      </c>
      <c r="M2964" s="938">
        <f>base[[#This Row],[L/P Bruto]]-base[[#This Row],[L/P Líquido]]</f>
        <v>1.2731937172774863</v>
      </c>
      <c r="N2964" s="938">
        <f>base[[#This Row],[L/P Líquido]]/base[[#This Row],[Stake/Responsabilidade]]</f>
        <v>5.3990328897414383E-2</v>
      </c>
      <c r="O2964" s="940">
        <f>IF(base[[#This Row],[L/P Líquido]]&gt;0,1,0)</f>
        <v>1</v>
      </c>
      <c r="P2964" s="940"/>
      <c r="Q2964" s="940" t="str">
        <f>LEFT(base[[#This Row],[Evento / Mercado]],FIND("vs",base[[#This Row],[Evento / Mercado]])-2)</f>
        <v>Varbergs BoIS</v>
      </c>
      <c r="R296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4" t="str">
        <f>LEFT(base[[#This Row],[Evento / Mercado]],FIND("/",base[[#This Row],[Evento / Mercado]])-2)</f>
        <v>Varbergs BoIS vs Östers IF</v>
      </c>
      <c r="T2964" s="1420">
        <f>base[[#This Row],[Data de liquidação]]</f>
        <v>46200.496238425927</v>
      </c>
    </row>
    <row r="2965" spans="2:20" ht="15" customHeight="1">
      <c r="B2965" s="935" t="s">
        <v>3597</v>
      </c>
      <c r="C2965" s="935" t="s">
        <v>3555</v>
      </c>
      <c r="D2965" s="1379">
        <v>46200.535624999997</v>
      </c>
      <c r="E2965" s="937">
        <v>-25</v>
      </c>
      <c r="F2965" s="654">
        <v>4.4999999999999998E-2</v>
      </c>
      <c r="G2965" s="938">
        <f t="shared" si="63"/>
        <v>-25</v>
      </c>
      <c r="H2965" s="938" t="s">
        <v>3253</v>
      </c>
      <c r="I2965" s="939" t="s">
        <v>3254</v>
      </c>
      <c r="J2965" s="938">
        <v>9</v>
      </c>
      <c r="K2965" s="938">
        <v>25</v>
      </c>
      <c r="L2965" s="936">
        <f>INT(base[[#This Row],[Data de liquidação]])</f>
        <v>46200</v>
      </c>
      <c r="M2965" s="938">
        <f>base[[#This Row],[L/P Bruto]]-base[[#This Row],[L/P Líquido]]</f>
        <v>0</v>
      </c>
      <c r="N2965" s="938">
        <f>base[[#This Row],[L/P Líquido]]/base[[#This Row],[Stake/Responsabilidade]]</f>
        <v>-1</v>
      </c>
      <c r="O2965" s="940">
        <f>IF(base[[#This Row],[L/P Líquido]]&gt;0,1,0)</f>
        <v>0</v>
      </c>
      <c r="P2965" s="940"/>
      <c r="Q2965" s="940" t="str">
        <f>LEFT(base[[#This Row],[Evento / Mercado]],FIND("vs",base[[#This Row],[Evento / Mercado]])-2)</f>
        <v>Sandnes Ulf</v>
      </c>
      <c r="R296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4" t="str">
        <f>LEFT(base[[#This Row],[Evento / Mercado]],FIND("/",base[[#This Row],[Evento / Mercado]])-2)</f>
        <v>Sandnes Ulf vs Raufoss</v>
      </c>
      <c r="T2965" s="1420">
        <f>base[[#This Row],[Data de liquidação]]</f>
        <v>46200.535624999997</v>
      </c>
    </row>
    <row r="2966" spans="2:20" ht="15" customHeight="1">
      <c r="B2966" s="935" t="s">
        <v>3596</v>
      </c>
      <c r="C2966" s="935" t="s">
        <v>3555</v>
      </c>
      <c r="D2966" s="1379">
        <v>46200.535717592589</v>
      </c>
      <c r="E2966" s="937">
        <v>51.75</v>
      </c>
      <c r="F2966" s="654">
        <v>4.4999999999999998E-2</v>
      </c>
      <c r="G2966" s="938">
        <f t="shared" si="63"/>
        <v>54.188481675392673</v>
      </c>
      <c r="H2966" s="938" t="s">
        <v>3253</v>
      </c>
      <c r="I2966" s="939" t="s">
        <v>1555</v>
      </c>
      <c r="J2966" s="938">
        <v>4.5999999999999996</v>
      </c>
      <c r="K2966" s="938">
        <v>200.02</v>
      </c>
      <c r="L2966" s="936">
        <f>INT(base[[#This Row],[Data de liquidação]])</f>
        <v>46200</v>
      </c>
      <c r="M2966" s="938">
        <f>base[[#This Row],[L/P Bruto]]-base[[#This Row],[L/P Líquido]]</f>
        <v>2.4384816753926728</v>
      </c>
      <c r="N2966" s="938">
        <f>base[[#This Row],[L/P Líquido]]/base[[#This Row],[Stake/Responsabilidade]]</f>
        <v>0.25872412758724128</v>
      </c>
      <c r="O2966" s="940">
        <f>IF(base[[#This Row],[L/P Líquido]]&gt;0,1,0)</f>
        <v>1</v>
      </c>
      <c r="P2966" s="940"/>
      <c r="Q2966" s="940" t="str">
        <f>LEFT(base[[#This Row],[Evento / Mercado]],FIND("vs",base[[#This Row],[Evento / Mercado]])-2)</f>
        <v>Sandnes Ulf</v>
      </c>
      <c r="R296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4" t="str">
        <f>LEFT(base[[#This Row],[Evento / Mercado]],FIND("/",base[[#This Row],[Evento / Mercado]])-2)</f>
        <v>Sandnes Ulf vs Raufoss</v>
      </c>
      <c r="T2966" s="1420">
        <f>base[[#This Row],[Data de liquidação]]</f>
        <v>46200.535717592589</v>
      </c>
    </row>
    <row r="2967" spans="2:20" ht="15" customHeight="1">
      <c r="B2967" s="935" t="s">
        <v>3596</v>
      </c>
      <c r="C2967" s="935" t="s">
        <v>3556</v>
      </c>
      <c r="D2967" s="1379">
        <v>46200.535717592589</v>
      </c>
      <c r="E2967" s="937">
        <v>15.57</v>
      </c>
      <c r="F2967" s="654">
        <v>4.4999999999999998E-2</v>
      </c>
      <c r="G2967" s="938">
        <f t="shared" si="63"/>
        <v>16.30366492146597</v>
      </c>
      <c r="H2967" s="938" t="s">
        <v>3330</v>
      </c>
      <c r="I2967" s="1248" t="s">
        <v>4368</v>
      </c>
      <c r="J2967" s="938">
        <v>5.6</v>
      </c>
      <c r="K2967" s="938">
        <v>74.98</v>
      </c>
      <c r="L2967" s="936">
        <f>INT(base[[#This Row],[Data de liquidação]])</f>
        <v>46200</v>
      </c>
      <c r="M2967" s="938">
        <f>base[[#This Row],[L/P Bruto]]-base[[#This Row],[L/P Líquido]]</f>
        <v>0.7336649214659694</v>
      </c>
      <c r="N2967" s="938">
        <f>base[[#This Row],[L/P Líquido]]/base[[#This Row],[Stake/Responsabilidade]]</f>
        <v>0.20765537476660442</v>
      </c>
      <c r="O2967" s="940">
        <f>IF(base[[#This Row],[L/P Líquido]]&gt;0,1,0)</f>
        <v>1</v>
      </c>
      <c r="P2967" s="940"/>
      <c r="Q2967" s="940" t="str">
        <f>LEFT(base[[#This Row],[Evento / Mercado]],FIND("vs",base[[#This Row],[Evento / Mercado]])-2)</f>
        <v>Sandnes Ulf</v>
      </c>
      <c r="R296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4" t="str">
        <f>LEFT(base[[#This Row],[Evento / Mercado]],FIND("/",base[[#This Row],[Evento / Mercado]])-2)</f>
        <v>Sandnes Ulf vs Raufoss</v>
      </c>
      <c r="T2967" s="1420">
        <f>base[[#This Row],[Data de liquidação]]</f>
        <v>46200.535717592589</v>
      </c>
    </row>
    <row r="2968" spans="2:20" ht="15" customHeight="1">
      <c r="B2968" s="935" t="s">
        <v>3615</v>
      </c>
      <c r="C2968" s="935" t="s">
        <v>3556</v>
      </c>
      <c r="D2968" s="1379">
        <v>46200.537731481483</v>
      </c>
      <c r="E2968" s="937">
        <v>18.72</v>
      </c>
      <c r="F2968" s="654">
        <v>4.4999999999999998E-2</v>
      </c>
      <c r="G2968" s="938">
        <f t="shared" si="63"/>
        <v>19.602094240837697</v>
      </c>
      <c r="H2968" s="938" t="s">
        <v>3334</v>
      </c>
      <c r="I2968" s="939" t="s">
        <v>627</v>
      </c>
      <c r="J2968" s="938">
        <v>26</v>
      </c>
      <c r="K2968" s="938">
        <v>490</v>
      </c>
      <c r="L2968" s="936">
        <f>INT(base[[#This Row],[Data de liquidação]])</f>
        <v>46200</v>
      </c>
      <c r="M2968" s="938">
        <f>base[[#This Row],[L/P Bruto]]-base[[#This Row],[L/P Líquido]]</f>
        <v>0.88209424083769861</v>
      </c>
      <c r="N2968" s="938">
        <f>base[[#This Row],[L/P Líquido]]/base[[#This Row],[Stake/Responsabilidade]]</f>
        <v>3.8204081632653056E-2</v>
      </c>
      <c r="O2968" s="940">
        <f>IF(base[[#This Row],[L/P Líquido]]&gt;0,1,0)</f>
        <v>1</v>
      </c>
      <c r="P2968" s="940"/>
      <c r="Q2968" s="940" t="str">
        <f>LEFT(base[[#This Row],[Evento / Mercado]],FIND("vs",base[[#This Row],[Evento / Mercado]])-2)</f>
        <v>Stabæk</v>
      </c>
      <c r="R296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4" t="str">
        <f>LEFT(base[[#This Row],[Evento / Mercado]],FIND("/",base[[#This Row],[Evento / Mercado]])-2)</f>
        <v>Stabæk vs Bryne</v>
      </c>
      <c r="T2968" s="1420">
        <f>base[[#This Row],[Data de liquidação]]</f>
        <v>46200.537731481483</v>
      </c>
    </row>
    <row r="2969" spans="2:20" ht="15" customHeight="1">
      <c r="B2969" s="935" t="s">
        <v>3595</v>
      </c>
      <c r="C2969" s="935" t="s">
        <v>3555</v>
      </c>
      <c r="D2969" s="1379">
        <v>46200.539479166669</v>
      </c>
      <c r="E2969" s="937">
        <v>-31.25</v>
      </c>
      <c r="F2969" s="654">
        <v>4.4999999999999998E-2</v>
      </c>
      <c r="G2969" s="938">
        <f t="shared" si="63"/>
        <v>-31.25</v>
      </c>
      <c r="H2969" s="938" t="s">
        <v>3253</v>
      </c>
      <c r="I2969" s="939" t="s">
        <v>3254</v>
      </c>
      <c r="J2969" s="938">
        <v>7.4</v>
      </c>
      <c r="K2969" s="938">
        <v>31.25</v>
      </c>
      <c r="L2969" s="936">
        <f>INT(base[[#This Row],[Data de liquidação]])</f>
        <v>46200</v>
      </c>
      <c r="M2969" s="938">
        <f>base[[#This Row],[L/P Bruto]]-base[[#This Row],[L/P Líquido]]</f>
        <v>0</v>
      </c>
      <c r="N2969" s="938">
        <f>base[[#This Row],[L/P Líquido]]/base[[#This Row],[Stake/Responsabilidade]]</f>
        <v>-1</v>
      </c>
      <c r="O2969" s="940">
        <f>IF(base[[#This Row],[L/P Líquido]]&gt;0,1,0)</f>
        <v>0</v>
      </c>
      <c r="P2969" s="940"/>
      <c r="Q2969" s="940" t="str">
        <f>LEFT(base[[#This Row],[Evento / Mercado]],FIND("vs",base[[#This Row],[Evento / Mercado]])-2)</f>
        <v>Operário Ferroviário</v>
      </c>
      <c r="R296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4" t="str">
        <f>LEFT(base[[#This Row],[Evento / Mercado]],FIND("/",base[[#This Row],[Evento / Mercado]])-2)</f>
        <v>Operário Ferroviário vs América-MG</v>
      </c>
      <c r="T2969" s="1420">
        <f>base[[#This Row],[Data de liquidação]]</f>
        <v>46200.539479166669</v>
      </c>
    </row>
    <row r="2970" spans="2:20" ht="15" customHeight="1">
      <c r="B2970" s="935" t="s">
        <v>3594</v>
      </c>
      <c r="C2970" s="935" t="s">
        <v>3555</v>
      </c>
      <c r="D2970" s="1379">
        <v>46200.539687500001</v>
      </c>
      <c r="E2970" s="937">
        <v>74.77</v>
      </c>
      <c r="F2970" s="654">
        <v>4.4999999999999998E-2</v>
      </c>
      <c r="G2970" s="938">
        <f t="shared" si="63"/>
        <v>78.293193717277489</v>
      </c>
      <c r="H2970" s="938" t="s">
        <v>3253</v>
      </c>
      <c r="I2970" s="939" t="s">
        <v>1555</v>
      </c>
      <c r="J2970" s="938">
        <v>3.6</v>
      </c>
      <c r="K2970" s="938">
        <v>199.99</v>
      </c>
      <c r="L2970" s="936">
        <f>INT(base[[#This Row],[Data de liquidação]])</f>
        <v>46200</v>
      </c>
      <c r="M2970" s="938">
        <f>base[[#This Row],[L/P Bruto]]-base[[#This Row],[L/P Líquido]]</f>
        <v>3.5231937172774934</v>
      </c>
      <c r="N2970" s="938">
        <f>base[[#This Row],[L/P Líquido]]/base[[#This Row],[Stake/Responsabilidade]]</f>
        <v>0.37386869343467172</v>
      </c>
      <c r="O2970" s="940">
        <f>IF(base[[#This Row],[L/P Líquido]]&gt;0,1,0)</f>
        <v>1</v>
      </c>
      <c r="P2970" s="940"/>
      <c r="Q2970" s="940" t="str">
        <f>LEFT(base[[#This Row],[Evento / Mercado]],FIND("vs",base[[#This Row],[Evento / Mercado]])-2)</f>
        <v>Operário Ferroviário</v>
      </c>
      <c r="R297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4" t="str">
        <f>LEFT(base[[#This Row],[Evento / Mercado]],FIND("/",base[[#This Row],[Evento / Mercado]])-2)</f>
        <v>Operário Ferroviário vs América-MG</v>
      </c>
      <c r="T2970" s="1420">
        <f>base[[#This Row],[Data de liquidação]]</f>
        <v>46200.539687500001</v>
      </c>
    </row>
    <row r="2971" spans="2:20" ht="15" customHeight="1">
      <c r="B2971" s="935" t="s">
        <v>3594</v>
      </c>
      <c r="C2971" s="935" t="s">
        <v>3556</v>
      </c>
      <c r="D2971" s="1379">
        <v>46200.539687500001</v>
      </c>
      <c r="E2971" s="937">
        <v>14.55</v>
      </c>
      <c r="F2971" s="654">
        <v>4.4999999999999998E-2</v>
      </c>
      <c r="G2971" s="938">
        <f t="shared" si="63"/>
        <v>15.235602094240839</v>
      </c>
      <c r="H2971" s="938" t="s">
        <v>3330</v>
      </c>
      <c r="I2971" s="1248" t="s">
        <v>4368</v>
      </c>
      <c r="J2971" s="938">
        <v>5.3</v>
      </c>
      <c r="K2971" s="938">
        <v>74.989999999999995</v>
      </c>
      <c r="L2971" s="936">
        <f>INT(base[[#This Row],[Data de liquidação]])</f>
        <v>46200</v>
      </c>
      <c r="M2971" s="938">
        <f>base[[#This Row],[L/P Bruto]]-base[[#This Row],[L/P Líquido]]</f>
        <v>0.68560209424083851</v>
      </c>
      <c r="N2971" s="938">
        <f>base[[#This Row],[L/P Líquido]]/base[[#This Row],[Stake/Responsabilidade]]</f>
        <v>0.19402587011601549</v>
      </c>
      <c r="O2971" s="940">
        <f>IF(base[[#This Row],[L/P Líquido]]&gt;0,1,0)</f>
        <v>1</v>
      </c>
      <c r="P2971" s="940"/>
      <c r="Q2971" s="940" t="str">
        <f>LEFT(base[[#This Row],[Evento / Mercado]],FIND("vs",base[[#This Row],[Evento / Mercado]])-2)</f>
        <v>Operário Ferroviário</v>
      </c>
      <c r="R297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4" t="str">
        <f>LEFT(base[[#This Row],[Evento / Mercado]],FIND("/",base[[#This Row],[Evento / Mercado]])-2)</f>
        <v>Operário Ferroviário vs América-MG</v>
      </c>
      <c r="T2971" s="1420">
        <f>base[[#This Row],[Data de liquidação]]</f>
        <v>46200.539687500001</v>
      </c>
    </row>
    <row r="2972" spans="2:20" ht="15" customHeight="1">
      <c r="B2972" s="935" t="s">
        <v>3593</v>
      </c>
      <c r="C2972" s="935" t="s">
        <v>3555</v>
      </c>
      <c r="D2972" s="1379">
        <v>46200.619849537034</v>
      </c>
      <c r="E2972" s="937">
        <v>-31.25</v>
      </c>
      <c r="F2972" s="654">
        <v>4.4999999999999998E-2</v>
      </c>
      <c r="G2972" s="938">
        <f t="shared" si="63"/>
        <v>-31.25</v>
      </c>
      <c r="H2972" s="938" t="s">
        <v>3253</v>
      </c>
      <c r="I2972" s="939" t="s">
        <v>3254</v>
      </c>
      <c r="J2972" s="938">
        <v>7.4</v>
      </c>
      <c r="K2972" s="938">
        <v>31.25</v>
      </c>
      <c r="L2972" s="936">
        <f>INT(base[[#This Row],[Data de liquidação]])</f>
        <v>46200</v>
      </c>
      <c r="M2972" s="938">
        <f>base[[#This Row],[L/P Bruto]]-base[[#This Row],[L/P Líquido]]</f>
        <v>0</v>
      </c>
      <c r="N2972" s="938">
        <f>base[[#This Row],[L/P Líquido]]/base[[#This Row],[Stake/Responsabilidade]]</f>
        <v>-1</v>
      </c>
      <c r="O2972" s="940">
        <f>IF(base[[#This Row],[L/P Líquido]]&gt;0,1,0)</f>
        <v>0</v>
      </c>
      <c r="P2972" s="940"/>
      <c r="Q2972" s="940" t="str">
        <f>LEFT(base[[#This Row],[Evento / Mercado]],FIND("vs",base[[#This Row],[Evento / Mercado]])-2)</f>
        <v>TPS</v>
      </c>
      <c r="R297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4" t="str">
        <f>LEFT(base[[#This Row],[Evento / Mercado]],FIND("/",base[[#This Row],[Evento / Mercado]])-2)</f>
        <v>TPS vs FF Jaro</v>
      </c>
      <c r="T2972" s="1420">
        <f>base[[#This Row],[Data de liquidação]]</f>
        <v>46200.619849537034</v>
      </c>
    </row>
    <row r="2973" spans="2:20" ht="15" customHeight="1">
      <c r="B2973" s="935" t="s">
        <v>3592</v>
      </c>
      <c r="C2973" s="935" t="s">
        <v>3555</v>
      </c>
      <c r="D2973" s="1379">
        <v>46200.619942129626</v>
      </c>
      <c r="E2973" s="937">
        <v>-9.92</v>
      </c>
      <c r="F2973" s="654">
        <v>4.4999999999999998E-2</v>
      </c>
      <c r="G2973" s="938">
        <f t="shared" si="63"/>
        <v>-9.92</v>
      </c>
      <c r="H2973" s="938" t="s">
        <v>3253</v>
      </c>
      <c r="I2973" s="939" t="s">
        <v>1555</v>
      </c>
      <c r="J2973" s="938">
        <v>3.75</v>
      </c>
      <c r="K2973" s="938">
        <v>200.01</v>
      </c>
      <c r="L2973" s="936">
        <f>INT(base[[#This Row],[Data de liquidação]])</f>
        <v>46200</v>
      </c>
      <c r="M2973" s="938">
        <f>base[[#This Row],[L/P Bruto]]-base[[#This Row],[L/P Líquido]]</f>
        <v>0</v>
      </c>
      <c r="N2973" s="938">
        <f>base[[#This Row],[L/P Líquido]]/base[[#This Row],[Stake/Responsabilidade]]</f>
        <v>-4.95975201239938E-2</v>
      </c>
      <c r="O2973" s="940">
        <f>IF(base[[#This Row],[L/P Líquido]]&gt;0,1,0)</f>
        <v>0</v>
      </c>
      <c r="P2973" s="940"/>
      <c r="Q2973" s="940" t="str">
        <f>LEFT(base[[#This Row],[Evento / Mercado]],FIND("vs",base[[#This Row],[Evento / Mercado]])-2)</f>
        <v>TPS</v>
      </c>
      <c r="R297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4" t="str">
        <f>LEFT(base[[#This Row],[Evento / Mercado]],FIND("/",base[[#This Row],[Evento / Mercado]])-2)</f>
        <v>TPS vs FF Jaro</v>
      </c>
      <c r="T2973" s="1420">
        <f>base[[#This Row],[Data de liquidação]]</f>
        <v>46200.619942129626</v>
      </c>
    </row>
    <row r="2974" spans="2:20" ht="15" customHeight="1">
      <c r="B2974" s="935" t="s">
        <v>3592</v>
      </c>
      <c r="C2974" s="935" t="s">
        <v>3556</v>
      </c>
      <c r="D2974" s="1379">
        <v>46200.619942129626</v>
      </c>
      <c r="E2974" s="937">
        <v>14.86</v>
      </c>
      <c r="F2974" s="654">
        <v>4.4999999999999998E-2</v>
      </c>
      <c r="G2974" s="938">
        <f t="shared" si="63"/>
        <v>15.560209424083769</v>
      </c>
      <c r="H2974" s="938" t="s">
        <v>3330</v>
      </c>
      <c r="I2974" s="1248" t="s">
        <v>4368</v>
      </c>
      <c r="J2974" s="938">
        <v>4.2</v>
      </c>
      <c r="K2974" s="938">
        <v>75.010000000000005</v>
      </c>
      <c r="L2974" s="936">
        <f>INT(base[[#This Row],[Data de liquidação]])</f>
        <v>46200</v>
      </c>
      <c r="M2974" s="938">
        <f>base[[#This Row],[L/P Bruto]]-base[[#This Row],[L/P Líquido]]</f>
        <v>0.70020942408376996</v>
      </c>
      <c r="N2974" s="938">
        <f>base[[#This Row],[L/P Líquido]]/base[[#This Row],[Stake/Responsabilidade]]</f>
        <v>0.19810691907745631</v>
      </c>
      <c r="O2974" s="940">
        <f>IF(base[[#This Row],[L/P Líquido]]&gt;0,1,0)</f>
        <v>1</v>
      </c>
      <c r="P2974" s="940"/>
      <c r="Q2974" s="940" t="str">
        <f>LEFT(base[[#This Row],[Evento / Mercado]],FIND("vs",base[[#This Row],[Evento / Mercado]])-2)</f>
        <v>TPS</v>
      </c>
      <c r="R297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4" t="str">
        <f>LEFT(base[[#This Row],[Evento / Mercado]],FIND("/",base[[#This Row],[Evento / Mercado]])-2)</f>
        <v>TPS vs FF Jaro</v>
      </c>
      <c r="T2974" s="1420">
        <f>base[[#This Row],[Data de liquidação]]</f>
        <v>46200.619942129626</v>
      </c>
    </row>
    <row r="2975" spans="2:20" ht="15" customHeight="1">
      <c r="B2975" s="935" t="s">
        <v>3614</v>
      </c>
      <c r="C2975" s="935" t="s">
        <v>3556</v>
      </c>
      <c r="D2975" s="1379">
        <v>46200.620717592596</v>
      </c>
      <c r="E2975" s="937">
        <v>12.49</v>
      </c>
      <c r="F2975" s="654">
        <v>4.4999999999999998E-2</v>
      </c>
      <c r="G2975" s="938">
        <f t="shared" si="63"/>
        <v>13.078534031413612</v>
      </c>
      <c r="H2975" s="938" t="s">
        <v>3334</v>
      </c>
      <c r="I2975" s="939" t="s">
        <v>627</v>
      </c>
      <c r="J2975" s="938">
        <v>40</v>
      </c>
      <c r="K2975" s="938">
        <v>510.12</v>
      </c>
      <c r="L2975" s="936">
        <f>INT(base[[#This Row],[Data de liquidação]])</f>
        <v>46200</v>
      </c>
      <c r="M2975" s="938">
        <f>base[[#This Row],[L/P Bruto]]-base[[#This Row],[L/P Líquido]]</f>
        <v>0.58853403141361227</v>
      </c>
      <c r="N2975" s="938">
        <f>base[[#This Row],[L/P Líquido]]/base[[#This Row],[Stake/Responsabilidade]]</f>
        <v>2.448443503489375E-2</v>
      </c>
      <c r="O2975" s="940">
        <f>IF(base[[#This Row],[L/P Líquido]]&gt;0,1,0)</f>
        <v>1</v>
      </c>
      <c r="P2975" s="940"/>
      <c r="Q2975" s="940" t="str">
        <f>LEFT(base[[#This Row],[Evento / Mercado]],FIND("vs",base[[#This Row],[Evento / Mercado]])-2)</f>
        <v>Strømsgodset</v>
      </c>
      <c r="R297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4" t="str">
        <f>LEFT(base[[#This Row],[Evento / Mercado]],FIND("/",base[[#This Row],[Evento / Mercado]])-2)</f>
        <v>Strømsgodset vs Odds Ballklubb</v>
      </c>
      <c r="T2975" s="1420">
        <f>base[[#This Row],[Data de liquidação]]</f>
        <v>46200.620717592596</v>
      </c>
    </row>
    <row r="2976" spans="2:20" ht="15" customHeight="1">
      <c r="B2976" s="935" t="s">
        <v>3591</v>
      </c>
      <c r="C2976" s="935" t="s">
        <v>3555</v>
      </c>
      <c r="D2976" s="1379">
        <v>46200.705729166664</v>
      </c>
      <c r="E2976" s="937">
        <v>-14.07</v>
      </c>
      <c r="F2976" s="654">
        <v>4.4999999999999998E-2</v>
      </c>
      <c r="G2976" s="938">
        <f t="shared" si="63"/>
        <v>-14.07</v>
      </c>
      <c r="H2976" s="938" t="s">
        <v>3253</v>
      </c>
      <c r="I2976" s="939" t="s">
        <v>3254</v>
      </c>
      <c r="J2976" s="938">
        <v>7.8</v>
      </c>
      <c r="K2976" s="938">
        <v>29.41</v>
      </c>
      <c r="L2976" s="936">
        <f>INT(base[[#This Row],[Data de liquidação]])</f>
        <v>46200</v>
      </c>
      <c r="M2976" s="938">
        <f>base[[#This Row],[L/P Bruto]]-base[[#This Row],[L/P Líquido]]</f>
        <v>0</v>
      </c>
      <c r="N2976" s="938">
        <f>base[[#This Row],[L/P Líquido]]/base[[#This Row],[Stake/Responsabilidade]]</f>
        <v>-0.47840870452227136</v>
      </c>
      <c r="O2976" s="940">
        <f>IF(base[[#This Row],[L/P Líquido]]&gt;0,1,0)</f>
        <v>0</v>
      </c>
      <c r="P2976" s="940"/>
      <c r="Q2976" s="940" t="str">
        <f>LEFT(base[[#This Row],[Evento / Mercado]],FIND("vs",base[[#This Row],[Evento / Mercado]])-2)</f>
        <v>AC Oulu</v>
      </c>
      <c r="R297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4" t="str">
        <f>LEFT(base[[#This Row],[Evento / Mercado]],FIND("/",base[[#This Row],[Evento / Mercado]])-2)</f>
        <v>AC Oulu vs FC Lahti</v>
      </c>
      <c r="T2976" s="1420">
        <f>base[[#This Row],[Data de liquidação]]</f>
        <v>46200.705729166664</v>
      </c>
    </row>
    <row r="2977" spans="2:20" ht="15" customHeight="1">
      <c r="B2977" s="935" t="s">
        <v>3590</v>
      </c>
      <c r="C2977" s="935" t="s">
        <v>3555</v>
      </c>
      <c r="D2977" s="1379">
        <v>46200.705925925926</v>
      </c>
      <c r="E2977" s="937">
        <v>-72.44</v>
      </c>
      <c r="F2977" s="654">
        <v>4.4999999999999998E-2</v>
      </c>
      <c r="G2977" s="938">
        <f t="shared" si="63"/>
        <v>-72.44</v>
      </c>
      <c r="H2977" s="938" t="s">
        <v>3253</v>
      </c>
      <c r="I2977" s="939" t="s">
        <v>1555</v>
      </c>
      <c r="J2977" s="938">
        <f>(3.85*166.41+3.8*33.59)/base[[#This Row],[Stake/Responsabilidade]]</f>
        <v>3.8416025</v>
      </c>
      <c r="K2977" s="938">
        <f>166.41+33.59</f>
        <v>200</v>
      </c>
      <c r="L2977" s="936">
        <f>INT(base[[#This Row],[Data de liquidação]])</f>
        <v>46200</v>
      </c>
      <c r="M2977" s="938">
        <f>base[[#This Row],[L/P Bruto]]-base[[#This Row],[L/P Líquido]]</f>
        <v>0</v>
      </c>
      <c r="N2977" s="938">
        <f>base[[#This Row],[L/P Líquido]]/base[[#This Row],[Stake/Responsabilidade]]</f>
        <v>-0.36219999999999997</v>
      </c>
      <c r="O2977" s="940">
        <f>IF(base[[#This Row],[L/P Líquido]]&gt;0,1,0)</f>
        <v>0</v>
      </c>
      <c r="P2977" s="940"/>
      <c r="Q2977" s="940" t="str">
        <f>LEFT(base[[#This Row],[Evento / Mercado]],FIND("vs",base[[#This Row],[Evento / Mercado]])-2)</f>
        <v>AC Oulu</v>
      </c>
      <c r="R297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4" t="str">
        <f>LEFT(base[[#This Row],[Evento / Mercado]],FIND("/",base[[#This Row],[Evento / Mercado]])-2)</f>
        <v>AC Oulu vs FC Lahti</v>
      </c>
      <c r="T2977" s="1420">
        <f>base[[#This Row],[Data de liquidação]]</f>
        <v>46200.705925925926</v>
      </c>
    </row>
    <row r="2978" spans="2:20" ht="15" customHeight="1">
      <c r="B2978" s="935" t="s">
        <v>3590</v>
      </c>
      <c r="C2978" s="935" t="s">
        <v>3556</v>
      </c>
      <c r="D2978" s="1379">
        <v>46200.705925925926</v>
      </c>
      <c r="E2978" s="937">
        <v>151.55000000000001</v>
      </c>
      <c r="F2978" s="654">
        <v>4.4999999999999998E-2</v>
      </c>
      <c r="G2978" s="938">
        <f t="shared" si="63"/>
        <v>158.6910994764398</v>
      </c>
      <c r="H2978" s="938" t="s">
        <v>3330</v>
      </c>
      <c r="I2978" s="1248" t="s">
        <v>4367</v>
      </c>
      <c r="J2978" s="938">
        <f>(3.85+1.4)/2</f>
        <v>2.625</v>
      </c>
      <c r="K2978" s="938">
        <f>75.01+75</f>
        <v>150.01</v>
      </c>
      <c r="L2978" s="936">
        <f>INT(base[[#This Row],[Data de liquidação]])</f>
        <v>46200</v>
      </c>
      <c r="M2978" s="938">
        <f>base[[#This Row],[L/P Bruto]]-base[[#This Row],[L/P Líquido]]</f>
        <v>7.1410994764397913</v>
      </c>
      <c r="N2978" s="938">
        <f>base[[#This Row],[L/P Líquido]]/base[[#This Row],[Stake/Responsabilidade]]</f>
        <v>1.010265982267849</v>
      </c>
      <c r="O2978" s="940">
        <f>IF(base[[#This Row],[L/P Líquido]]&gt;0,1,0)</f>
        <v>1</v>
      </c>
      <c r="P2978" s="940"/>
      <c r="Q2978" s="940" t="str">
        <f>LEFT(base[[#This Row],[Evento / Mercado]],FIND("vs",base[[#This Row],[Evento / Mercado]])-2)</f>
        <v>AC Oulu</v>
      </c>
      <c r="R297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4" t="str">
        <f>LEFT(base[[#This Row],[Evento / Mercado]],FIND("/",base[[#This Row],[Evento / Mercado]])-2)</f>
        <v>AC Oulu vs FC Lahti</v>
      </c>
      <c r="T2978" s="1420">
        <f>base[[#This Row],[Data de liquidação]]</f>
        <v>46200.705925925926</v>
      </c>
    </row>
    <row r="2979" spans="2:20" ht="15" customHeight="1">
      <c r="B2979" s="935" t="s">
        <v>3613</v>
      </c>
      <c r="C2979" s="935" t="s">
        <v>3556</v>
      </c>
      <c r="D2979" s="1379">
        <v>46200.830393518518</v>
      </c>
      <c r="E2979" s="937">
        <v>19.100000000000001</v>
      </c>
      <c r="F2979" s="654">
        <v>4.4999999999999998E-2</v>
      </c>
      <c r="G2979" s="938">
        <f t="shared" si="63"/>
        <v>20.000000000000004</v>
      </c>
      <c r="H2979" s="938" t="s">
        <v>179</v>
      </c>
      <c r="I2979" s="939" t="s">
        <v>3393</v>
      </c>
      <c r="J2979" s="938">
        <v>21</v>
      </c>
      <c r="K2979" s="938">
        <v>400</v>
      </c>
      <c r="L2979" s="936">
        <f>INT(base[[#This Row],[Data de liquidação]])</f>
        <v>46200</v>
      </c>
      <c r="M2979" s="938">
        <f>base[[#This Row],[L/P Bruto]]-base[[#This Row],[L/P Líquido]]</f>
        <v>0.90000000000000213</v>
      </c>
      <c r="N2979" s="938">
        <f>base[[#This Row],[L/P Líquido]]/base[[#This Row],[Stake/Responsabilidade]]</f>
        <v>4.7750000000000001E-2</v>
      </c>
      <c r="O2979" s="940">
        <f>IF(base[[#This Row],[L/P Líquido]]&gt;0,1,0)</f>
        <v>1</v>
      </c>
      <c r="P2979" s="940" t="s">
        <v>3331</v>
      </c>
      <c r="Q2979" s="940" t="str">
        <f>LEFT(base[[#This Row],[Evento / Mercado]],FIND("vs",base[[#This Row],[Evento / Mercado]])-2)</f>
        <v>Panama</v>
      </c>
      <c r="R297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4" t="str">
        <f>LEFT(base[[#This Row],[Evento / Mercado]],FIND("/",base[[#This Row],[Evento / Mercado]])-2)</f>
        <v>Panama vs England</v>
      </c>
      <c r="T2979" s="1420">
        <f>base[[#This Row],[Data de liquidação]]</f>
        <v>46200.830393518518</v>
      </c>
    </row>
    <row r="2980" spans="2:20" ht="15" customHeight="1">
      <c r="B2980" s="935" t="s">
        <v>3612</v>
      </c>
      <c r="C2980" s="935" t="s">
        <v>3556</v>
      </c>
      <c r="D2980" s="1379">
        <v>46200.832361111112</v>
      </c>
      <c r="E2980" s="937">
        <v>35.65</v>
      </c>
      <c r="F2980" s="654">
        <v>4.4999999999999998E-2</v>
      </c>
      <c r="G2980" s="938">
        <f t="shared" si="63"/>
        <v>37.329842931937172</v>
      </c>
      <c r="H2980" s="938" t="s">
        <v>3334</v>
      </c>
      <c r="I2980" s="939" t="s">
        <v>627</v>
      </c>
      <c r="J2980" s="938">
        <v>16</v>
      </c>
      <c r="K2980" s="938">
        <v>559.95000000000005</v>
      </c>
      <c r="L2980" s="936">
        <f>INT(base[[#This Row],[Data de liquidação]])</f>
        <v>46200</v>
      </c>
      <c r="M2980" s="938">
        <f>base[[#This Row],[L/P Bruto]]-base[[#This Row],[L/P Líquido]]</f>
        <v>1.6798429319371735</v>
      </c>
      <c r="N2980" s="938">
        <f>base[[#This Row],[L/P Líquido]]/base[[#This Row],[Stake/Responsabilidade]]</f>
        <v>6.3666398785605843E-2</v>
      </c>
      <c r="O2980" s="940">
        <f>IF(base[[#This Row],[L/P Líquido]]&gt;0,1,0)</f>
        <v>1</v>
      </c>
      <c r="P2980" s="940"/>
      <c r="Q2980" s="940" t="str">
        <f>LEFT(base[[#This Row],[Evento / Mercado]],FIND("vs",base[[#This Row],[Evento / Mercado]])-2)</f>
        <v>Croatia</v>
      </c>
      <c r="R298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4" t="str">
        <f>LEFT(base[[#This Row],[Evento / Mercado]],FIND("/",base[[#This Row],[Evento / Mercado]])-2)</f>
        <v>Croatia vs Ghana</v>
      </c>
      <c r="T2980" s="1420">
        <f>base[[#This Row],[Data de liquidação]]</f>
        <v>46200.832361111112</v>
      </c>
    </row>
    <row r="2981" spans="2:20" ht="15" customHeight="1">
      <c r="B2981" s="935" t="s">
        <v>3611</v>
      </c>
      <c r="C2981" s="935" t="s">
        <v>3556</v>
      </c>
      <c r="D2981" s="1379">
        <v>46200.936226851853</v>
      </c>
      <c r="E2981" s="937">
        <v>21.83</v>
      </c>
      <c r="F2981" s="654">
        <v>4.4999999999999998E-2</v>
      </c>
      <c r="G2981" s="938">
        <f t="shared" si="63"/>
        <v>22.858638743455497</v>
      </c>
      <c r="H2981" s="938" t="s">
        <v>3334</v>
      </c>
      <c r="I2981" s="939" t="s">
        <v>694</v>
      </c>
      <c r="J2981" s="938">
        <v>18.5</v>
      </c>
      <c r="K2981" s="938">
        <v>400.05</v>
      </c>
      <c r="L2981" s="936">
        <f>INT(base[[#This Row],[Data de liquidação]])</f>
        <v>46200</v>
      </c>
      <c r="M2981" s="938">
        <f>base[[#This Row],[L/P Bruto]]-base[[#This Row],[L/P Líquido]]</f>
        <v>1.0286387434554989</v>
      </c>
      <c r="N2981" s="938">
        <f>base[[#This Row],[L/P Líquido]]/base[[#This Row],[Stake/Responsabilidade]]</f>
        <v>5.4568178977627793E-2</v>
      </c>
      <c r="O2981" s="940">
        <f>IF(base[[#This Row],[L/P Líquido]]&gt;0,1,0)</f>
        <v>1</v>
      </c>
      <c r="P2981" s="940"/>
      <c r="Q2981" s="940" t="str">
        <f>LEFT(base[[#This Row],[Evento / Mercado]],FIND("vs",base[[#This Row],[Evento / Mercado]])-2)</f>
        <v>Colombia</v>
      </c>
      <c r="R298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4" t="str">
        <f>LEFT(base[[#This Row],[Evento / Mercado]],FIND("/",base[[#This Row],[Evento / Mercado]])-2)</f>
        <v>Colombia vs Portugal</v>
      </c>
      <c r="T2981" s="1420">
        <f>base[[#This Row],[Data de liquidação]]</f>
        <v>46200.936226851853</v>
      </c>
    </row>
    <row r="2982" spans="2:20" ht="15" customHeight="1">
      <c r="B2982" s="935" t="s">
        <v>3610</v>
      </c>
      <c r="C2982" s="935" t="s">
        <v>3556</v>
      </c>
      <c r="D2982" s="1379">
        <v>46201.372604166667</v>
      </c>
      <c r="E2982" s="937">
        <v>0.52</v>
      </c>
      <c r="F2982" s="654">
        <v>4.4999999999999998E-2</v>
      </c>
      <c r="G2982" s="938">
        <f t="shared" si="63"/>
        <v>0.54450261780104714</v>
      </c>
      <c r="H2982" s="938" t="s">
        <v>1666</v>
      </c>
      <c r="I2982" s="939" t="s">
        <v>2952</v>
      </c>
      <c r="J2982" s="938">
        <v>1.25</v>
      </c>
      <c r="K2982" s="938">
        <v>5</v>
      </c>
      <c r="L2982" s="936">
        <f>INT(base[[#This Row],[Data de liquidação]])</f>
        <v>46201</v>
      </c>
      <c r="M2982" s="938">
        <f>base[[#This Row],[L/P Bruto]]-base[[#This Row],[L/P Líquido]]</f>
        <v>2.4502617801047122E-2</v>
      </c>
      <c r="N2982" s="938">
        <f>base[[#This Row],[L/P Líquido]]/base[[#This Row],[Stake/Responsabilidade]]</f>
        <v>0.10400000000000001</v>
      </c>
      <c r="O2982" s="940">
        <f>IF(base[[#This Row],[L/P Líquido]]&gt;0,1,0)</f>
        <v>1</v>
      </c>
      <c r="P2982" s="940"/>
      <c r="Q2982" s="940" t="str">
        <f>LEFT(base[[#This Row],[Evento / Mercado]],FIND("vs",base[[#This Row],[Evento / Mercado]])-2)</f>
        <v>Qingdao West Coast</v>
      </c>
      <c r="R298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4" t="str">
        <f>LEFT(base[[#This Row],[Evento / Mercado]],FIND("/",base[[#This Row],[Evento / Mercado]])-2)</f>
        <v>Qingdao West Coast vs Zhejiang Professional</v>
      </c>
      <c r="T2982" s="1420">
        <f>base[[#This Row],[Data de liquidação]]</f>
        <v>46201.372604166667</v>
      </c>
    </row>
    <row r="2983" spans="2:20" ht="15" customHeight="1">
      <c r="B2983" s="935" t="s">
        <v>3583</v>
      </c>
      <c r="C2983" s="935" t="s">
        <v>3556</v>
      </c>
      <c r="D2983" s="1379">
        <v>46201.49695601852</v>
      </c>
      <c r="E2983" s="937">
        <v>-420.05</v>
      </c>
      <c r="F2983" s="654">
        <v>4.4999999999999998E-2</v>
      </c>
      <c r="G2983" s="938">
        <f t="shared" si="63"/>
        <v>-420.05</v>
      </c>
      <c r="H2983" s="938" t="s">
        <v>3334</v>
      </c>
      <c r="I2983" s="939" t="s">
        <v>627</v>
      </c>
      <c r="J2983" s="938">
        <v>32</v>
      </c>
      <c r="K2983" s="938">
        <v>420.05</v>
      </c>
      <c r="L2983" s="936">
        <f>INT(base[[#This Row],[Data de liquidação]])</f>
        <v>46201</v>
      </c>
      <c r="M2983" s="938">
        <f>base[[#This Row],[L/P Bruto]]-base[[#This Row],[L/P Líquido]]</f>
        <v>0</v>
      </c>
      <c r="N2983" s="938">
        <f>base[[#This Row],[L/P Líquido]]/base[[#This Row],[Stake/Responsabilidade]]</f>
        <v>-1</v>
      </c>
      <c r="O2983" s="940">
        <f>IF(base[[#This Row],[L/P Líquido]]&gt;0,1,0)</f>
        <v>0</v>
      </c>
      <c r="P2983" s="940"/>
      <c r="Q2983" s="940" t="str">
        <f>LEFT(base[[#This Row],[Evento / Mercado]],FIND("vs",base[[#This Row],[Evento / Mercado]])-2)</f>
        <v>IFK Norrköping</v>
      </c>
      <c r="R298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4" t="str">
        <f>LEFT(base[[#This Row],[Evento / Mercado]],FIND("/",base[[#This Row],[Evento / Mercado]])-2)</f>
        <v>IFK Norrköping vs Norrby IF</v>
      </c>
      <c r="T2983" s="1420">
        <f>base[[#This Row],[Data de liquidação]]</f>
        <v>46201.49695601852</v>
      </c>
    </row>
    <row r="2984" spans="2:20" ht="15" customHeight="1">
      <c r="B2984" s="935" t="s">
        <v>3583</v>
      </c>
      <c r="C2984" s="935" t="s">
        <v>3554</v>
      </c>
      <c r="D2984" s="1379">
        <v>46201.497071759259</v>
      </c>
      <c r="E2984" s="937">
        <v>-21.05</v>
      </c>
      <c r="F2984" s="654">
        <v>4.4999999999999998E-2</v>
      </c>
      <c r="G2984" s="938">
        <f t="shared" si="63"/>
        <v>-21.05</v>
      </c>
      <c r="H2984" s="938" t="s">
        <v>3253</v>
      </c>
      <c r="I2984" s="939" t="s">
        <v>3254</v>
      </c>
      <c r="J2984" s="938">
        <v>10.5</v>
      </c>
      <c r="K2984" s="938">
        <v>21.05</v>
      </c>
      <c r="L2984" s="936">
        <f>INT(base[[#This Row],[Data de liquidação]])</f>
        <v>46201</v>
      </c>
      <c r="M2984" s="938">
        <f>base[[#This Row],[L/P Bruto]]-base[[#This Row],[L/P Líquido]]</f>
        <v>0</v>
      </c>
      <c r="N2984" s="938">
        <f>base[[#This Row],[L/P Líquido]]/base[[#This Row],[Stake/Responsabilidade]]</f>
        <v>-1</v>
      </c>
      <c r="O2984" s="940">
        <f>IF(base[[#This Row],[L/P Líquido]]&gt;0,1,0)</f>
        <v>0</v>
      </c>
      <c r="P2984" s="940"/>
      <c r="Q2984" s="940" t="str">
        <f>LEFT(base[[#This Row],[Evento / Mercado]],FIND("vs",base[[#This Row],[Evento / Mercado]])-2)</f>
        <v>IFK Norrköping</v>
      </c>
      <c r="R298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4" t="str">
        <f>LEFT(base[[#This Row],[Evento / Mercado]],FIND("/",base[[#This Row],[Evento / Mercado]])-2)</f>
        <v>IFK Norrköping vs Norrby IF</v>
      </c>
      <c r="T2984" s="1420">
        <f>base[[#This Row],[Data de liquidação]]</f>
        <v>46201.497071759259</v>
      </c>
    </row>
    <row r="2985" spans="2:20" ht="15" customHeight="1">
      <c r="B2985" s="935" t="s">
        <v>3582</v>
      </c>
      <c r="C2985" s="935" t="s">
        <v>3555</v>
      </c>
      <c r="D2985" s="1379">
        <v>46201.497071759259</v>
      </c>
      <c r="E2985" s="937">
        <v>-399.98</v>
      </c>
      <c r="F2985" s="654">
        <v>4.4999999999999998E-2</v>
      </c>
      <c r="G2985" s="938">
        <f t="shared" si="63"/>
        <v>-399.98</v>
      </c>
      <c r="H2985" s="938" t="s">
        <v>179</v>
      </c>
      <c r="I2985" s="939" t="s">
        <v>392</v>
      </c>
      <c r="J2985" s="938">
        <v>7.8</v>
      </c>
      <c r="K2985" s="938">
        <v>399.98</v>
      </c>
      <c r="L2985" s="936">
        <f>INT(base[[#This Row],[Data de liquidação]])</f>
        <v>46201</v>
      </c>
      <c r="M2985" s="938">
        <f>base[[#This Row],[L/P Bruto]]-base[[#This Row],[L/P Líquido]]</f>
        <v>0</v>
      </c>
      <c r="N2985" s="938">
        <f>base[[#This Row],[L/P Líquido]]/base[[#This Row],[Stake/Responsabilidade]]</f>
        <v>-1</v>
      </c>
      <c r="O2985" s="940">
        <f>IF(base[[#This Row],[L/P Líquido]]&gt;0,1,0)</f>
        <v>0</v>
      </c>
      <c r="P2985" s="940" t="s">
        <v>2434</v>
      </c>
      <c r="Q2985" s="940" t="str">
        <f>LEFT(base[[#This Row],[Evento / Mercado]],FIND("vs",base[[#This Row],[Evento / Mercado]])-2)</f>
        <v>IFK Norrköping</v>
      </c>
      <c r="R298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4" t="str">
        <f>LEFT(base[[#This Row],[Evento / Mercado]],FIND("/",base[[#This Row],[Evento / Mercado]])-2)</f>
        <v>IFK Norrköping vs Norrby IF</v>
      </c>
      <c r="T2985" s="1420">
        <f>base[[#This Row],[Data de liquidação]]</f>
        <v>46201.497071759259</v>
      </c>
    </row>
    <row r="2986" spans="2:20" ht="15" customHeight="1">
      <c r="B2986" s="935" t="s">
        <v>3582</v>
      </c>
      <c r="C2986" s="935" t="s">
        <v>3556</v>
      </c>
      <c r="D2986" s="1379">
        <v>46201.497071759259</v>
      </c>
      <c r="E2986" s="937">
        <v>-147.13</v>
      </c>
      <c r="F2986" s="654">
        <v>4.4999999999999998E-2</v>
      </c>
      <c r="G2986" s="938">
        <f t="shared" si="63"/>
        <v>-147.13</v>
      </c>
      <c r="H2986" s="938" t="s">
        <v>3330</v>
      </c>
      <c r="I2986" s="939" t="s">
        <v>3566</v>
      </c>
      <c r="J2986" s="938">
        <f>(7.8*75+3.5*72.13)/base[[#This Row],[Stake/Responsabilidade]]</f>
        <v>5.6919391014748859</v>
      </c>
      <c r="K2986" s="938">
        <f>75+72.13</f>
        <v>147.13</v>
      </c>
      <c r="L2986" s="936">
        <f>INT(base[[#This Row],[Data de liquidação]])</f>
        <v>46201</v>
      </c>
      <c r="M2986" s="938">
        <f>base[[#This Row],[L/P Bruto]]-base[[#This Row],[L/P Líquido]]</f>
        <v>0</v>
      </c>
      <c r="N2986" s="938">
        <f>base[[#This Row],[L/P Líquido]]/base[[#This Row],[Stake/Responsabilidade]]</f>
        <v>-1</v>
      </c>
      <c r="O2986" s="940">
        <f>IF(base[[#This Row],[L/P Líquido]]&gt;0,1,0)</f>
        <v>0</v>
      </c>
      <c r="P2986" s="940"/>
      <c r="Q2986" s="940" t="str">
        <f>LEFT(base[[#This Row],[Evento / Mercado]],FIND("vs",base[[#This Row],[Evento / Mercado]])-2)</f>
        <v>IFK Norrköping</v>
      </c>
      <c r="R298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4" t="str">
        <f>LEFT(base[[#This Row],[Evento / Mercado]],FIND("/",base[[#This Row],[Evento / Mercado]])-2)</f>
        <v>IFK Norrköping vs Norrby IF</v>
      </c>
      <c r="T2986" s="1420">
        <f>base[[#This Row],[Data de liquidação]]</f>
        <v>46201.497071759259</v>
      </c>
    </row>
    <row r="2987" spans="2:20" ht="15" customHeight="1">
      <c r="B2987" s="935" t="s">
        <v>3582</v>
      </c>
      <c r="C2987" s="935" t="s">
        <v>3556</v>
      </c>
      <c r="D2987" s="1379">
        <v>46201.497071759259</v>
      </c>
      <c r="E2987" s="937">
        <v>-29.680000000000007</v>
      </c>
      <c r="F2987" s="654">
        <v>4.4999999999999998E-2</v>
      </c>
      <c r="G2987" s="938">
        <f t="shared" si="63"/>
        <v>-29.680000000000007</v>
      </c>
      <c r="H2987" s="938" t="s">
        <v>1666</v>
      </c>
      <c r="I2987" s="939" t="s">
        <v>1777</v>
      </c>
      <c r="J2987" s="938">
        <v>2.92</v>
      </c>
      <c r="K2987" s="938">
        <v>29.68</v>
      </c>
      <c r="L2987" s="936">
        <f>INT(base[[#This Row],[Data de liquidação]])</f>
        <v>46201</v>
      </c>
      <c r="M2987" s="938">
        <f>base[[#This Row],[L/P Bruto]]-base[[#This Row],[L/P Líquido]]</f>
        <v>0</v>
      </c>
      <c r="N2987" s="938">
        <f>base[[#This Row],[L/P Líquido]]/base[[#This Row],[Stake/Responsabilidade]]</f>
        <v>-1.0000000000000002</v>
      </c>
      <c r="O2987" s="940">
        <f>IF(base[[#This Row],[L/P Líquido]]&gt;0,1,0)</f>
        <v>0</v>
      </c>
      <c r="P2987" s="940"/>
      <c r="Q2987" s="940" t="str">
        <f>LEFT(base[[#This Row],[Evento / Mercado]],FIND("vs",base[[#This Row],[Evento / Mercado]])-2)</f>
        <v>IFK Norrköping</v>
      </c>
      <c r="R298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4" t="str">
        <f>LEFT(base[[#This Row],[Evento / Mercado]],FIND("/",base[[#This Row],[Evento / Mercado]])-2)</f>
        <v>IFK Norrköping vs Norrby IF</v>
      </c>
      <c r="T2987" s="1420">
        <f>base[[#This Row],[Data de liquidação]]</f>
        <v>46201.497071759259</v>
      </c>
    </row>
    <row r="2988" spans="2:20" ht="15" customHeight="1">
      <c r="B2988" s="935" t="s">
        <v>3582</v>
      </c>
      <c r="C2988" s="935" t="s">
        <v>3554</v>
      </c>
      <c r="D2988" s="1379">
        <v>46201.497083333335</v>
      </c>
      <c r="E2988" s="937">
        <v>45.48</v>
      </c>
      <c r="F2988" s="654">
        <v>4.4999999999999998E-2</v>
      </c>
      <c r="G2988" s="938">
        <f t="shared" si="63"/>
        <v>47.623036649214662</v>
      </c>
      <c r="H2988" s="938" t="s">
        <v>3253</v>
      </c>
      <c r="I2988" s="939" t="s">
        <v>1555</v>
      </c>
      <c r="J2988" s="938">
        <v>5.2</v>
      </c>
      <c r="K2988" s="938">
        <f>166.4+33.6</f>
        <v>200</v>
      </c>
      <c r="L2988" s="936">
        <f>INT(base[[#This Row],[Data de liquidação]])</f>
        <v>46201</v>
      </c>
      <c r="M2988" s="938">
        <f>base[[#This Row],[L/P Bruto]]-base[[#This Row],[L/P Líquido]]</f>
        <v>2.1430366492146646</v>
      </c>
      <c r="N2988" s="938">
        <f>base[[#This Row],[L/P Líquido]]/base[[#This Row],[Stake/Responsabilidade]]</f>
        <v>0.22739999999999999</v>
      </c>
      <c r="O2988" s="940">
        <f>IF(base[[#This Row],[L/P Líquido]]&gt;0,1,0)</f>
        <v>1</v>
      </c>
      <c r="P2988" s="940"/>
      <c r="Q2988" s="940" t="str">
        <f>LEFT(base[[#This Row],[Evento / Mercado]],FIND("vs",base[[#This Row],[Evento / Mercado]])-2)</f>
        <v>IFK Norrköping</v>
      </c>
      <c r="R298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4" t="str">
        <f>LEFT(base[[#This Row],[Evento / Mercado]],FIND("/",base[[#This Row],[Evento / Mercado]])-2)</f>
        <v>IFK Norrköping vs Norrby IF</v>
      </c>
      <c r="T2988" s="1420">
        <f>base[[#This Row],[Data de liquidação]]</f>
        <v>46201.497083333335</v>
      </c>
    </row>
    <row r="2989" spans="2:20" ht="15" customHeight="1">
      <c r="B2989" s="935" t="s">
        <v>3609</v>
      </c>
      <c r="C2989" s="935" t="s">
        <v>3556</v>
      </c>
      <c r="D2989" s="1379">
        <v>46201.497083333335</v>
      </c>
      <c r="E2989" s="937">
        <v>-97.78</v>
      </c>
      <c r="F2989" s="654">
        <v>4.4999999999999998E-2</v>
      </c>
      <c r="G2989" s="938">
        <f t="shared" si="63"/>
        <v>-97.78</v>
      </c>
      <c r="H2989" s="938" t="s">
        <v>3581</v>
      </c>
      <c r="I2989" s="939" t="s">
        <v>411</v>
      </c>
      <c r="J2989" s="938">
        <v>1.33</v>
      </c>
      <c r="K2989" s="938">
        <v>50</v>
      </c>
      <c r="L2989" s="936">
        <f>INT(base[[#This Row],[Data de liquidação]])</f>
        <v>46201</v>
      </c>
      <c r="M2989" s="938">
        <f>base[[#This Row],[L/P Bruto]]-base[[#This Row],[L/P Líquido]]</f>
        <v>0</v>
      </c>
      <c r="N2989" s="938">
        <f>base[[#This Row],[L/P Líquido]]/base[[#This Row],[Stake/Responsabilidade]]</f>
        <v>-1.9556</v>
      </c>
      <c r="O2989" s="940">
        <f>IF(base[[#This Row],[L/P Líquido]]&gt;0,1,0)</f>
        <v>0</v>
      </c>
      <c r="P2989" s="940"/>
      <c r="Q2989" s="940" t="str">
        <f>LEFT(base[[#This Row],[Evento / Mercado]],FIND("vs",base[[#This Row],[Evento / Mercado]])-2)</f>
        <v>IFK Norrköping</v>
      </c>
      <c r="R298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4" t="str">
        <f>LEFT(base[[#This Row],[Evento / Mercado]],FIND("/",base[[#This Row],[Evento / Mercado]])-2)</f>
        <v>IFK Norrköping vs Norrby IF</v>
      </c>
      <c r="T2989" s="1420">
        <f>base[[#This Row],[Data de liquidação]]</f>
        <v>46201.497083333335</v>
      </c>
    </row>
    <row r="2990" spans="2:20" ht="15" customHeight="1">
      <c r="B2990" s="935" t="s">
        <v>3608</v>
      </c>
      <c r="C2990" s="935" t="s">
        <v>3556</v>
      </c>
      <c r="D2990" s="1379">
        <v>46201.679814814815</v>
      </c>
      <c r="E2990" s="937">
        <v>1.18</v>
      </c>
      <c r="F2990" s="654">
        <v>4.4999999999999998E-2</v>
      </c>
      <c r="G2990" s="938">
        <f t="shared" si="63"/>
        <v>1.2356020942408377</v>
      </c>
      <c r="H2990" s="938" t="s">
        <v>1666</v>
      </c>
      <c r="I2990" s="939" t="s">
        <v>1795</v>
      </c>
      <c r="J2990" s="938">
        <v>1.62</v>
      </c>
      <c r="K2990" s="938">
        <v>2</v>
      </c>
      <c r="L2990" s="936">
        <f>INT(base[[#This Row],[Data de liquidação]])</f>
        <v>46201</v>
      </c>
      <c r="M2990" s="938">
        <f>base[[#This Row],[L/P Bruto]]-base[[#This Row],[L/P Líquido]]</f>
        <v>5.5602094240837729E-2</v>
      </c>
      <c r="N2990" s="938">
        <f>base[[#This Row],[L/P Líquido]]/base[[#This Row],[Stake/Responsabilidade]]</f>
        <v>0.59</v>
      </c>
      <c r="O2990" s="940">
        <f>IF(base[[#This Row],[L/P Líquido]]&gt;0,1,0)</f>
        <v>1</v>
      </c>
      <c r="P2990" s="940"/>
      <c r="Q2990" s="940" t="str">
        <f>LEFT(base[[#This Row],[Evento / Mercado]],FIND("vs",base[[#This Row],[Evento / Mercado]])-2)</f>
        <v>Atlético Goianiense</v>
      </c>
      <c r="R299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4" t="str">
        <f>LEFT(base[[#This Row],[Evento / Mercado]],FIND("/",base[[#This Row],[Evento / Mercado]])-2)</f>
        <v>Atlético Goianiense vs Atlética Ponte Preta</v>
      </c>
      <c r="T2990" s="1420">
        <f>base[[#This Row],[Data de liquidação]]</f>
        <v>46201.679814814815</v>
      </c>
    </row>
    <row r="2991" spans="2:20" ht="15" customHeight="1">
      <c r="B2991" s="935" t="s">
        <v>3607</v>
      </c>
      <c r="C2991" s="935" t="s">
        <v>3556</v>
      </c>
      <c r="D2991" s="1379">
        <v>46201.745416666665</v>
      </c>
      <c r="E2991" s="937">
        <v>48.67</v>
      </c>
      <c r="F2991" s="654">
        <v>4.4999999999999998E-2</v>
      </c>
      <c r="G2991" s="938">
        <f t="shared" si="63"/>
        <v>50.963350785340317</v>
      </c>
      <c r="H2991" s="938" t="s">
        <v>3581</v>
      </c>
      <c r="I2991" s="939" t="s">
        <v>1781</v>
      </c>
      <c r="J2991" s="938">
        <v>1.53</v>
      </c>
      <c r="K2991" s="938">
        <v>50.96</v>
      </c>
      <c r="L2991" s="936">
        <f>INT(base[[#This Row],[Data de liquidação]])</f>
        <v>46201</v>
      </c>
      <c r="M2991" s="938">
        <f>base[[#This Row],[L/P Bruto]]-base[[#This Row],[L/P Líquido]]</f>
        <v>2.2933507853403157</v>
      </c>
      <c r="N2991" s="938">
        <f>base[[#This Row],[L/P Líquido]]/base[[#This Row],[Stake/Responsabilidade]]</f>
        <v>0.9550627943485086</v>
      </c>
      <c r="O2991" s="940">
        <f>IF(base[[#This Row],[L/P Líquido]]&gt;0,1,0)</f>
        <v>1</v>
      </c>
      <c r="P2991" s="940"/>
      <c r="Q2991" s="940" t="str">
        <f>LEFT(base[[#This Row],[Evento / Mercado]],FIND("vs",base[[#This Row],[Evento / Mercado]])-2)</f>
        <v>Athletic Club MG</v>
      </c>
      <c r="R299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4" t="str">
        <f>LEFT(base[[#This Row],[Evento / Mercado]],FIND("/",base[[#This Row],[Evento / Mercado]])-2)</f>
        <v>Athletic Club MG vs Avaí FC</v>
      </c>
      <c r="T2991" s="1420">
        <f>base[[#This Row],[Data de liquidação]]</f>
        <v>46201.745416666665</v>
      </c>
    </row>
    <row r="2992" spans="2:20" ht="15" customHeight="1">
      <c r="B2992" s="935" t="s">
        <v>3589</v>
      </c>
      <c r="C2992" s="935" t="s">
        <v>3555</v>
      </c>
      <c r="D2992" s="1379">
        <v>46201.747777777775</v>
      </c>
      <c r="E2992" s="937">
        <v>-33.33</v>
      </c>
      <c r="F2992" s="654">
        <v>4.4999999999999998E-2</v>
      </c>
      <c r="G2992" s="938">
        <f t="shared" si="63"/>
        <v>-33.33</v>
      </c>
      <c r="H2992" s="938" t="s">
        <v>3253</v>
      </c>
      <c r="I2992" s="939" t="s">
        <v>3254</v>
      </c>
      <c r="J2992" s="938">
        <v>7</v>
      </c>
      <c r="K2992" s="938">
        <v>33.33</v>
      </c>
      <c r="L2992" s="936">
        <f>INT(base[[#This Row],[Data de liquidação]])</f>
        <v>46201</v>
      </c>
      <c r="M2992" s="938">
        <f>base[[#This Row],[L/P Bruto]]-base[[#This Row],[L/P Líquido]]</f>
        <v>0</v>
      </c>
      <c r="N2992" s="938">
        <f>base[[#This Row],[L/P Líquido]]/base[[#This Row],[Stake/Responsabilidade]]</f>
        <v>-1</v>
      </c>
      <c r="O2992" s="940">
        <f>IF(base[[#This Row],[L/P Líquido]]&gt;0,1,0)</f>
        <v>0</v>
      </c>
      <c r="P2992" s="940"/>
      <c r="Q2992" s="940" t="str">
        <f>LEFT(base[[#This Row],[Evento / Mercado]],FIND("vs",base[[#This Row],[Evento / Mercado]])-2)</f>
        <v>EC Juventude</v>
      </c>
      <c r="R299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4" t="str">
        <f>LEFT(base[[#This Row],[Evento / Mercado]],FIND("/",base[[#This Row],[Evento / Mercado]])-2)</f>
        <v>EC Juventude vs Ceará SC</v>
      </c>
      <c r="T2992" s="1420">
        <f>base[[#This Row],[Data de liquidação]]</f>
        <v>46201.747777777775</v>
      </c>
    </row>
    <row r="2993" spans="2:20" ht="15" customHeight="1">
      <c r="B2993" s="935" t="s">
        <v>3606</v>
      </c>
      <c r="C2993" s="935" t="s">
        <v>3556</v>
      </c>
      <c r="D2993" s="1379">
        <v>46201.747847222221</v>
      </c>
      <c r="E2993" s="937">
        <v>26.35</v>
      </c>
      <c r="F2993" s="654">
        <v>4.4999999999999998E-2</v>
      </c>
      <c r="G2993" s="938">
        <f t="shared" si="63"/>
        <v>27.591623036649217</v>
      </c>
      <c r="H2993" s="938" t="s">
        <v>3334</v>
      </c>
      <c r="I2993" s="939" t="s">
        <v>694</v>
      </c>
      <c r="J2993" s="938">
        <v>15.5</v>
      </c>
      <c r="K2993" s="938">
        <v>400.06</v>
      </c>
      <c r="L2993" s="936">
        <f>INT(base[[#This Row],[Data de liquidação]])</f>
        <v>46201</v>
      </c>
      <c r="M2993" s="938">
        <f>base[[#This Row],[L/P Bruto]]-base[[#This Row],[L/P Líquido]]</f>
        <v>1.2416230366492158</v>
      </c>
      <c r="N2993" s="938">
        <f>base[[#This Row],[L/P Líquido]]/base[[#This Row],[Stake/Responsabilidade]]</f>
        <v>6.586512023196521E-2</v>
      </c>
      <c r="O2993" s="940">
        <f>IF(base[[#This Row],[L/P Líquido]]&gt;0,1,0)</f>
        <v>1</v>
      </c>
      <c r="P2993" s="940"/>
      <c r="Q2993" s="940" t="str">
        <f>LEFT(base[[#This Row],[Evento / Mercado]],FIND("vs",base[[#This Row],[Evento / Mercado]])-2)</f>
        <v>South Africa</v>
      </c>
      <c r="R299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4" t="str">
        <f>LEFT(base[[#This Row],[Evento / Mercado]],FIND("/",base[[#This Row],[Evento / Mercado]])-2)</f>
        <v>South Africa vs Canada</v>
      </c>
      <c r="T2993" s="1420">
        <f>base[[#This Row],[Data de liquidação]]</f>
        <v>46201.747847222221</v>
      </c>
    </row>
    <row r="2994" spans="2:20" ht="15" customHeight="1">
      <c r="B2994" s="935" t="s">
        <v>3588</v>
      </c>
      <c r="C2994" s="935" t="s">
        <v>3555</v>
      </c>
      <c r="D2994" s="1379">
        <v>46201.747893518521</v>
      </c>
      <c r="E2994" s="937">
        <v>65.290000000000006</v>
      </c>
      <c r="F2994" s="654">
        <v>4.4999999999999998E-2</v>
      </c>
      <c r="G2994" s="938">
        <f t="shared" si="63"/>
        <v>68.366492146596869</v>
      </c>
      <c r="H2994" s="938" t="s">
        <v>3253</v>
      </c>
      <c r="I2994" s="939" t="s">
        <v>1555</v>
      </c>
      <c r="J2994" s="938">
        <v>3.3</v>
      </c>
      <c r="K2994" s="938">
        <v>200.01</v>
      </c>
      <c r="L2994" s="936">
        <f>INT(base[[#This Row],[Data de liquidação]])</f>
        <v>46201</v>
      </c>
      <c r="M2994" s="938">
        <f>base[[#This Row],[L/P Bruto]]-base[[#This Row],[L/P Líquido]]</f>
        <v>3.0764921465968627</v>
      </c>
      <c r="N2994" s="938">
        <f>base[[#This Row],[L/P Líquido]]/base[[#This Row],[Stake/Responsabilidade]]</f>
        <v>0.32643367831608422</v>
      </c>
      <c r="O2994" s="940">
        <f>IF(base[[#This Row],[L/P Líquido]]&gt;0,1,0)</f>
        <v>1</v>
      </c>
      <c r="P2994" s="940"/>
      <c r="Q2994" s="940" t="str">
        <f>LEFT(base[[#This Row],[Evento / Mercado]],FIND("vs",base[[#This Row],[Evento / Mercado]])-2)</f>
        <v>EC Juventude</v>
      </c>
      <c r="R299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4" t="str">
        <f>LEFT(base[[#This Row],[Evento / Mercado]],FIND("/",base[[#This Row],[Evento / Mercado]])-2)</f>
        <v>EC Juventude vs Ceará SC</v>
      </c>
      <c r="T2994" s="1420">
        <f>base[[#This Row],[Data de liquidação]]</f>
        <v>46201.747893518521</v>
      </c>
    </row>
    <row r="2995" spans="2:20" ht="15" customHeight="1">
      <c r="B2995" s="935" t="s">
        <v>3588</v>
      </c>
      <c r="C2995" s="935" t="s">
        <v>3556</v>
      </c>
      <c r="D2995" s="1379">
        <v>46201.747893518521</v>
      </c>
      <c r="E2995" s="937">
        <v>14.33</v>
      </c>
      <c r="F2995" s="654">
        <v>4.4999999999999998E-2</v>
      </c>
      <c r="G2995" s="938">
        <f t="shared" si="63"/>
        <v>15.005235602094242</v>
      </c>
      <c r="H2995" s="938" t="s">
        <v>3330</v>
      </c>
      <c r="I2995" s="1248" t="s">
        <v>4368</v>
      </c>
      <c r="J2995" s="938">
        <v>4.5</v>
      </c>
      <c r="K2995" s="938">
        <v>75.010000000000005</v>
      </c>
      <c r="L2995" s="936">
        <f>INT(base[[#This Row],[Data de liquidação]])</f>
        <v>46201</v>
      </c>
      <c r="M2995" s="938">
        <f>base[[#This Row],[L/P Bruto]]-base[[#This Row],[L/P Líquido]]</f>
        <v>0.67523560209424183</v>
      </c>
      <c r="N2995" s="938">
        <f>base[[#This Row],[L/P Líquido]]/base[[#This Row],[Stake/Responsabilidade]]</f>
        <v>0.19104119450739901</v>
      </c>
      <c r="O2995" s="940">
        <f>IF(base[[#This Row],[L/P Líquido]]&gt;0,1,0)</f>
        <v>1</v>
      </c>
      <c r="P2995" s="940"/>
      <c r="Q2995" s="940" t="str">
        <f>LEFT(base[[#This Row],[Evento / Mercado]],FIND("vs",base[[#This Row],[Evento / Mercado]])-2)</f>
        <v>EC Juventude</v>
      </c>
      <c r="R299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4" t="str">
        <f>LEFT(base[[#This Row],[Evento / Mercado]],FIND("/",base[[#This Row],[Evento / Mercado]])-2)</f>
        <v>EC Juventude vs Ceará SC</v>
      </c>
      <c r="T2995" s="1420">
        <f>base[[#This Row],[Data de liquidação]]</f>
        <v>46201.747893518521</v>
      </c>
    </row>
    <row r="2996" spans="2:20" ht="15" customHeight="1">
      <c r="B2996" s="935" t="s">
        <v>3587</v>
      </c>
      <c r="C2996" s="935" t="s">
        <v>3555</v>
      </c>
      <c r="D2996" s="1379">
        <v>46201.748159722221</v>
      </c>
      <c r="E2996" s="937">
        <v>-22.22</v>
      </c>
      <c r="F2996" s="654">
        <v>4.4999999999999998E-2</v>
      </c>
      <c r="G2996" s="938">
        <f t="shared" si="63"/>
        <v>-22.22</v>
      </c>
      <c r="H2996" s="938" t="s">
        <v>3253</v>
      </c>
      <c r="I2996" s="939" t="s">
        <v>3254</v>
      </c>
      <c r="J2996" s="938">
        <v>10</v>
      </c>
      <c r="K2996" s="938">
        <v>22.22</v>
      </c>
      <c r="L2996" s="936">
        <f>INT(base[[#This Row],[Data de liquidação]])</f>
        <v>46201</v>
      </c>
      <c r="M2996" s="938">
        <f>base[[#This Row],[L/P Bruto]]-base[[#This Row],[L/P Líquido]]</f>
        <v>0</v>
      </c>
      <c r="N2996" s="938">
        <f>base[[#This Row],[L/P Líquido]]/base[[#This Row],[Stake/Responsabilidade]]</f>
        <v>-1</v>
      </c>
      <c r="O2996" s="940">
        <f>IF(base[[#This Row],[L/P Líquido]]&gt;0,1,0)</f>
        <v>0</v>
      </c>
      <c r="P2996" s="940"/>
      <c r="Q2996" s="940" t="str">
        <f>LEFT(base[[#This Row],[Evento / Mercado]],FIND("vs",base[[#This Row],[Evento / Mercado]])-2)</f>
        <v>Atlético Goianiense</v>
      </c>
      <c r="R299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4" t="str">
        <f>LEFT(base[[#This Row],[Evento / Mercado]],FIND("/",base[[#This Row],[Evento / Mercado]])-2)</f>
        <v>Atlético Goianiense vs Atlética Ponte Preta</v>
      </c>
      <c r="T2996" s="1420">
        <f>base[[#This Row],[Data de liquidação]]</f>
        <v>46201.748159722221</v>
      </c>
    </row>
    <row r="2997" spans="2:20" ht="15" customHeight="1">
      <c r="B2997" s="935" t="s">
        <v>3587</v>
      </c>
      <c r="C2997" s="935" t="s">
        <v>3556</v>
      </c>
      <c r="D2997" s="1379">
        <v>46201.748159722221</v>
      </c>
      <c r="E2997" s="937">
        <v>16.43</v>
      </c>
      <c r="F2997" s="654">
        <v>4.4999999999999998E-2</v>
      </c>
      <c r="G2997" s="938">
        <f t="shared" si="63"/>
        <v>17.204188481675391</v>
      </c>
      <c r="H2997" s="938" t="s">
        <v>3271</v>
      </c>
      <c r="I2997" s="939" t="s">
        <v>627</v>
      </c>
      <c r="J2997" s="938">
        <v>26</v>
      </c>
      <c r="K2997" s="938">
        <v>430</v>
      </c>
      <c r="L2997" s="936">
        <f>INT(base[[#This Row],[Data de liquidação]])</f>
        <v>46201</v>
      </c>
      <c r="M2997" s="938">
        <f>base[[#This Row],[L/P Bruto]]-base[[#This Row],[L/P Líquido]]</f>
        <v>0.77418848167539167</v>
      </c>
      <c r="N2997" s="938">
        <f>base[[#This Row],[L/P Líquido]]/base[[#This Row],[Stake/Responsabilidade]]</f>
        <v>3.8209302325581396E-2</v>
      </c>
      <c r="O2997" s="940">
        <f>IF(base[[#This Row],[L/P Líquido]]&gt;0,1,0)</f>
        <v>1</v>
      </c>
      <c r="P2997" s="940"/>
      <c r="Q2997" s="940" t="str">
        <f>LEFT(base[[#This Row],[Evento / Mercado]],FIND("vs",base[[#This Row],[Evento / Mercado]])-2)</f>
        <v>Atlético Goianiense</v>
      </c>
      <c r="R299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4" t="str">
        <f>LEFT(base[[#This Row],[Evento / Mercado]],FIND("/",base[[#This Row],[Evento / Mercado]])-2)</f>
        <v>Atlético Goianiense vs Atlética Ponte Preta</v>
      </c>
      <c r="T2997" s="1420">
        <f>base[[#This Row],[Data de liquidação]]</f>
        <v>46201.748159722221</v>
      </c>
    </row>
    <row r="2998" spans="2:20" ht="15" customHeight="1">
      <c r="B2998" s="935" t="s">
        <v>3586</v>
      </c>
      <c r="C2998" s="935" t="s">
        <v>3555</v>
      </c>
      <c r="D2998" s="1379">
        <v>46201.748287037037</v>
      </c>
      <c r="E2998" s="937">
        <v>-15.67</v>
      </c>
      <c r="F2998" s="654">
        <v>4.4999999999999998E-2</v>
      </c>
      <c r="G2998" s="938">
        <f t="shared" si="63"/>
        <v>-15.67</v>
      </c>
      <c r="H2998" s="938" t="s">
        <v>3253</v>
      </c>
      <c r="I2998" s="939" t="s">
        <v>3254</v>
      </c>
      <c r="J2998" s="938">
        <v>7.2</v>
      </c>
      <c r="K2998" s="938">
        <v>32.26</v>
      </c>
      <c r="L2998" s="936">
        <f>INT(base[[#This Row],[Data de liquidação]])</f>
        <v>46201</v>
      </c>
      <c r="M2998" s="938">
        <f>base[[#This Row],[L/P Bruto]]-base[[#This Row],[L/P Líquido]]</f>
        <v>0</v>
      </c>
      <c r="N2998" s="938">
        <f>base[[#This Row],[L/P Líquido]]/base[[#This Row],[Stake/Responsabilidade]]</f>
        <v>-0.48574085554866708</v>
      </c>
      <c r="O2998" s="940">
        <f>IF(base[[#This Row],[L/P Líquido]]&gt;0,1,0)</f>
        <v>0</v>
      </c>
      <c r="P2998" s="940"/>
      <c r="Q2998" s="940" t="str">
        <f>LEFT(base[[#This Row],[Evento / Mercado]],FIND("vs",base[[#This Row],[Evento / Mercado]])-2)</f>
        <v>Athletic Club MG</v>
      </c>
      <c r="R299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4" t="str">
        <f>LEFT(base[[#This Row],[Evento / Mercado]],FIND("/",base[[#This Row],[Evento / Mercado]])-2)</f>
        <v>Athletic Club MG vs Avaí FC</v>
      </c>
      <c r="T2998" s="1420">
        <f>base[[#This Row],[Data de liquidação]]</f>
        <v>46201.748287037037</v>
      </c>
    </row>
    <row r="2999" spans="2:20" ht="15" customHeight="1">
      <c r="B2999" s="935" t="s">
        <v>3585</v>
      </c>
      <c r="C2999" s="935" t="s">
        <v>3555</v>
      </c>
      <c r="D2999" s="1379">
        <v>46201.74832175926</v>
      </c>
      <c r="E2999" s="937">
        <v>41.46</v>
      </c>
      <c r="F2999" s="654">
        <v>4.4999999999999998E-2</v>
      </c>
      <c r="G2999" s="938">
        <f t="shared" si="63"/>
        <v>43.413612565445028</v>
      </c>
      <c r="H2999" s="938" t="s">
        <v>3253</v>
      </c>
      <c r="I2999" s="939" t="s">
        <v>1555</v>
      </c>
      <c r="J2999" s="938">
        <v>5</v>
      </c>
      <c r="K2999" s="938">
        <v>200</v>
      </c>
      <c r="L2999" s="936">
        <f>INT(base[[#This Row],[Data de liquidação]])</f>
        <v>46201</v>
      </c>
      <c r="M2999" s="938">
        <f>base[[#This Row],[L/P Bruto]]-base[[#This Row],[L/P Líquido]]</f>
        <v>1.9536125654450274</v>
      </c>
      <c r="N2999" s="938">
        <f>base[[#This Row],[L/P Líquido]]/base[[#This Row],[Stake/Responsabilidade]]</f>
        <v>0.20730000000000001</v>
      </c>
      <c r="O2999" s="940">
        <f>IF(base[[#This Row],[L/P Líquido]]&gt;0,1,0)</f>
        <v>1</v>
      </c>
      <c r="P2999" s="940"/>
      <c r="Q2999" s="940" t="str">
        <f>LEFT(base[[#This Row],[Evento / Mercado]],FIND("vs",base[[#This Row],[Evento / Mercado]])-2)</f>
        <v>Atlético Goianiense</v>
      </c>
      <c r="R299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4" t="str">
        <f>LEFT(base[[#This Row],[Evento / Mercado]],FIND("/",base[[#This Row],[Evento / Mercado]])-2)</f>
        <v>Atlético Goianiense vs Atlética Ponte Preta</v>
      </c>
      <c r="T2999" s="1420">
        <f>base[[#This Row],[Data de liquidação]]</f>
        <v>46201.74832175926</v>
      </c>
    </row>
    <row r="3000" spans="2:20" ht="15" customHeight="1">
      <c r="B3000" s="935" t="s">
        <v>3585</v>
      </c>
      <c r="C3000" s="935" t="s">
        <v>3556</v>
      </c>
      <c r="D3000" s="1379">
        <v>46201.74832175926</v>
      </c>
      <c r="E3000" s="937">
        <v>7.47</v>
      </c>
      <c r="F3000" s="654">
        <v>4.4999999999999998E-2</v>
      </c>
      <c r="G3000" s="938">
        <f t="shared" si="63"/>
        <v>7.8219895287958119</v>
      </c>
      <c r="H3000" s="938" t="s">
        <v>3330</v>
      </c>
      <c r="I3000" s="939" t="s">
        <v>3566</v>
      </c>
      <c r="J3000" s="938">
        <v>9.8000000000000007</v>
      </c>
      <c r="K3000" s="938">
        <v>74.98</v>
      </c>
      <c r="L3000" s="936">
        <f>INT(base[[#This Row],[Data de liquidação]])</f>
        <v>46201</v>
      </c>
      <c r="M3000" s="938">
        <f>base[[#This Row],[L/P Bruto]]-base[[#This Row],[L/P Líquido]]</f>
        <v>0.35198952879581213</v>
      </c>
      <c r="N3000" s="938">
        <f>base[[#This Row],[L/P Líquido]]/base[[#This Row],[Stake/Responsabilidade]]</f>
        <v>9.9626567084555875E-2</v>
      </c>
      <c r="O3000" s="940">
        <f>IF(base[[#This Row],[L/P Líquido]]&gt;0,1,0)</f>
        <v>1</v>
      </c>
      <c r="P3000" s="940"/>
      <c r="Q3000" s="940" t="str">
        <f>LEFT(base[[#This Row],[Evento / Mercado]],FIND("vs",base[[#This Row],[Evento / Mercado]])-2)</f>
        <v>Atlético Goianiense</v>
      </c>
      <c r="R300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4" t="str">
        <f>LEFT(base[[#This Row],[Evento / Mercado]],FIND("/",base[[#This Row],[Evento / Mercado]])-2)</f>
        <v>Atlético Goianiense vs Atlética Ponte Preta</v>
      </c>
      <c r="T3000" s="1420">
        <f>base[[#This Row],[Data de liquidação]]</f>
        <v>46201.74832175926</v>
      </c>
    </row>
    <row r="3001" spans="2:20" ht="15" customHeight="1">
      <c r="B3001" s="935" t="s">
        <v>3584</v>
      </c>
      <c r="C3001" s="935" t="s">
        <v>3555</v>
      </c>
      <c r="D3001" s="1379">
        <v>46201.748391203706</v>
      </c>
      <c r="E3001" s="937">
        <v>-66.59</v>
      </c>
      <c r="F3001" s="654">
        <v>4.4999999999999998E-2</v>
      </c>
      <c r="G3001" s="938">
        <f t="shared" si="63"/>
        <v>-66.59</v>
      </c>
      <c r="H3001" s="938" t="s">
        <v>3253</v>
      </c>
      <c r="I3001" s="939" t="s">
        <v>1555</v>
      </c>
      <c r="J3001" s="938">
        <v>3.45</v>
      </c>
      <c r="K3001" s="938">
        <v>199.99</v>
      </c>
      <c r="L3001" s="936">
        <f>INT(base[[#This Row],[Data de liquidação]])</f>
        <v>46201</v>
      </c>
      <c r="M3001" s="938">
        <f>base[[#This Row],[L/P Bruto]]-base[[#This Row],[L/P Líquido]]</f>
        <v>0</v>
      </c>
      <c r="N3001" s="938">
        <f>base[[#This Row],[L/P Líquido]]/base[[#This Row],[Stake/Responsabilidade]]</f>
        <v>-0.33296664833241663</v>
      </c>
      <c r="O3001" s="940">
        <f>IF(base[[#This Row],[L/P Líquido]]&gt;0,1,0)</f>
        <v>0</v>
      </c>
      <c r="P3001" s="940"/>
      <c r="Q3001" s="940" t="str">
        <f>LEFT(base[[#This Row],[Evento / Mercado]],FIND("vs",base[[#This Row],[Evento / Mercado]])-2)</f>
        <v>Athletic Club MG</v>
      </c>
      <c r="R300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4" t="str">
        <f>LEFT(base[[#This Row],[Evento / Mercado]],FIND("/",base[[#This Row],[Evento / Mercado]])-2)</f>
        <v>Athletic Club MG vs Avaí FC</v>
      </c>
      <c r="T3001" s="1420">
        <f>base[[#This Row],[Data de liquidação]]</f>
        <v>46201.748391203706</v>
      </c>
    </row>
    <row r="3002" spans="2:20" ht="15" customHeight="1">
      <c r="B3002" s="935" t="s">
        <v>3584</v>
      </c>
      <c r="C3002" s="935" t="s">
        <v>3556</v>
      </c>
      <c r="D3002" s="1379">
        <v>46201.748402777775</v>
      </c>
      <c r="E3002" s="937">
        <v>8.02</v>
      </c>
      <c r="F3002" s="654">
        <v>4.4999999999999998E-2</v>
      </c>
      <c r="G3002" s="938">
        <f t="shared" si="63"/>
        <v>8.3979057591623043</v>
      </c>
      <c r="H3002" s="938" t="s">
        <v>3330</v>
      </c>
      <c r="I3002" s="1248" t="s">
        <v>4368</v>
      </c>
      <c r="J3002" s="938">
        <v>4.5</v>
      </c>
      <c r="K3002" s="938">
        <v>75.010000000000005</v>
      </c>
      <c r="L3002" s="936">
        <f>INT(base[[#This Row],[Data de liquidação]])</f>
        <v>46201</v>
      </c>
      <c r="M3002" s="938">
        <f>base[[#This Row],[L/P Bruto]]-base[[#This Row],[L/P Líquido]]</f>
        <v>0.37790575916230473</v>
      </c>
      <c r="N3002" s="938">
        <f>base[[#This Row],[L/P Líquido]]/base[[#This Row],[Stake/Responsabilidade]]</f>
        <v>0.10691907745633915</v>
      </c>
      <c r="O3002" s="940">
        <f>IF(base[[#This Row],[L/P Líquido]]&gt;0,1,0)</f>
        <v>1</v>
      </c>
      <c r="P3002" s="940"/>
      <c r="Q3002" s="940" t="str">
        <f>LEFT(base[[#This Row],[Evento / Mercado]],FIND("vs",base[[#This Row],[Evento / Mercado]])-2)</f>
        <v>Athletic Club MG</v>
      </c>
      <c r="R300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4" t="str">
        <f>LEFT(base[[#This Row],[Evento / Mercado]],FIND("/",base[[#This Row],[Evento / Mercado]])-2)</f>
        <v>Athletic Club MG vs Avaí FC</v>
      </c>
      <c r="T3002" s="1420">
        <f>base[[#This Row],[Data de liquidação]]</f>
        <v>46201.748402777775</v>
      </c>
    </row>
    <row r="3003" spans="2:20" ht="15" customHeight="1">
      <c r="B3003" s="935" t="s">
        <v>3605</v>
      </c>
      <c r="C3003" s="935" t="s">
        <v>3556</v>
      </c>
      <c r="D3003" s="1379">
        <v>46201.856805555559</v>
      </c>
      <c r="E3003" s="937">
        <v>-106.38</v>
      </c>
      <c r="F3003" s="654">
        <v>4.4999999999999998E-2</v>
      </c>
      <c r="G3003" s="938">
        <f t="shared" si="63"/>
        <v>-106.38</v>
      </c>
      <c r="H3003" s="938" t="s">
        <v>3581</v>
      </c>
      <c r="I3003" s="939" t="s">
        <v>411</v>
      </c>
      <c r="J3003" s="938">
        <v>1.26</v>
      </c>
      <c r="K3003" s="938">
        <v>50</v>
      </c>
      <c r="L3003" s="936">
        <f>INT(base[[#This Row],[Data de liquidação]])</f>
        <v>46201</v>
      </c>
      <c r="M3003" s="938">
        <f>base[[#This Row],[L/P Bruto]]-base[[#This Row],[L/P Líquido]]</f>
        <v>0</v>
      </c>
      <c r="N3003" s="938">
        <f>base[[#This Row],[L/P Líquido]]/base[[#This Row],[Stake/Responsabilidade]]</f>
        <v>-2.1275999999999997</v>
      </c>
      <c r="O3003" s="940">
        <f>IF(base[[#This Row],[L/P Líquido]]&gt;0,1,0)</f>
        <v>0</v>
      </c>
      <c r="P3003" s="940"/>
      <c r="Q3003" s="940" t="str">
        <f>LEFT(base[[#This Row],[Evento / Mercado]],FIND("vs",base[[#This Row],[Evento / Mercado]])-2)</f>
        <v>Clube Náutico Capibaribe</v>
      </c>
      <c r="R300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4" t="str">
        <f>LEFT(base[[#This Row],[Evento / Mercado]],FIND("/",base[[#This Row],[Evento / Mercado]])-2)</f>
        <v>Clube Náutico Capibaribe vs Goiás EC</v>
      </c>
      <c r="T3003" s="1420">
        <f>base[[#This Row],[Data de liquidação]]</f>
        <v>46201.856805555559</v>
      </c>
    </row>
    <row r="3004" spans="2:20" ht="15" customHeight="1">
      <c r="B3004" s="935" t="s">
        <v>3604</v>
      </c>
      <c r="C3004" s="935" t="s">
        <v>3556</v>
      </c>
      <c r="D3004" s="1379">
        <v>46201.856840277775</v>
      </c>
      <c r="E3004" s="937">
        <v>-100</v>
      </c>
      <c r="F3004" s="654">
        <v>4.4999999999999998E-2</v>
      </c>
      <c r="G3004" s="938">
        <f t="shared" si="63"/>
        <v>-100</v>
      </c>
      <c r="H3004" s="938" t="s">
        <v>3333</v>
      </c>
      <c r="I3004" s="1026" t="s">
        <v>13</v>
      </c>
      <c r="J3004" s="938">
        <f>(2.2+3.5)/2</f>
        <v>2.85</v>
      </c>
      <c r="K3004" s="938">
        <v>100</v>
      </c>
      <c r="L3004" s="936">
        <f>INT(base[[#This Row],[Data de liquidação]])</f>
        <v>46201</v>
      </c>
      <c r="M3004" s="938">
        <f>base[[#This Row],[L/P Bruto]]-base[[#This Row],[L/P Líquido]]</f>
        <v>0</v>
      </c>
      <c r="N3004" s="938">
        <f>base[[#This Row],[L/P Líquido]]/base[[#This Row],[Stake/Responsabilidade]]</f>
        <v>-1</v>
      </c>
      <c r="O3004" s="940">
        <f>IF(base[[#This Row],[L/P Líquido]]&gt;0,1,0)</f>
        <v>0</v>
      </c>
      <c r="P3004" s="940"/>
      <c r="Q3004" s="940" t="str">
        <f>LEFT(base[[#This Row],[Evento / Mercado]],FIND("vs",base[[#This Row],[Evento / Mercado]])-2)</f>
        <v>Clube Náutico Capibaribe</v>
      </c>
      <c r="R300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4" t="str">
        <f>LEFT(base[[#This Row],[Evento / Mercado]],FIND("/",base[[#This Row],[Evento / Mercado]])-2)</f>
        <v>Clube Náutico Capibaribe vs Goiás EC</v>
      </c>
      <c r="T3004" s="1420">
        <f>base[[#This Row],[Data de liquidação]]</f>
        <v>46201.856840277775</v>
      </c>
    </row>
    <row r="3005" spans="2:20" ht="15" customHeight="1">
      <c r="B3005" s="947" t="s">
        <v>3641</v>
      </c>
      <c r="C3005" s="935" t="s">
        <v>3556</v>
      </c>
      <c r="D3005" s="1380">
        <v>46202.66846064815</v>
      </c>
      <c r="E3005" s="949">
        <v>28.99</v>
      </c>
      <c r="F3005" s="654">
        <v>4.4999999999999998E-2</v>
      </c>
      <c r="G3005" s="950">
        <f t="shared" si="63"/>
        <v>30.356020942408378</v>
      </c>
      <c r="H3005" s="950" t="s">
        <v>3334</v>
      </c>
      <c r="I3005" s="951" t="s">
        <v>627</v>
      </c>
      <c r="J3005" s="950">
        <v>15</v>
      </c>
      <c r="K3005" s="950">
        <v>425.04</v>
      </c>
      <c r="L3005" s="948">
        <f>INT(base[[#This Row],[Data de liquidação]])</f>
        <v>46202</v>
      </c>
      <c r="M3005" s="950">
        <f>base[[#This Row],[L/P Bruto]]-base[[#This Row],[L/P Líquido]]</f>
        <v>1.3660209424083796</v>
      </c>
      <c r="N3005" s="950">
        <f>base[[#This Row],[L/P Líquido]]/base[[#This Row],[Stake/Responsabilidade]]</f>
        <v>6.8205345379258417E-2</v>
      </c>
      <c r="O3005" s="952">
        <f>IF(base[[#This Row],[L/P Líquido]]&gt;0,1,0)</f>
        <v>1</v>
      </c>
      <c r="P3005" s="952"/>
      <c r="Q3005" s="952" t="str">
        <f>LEFT(base[[#This Row],[Evento / Mercado]],FIND("vs",base[[#This Row],[Evento / Mercado]])-2)</f>
        <v>Brazil</v>
      </c>
      <c r="R3005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4" t="str">
        <f>LEFT(base[[#This Row],[Evento / Mercado]],FIND("/",base[[#This Row],[Evento / Mercado]])-2)</f>
        <v>Brazil vs Japan</v>
      </c>
      <c r="T3005" s="1420">
        <f>base[[#This Row],[Data de liquidação]]</f>
        <v>46202.66846064815</v>
      </c>
    </row>
    <row r="3006" spans="2:20" ht="15" customHeight="1">
      <c r="B3006" s="947" t="s">
        <v>3640</v>
      </c>
      <c r="C3006" s="935" t="s">
        <v>3556</v>
      </c>
      <c r="D3006" s="1380">
        <v>46202.668842592589</v>
      </c>
      <c r="E3006" s="949">
        <v>79.58</v>
      </c>
      <c r="F3006" s="654">
        <v>4.4999999999999998E-2</v>
      </c>
      <c r="G3006" s="950">
        <f t="shared" si="63"/>
        <v>83.329842931937179</v>
      </c>
      <c r="H3006" s="950" t="s">
        <v>179</v>
      </c>
      <c r="I3006" s="951" t="s">
        <v>3393</v>
      </c>
      <c r="J3006" s="950">
        <v>5.8</v>
      </c>
      <c r="K3006" s="950">
        <v>399.98</v>
      </c>
      <c r="L3006" s="948">
        <f>INT(base[[#This Row],[Data de liquidação]])</f>
        <v>46202</v>
      </c>
      <c r="M3006" s="950">
        <f>base[[#This Row],[L/P Bruto]]-base[[#This Row],[L/P Líquido]]</f>
        <v>3.7498429319371809</v>
      </c>
      <c r="N3006" s="950">
        <f>base[[#This Row],[L/P Líquido]]/base[[#This Row],[Stake/Responsabilidade]]</f>
        <v>0.19895994799739986</v>
      </c>
      <c r="O3006" s="952">
        <f>IF(base[[#This Row],[L/P Líquido]]&gt;0,1,0)</f>
        <v>1</v>
      </c>
      <c r="P3006" s="952" t="s">
        <v>3331</v>
      </c>
      <c r="Q3006" s="952" t="str">
        <f>LEFT(base[[#This Row],[Evento / Mercado]],FIND("vs",base[[#This Row],[Evento / Mercado]])-2)</f>
        <v>Brazil</v>
      </c>
      <c r="R3006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4" t="str">
        <f>LEFT(base[[#This Row],[Evento / Mercado]],FIND("/",base[[#This Row],[Evento / Mercado]])-2)</f>
        <v>Brazil vs Japan</v>
      </c>
      <c r="T3006" s="1420">
        <f>base[[#This Row],[Data de liquidação]]</f>
        <v>46202.668842592589</v>
      </c>
    </row>
    <row r="3007" spans="2:20" ht="15" customHeight="1">
      <c r="B3007" s="947" t="s">
        <v>3639</v>
      </c>
      <c r="C3007" s="935" t="s">
        <v>3556</v>
      </c>
      <c r="D3007" s="1380">
        <v>46202.755381944444</v>
      </c>
      <c r="E3007" s="949">
        <v>22.64</v>
      </c>
      <c r="F3007" s="654">
        <v>4.4999999999999998E-2</v>
      </c>
      <c r="G3007" s="950">
        <f t="shared" si="63"/>
        <v>23.706806282722514</v>
      </c>
      <c r="H3007" s="950" t="s">
        <v>74</v>
      </c>
      <c r="I3007" s="951" t="s">
        <v>694</v>
      </c>
      <c r="J3007" s="950">
        <v>22</v>
      </c>
      <c r="K3007" s="950">
        <v>497.76</v>
      </c>
      <c r="L3007" s="948">
        <f>INT(base[[#This Row],[Data de liquidação]])</f>
        <v>46202</v>
      </c>
      <c r="M3007" s="950">
        <f>base[[#This Row],[L/P Bruto]]-base[[#This Row],[L/P Líquido]]</f>
        <v>1.0668062827225135</v>
      </c>
      <c r="N3007" s="950">
        <f>base[[#This Row],[L/P Líquido]]/base[[#This Row],[Stake/Responsabilidade]]</f>
        <v>4.5483767277402769E-2</v>
      </c>
      <c r="O3007" s="952">
        <f>IF(base[[#This Row],[L/P Líquido]]&gt;0,1,0)</f>
        <v>1</v>
      </c>
      <c r="P3007" s="952" t="s">
        <v>3644</v>
      </c>
      <c r="Q3007" s="952" t="str">
        <f>LEFT(base[[#This Row],[Evento / Mercado]],FIND("vs",base[[#This Row],[Evento / Mercado]])-2)</f>
        <v>IA Akranes</v>
      </c>
      <c r="R3007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4" t="str">
        <f>LEFT(base[[#This Row],[Evento / Mercado]],FIND("/",base[[#This Row],[Evento / Mercado]])-2)</f>
        <v>IA Akranes vs Fram Reykjavik</v>
      </c>
      <c r="T3007" s="1420">
        <f>base[[#This Row],[Data de liquidação]]</f>
        <v>46202.755381944444</v>
      </c>
    </row>
    <row r="3008" spans="2:20" ht="15" customHeight="1">
      <c r="B3008" s="947" t="s">
        <v>3642</v>
      </c>
      <c r="C3008" s="947" t="s">
        <v>3555</v>
      </c>
      <c r="D3008" s="1380">
        <v>46202.811365740738</v>
      </c>
      <c r="E3008" s="949">
        <v>194.42</v>
      </c>
      <c r="F3008" s="654">
        <v>4.4999999999999998E-2</v>
      </c>
      <c r="G3008" s="950">
        <f t="shared" si="63"/>
        <v>203.58115183246073</v>
      </c>
      <c r="H3008" s="938" t="s">
        <v>3253</v>
      </c>
      <c r="I3008" s="939" t="s">
        <v>3254</v>
      </c>
      <c r="J3008" s="950">
        <v>11.5</v>
      </c>
      <c r="K3008" s="950">
        <v>19.05</v>
      </c>
      <c r="L3008" s="948">
        <f>INT(base[[#This Row],[Data de liquidação]])</f>
        <v>46202</v>
      </c>
      <c r="M3008" s="950">
        <f>base[[#This Row],[L/P Bruto]]-base[[#This Row],[L/P Líquido]]</f>
        <v>9.1611518324607459</v>
      </c>
      <c r="N3008" s="950">
        <f>base[[#This Row],[L/P Líquido]]/base[[#This Row],[Stake/Responsabilidade]]</f>
        <v>10.205774278215221</v>
      </c>
      <c r="O3008" s="952">
        <f>IF(base[[#This Row],[L/P Líquido]]&gt;0,1,0)</f>
        <v>1</v>
      </c>
      <c r="P3008" s="952"/>
      <c r="Q3008" s="952" t="str">
        <f>LEFT(base[[#This Row],[Evento / Mercado]],FIND("vs",base[[#This Row],[Evento / Mercado]])-2)</f>
        <v>Germany</v>
      </c>
      <c r="R3008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4" t="str">
        <f>LEFT(base[[#This Row],[Evento / Mercado]],FIND("/",base[[#This Row],[Evento / Mercado]])-2)</f>
        <v>Germany vs Paraguay</v>
      </c>
      <c r="T3008" s="1420">
        <f>base[[#This Row],[Data de liquidação]]</f>
        <v>46202.811365740738</v>
      </c>
    </row>
    <row r="3009" spans="2:20" ht="15" customHeight="1">
      <c r="B3009" s="947" t="s">
        <v>3638</v>
      </c>
      <c r="C3009" s="935" t="s">
        <v>3556</v>
      </c>
      <c r="D3009" s="1380">
        <v>46202.811828703707</v>
      </c>
      <c r="E3009" s="949">
        <v>20.54</v>
      </c>
      <c r="F3009" s="654">
        <v>4.4999999999999998E-2</v>
      </c>
      <c r="G3009" s="950">
        <f t="shared" si="63"/>
        <v>21.507853403141361</v>
      </c>
      <c r="H3009" s="950" t="s">
        <v>3330</v>
      </c>
      <c r="I3009" s="951" t="s">
        <v>3566</v>
      </c>
      <c r="J3009" s="950">
        <f>(12*75.02+3.65*73.62)/base[[#This Row],[Stake/Responsabilidade]]</f>
        <v>7.8643231969860068</v>
      </c>
      <c r="K3009" s="950">
        <f>73.62+75.02</f>
        <v>148.63999999999999</v>
      </c>
      <c r="L3009" s="948">
        <f>INT(base[[#This Row],[Data de liquidação]])</f>
        <v>46202</v>
      </c>
      <c r="M3009" s="950">
        <f>base[[#This Row],[L/P Bruto]]-base[[#This Row],[L/P Líquido]]</f>
        <v>0.96785340314136192</v>
      </c>
      <c r="N3009" s="950">
        <f>base[[#This Row],[L/P Líquido]]/base[[#This Row],[Stake/Responsabilidade]]</f>
        <v>0.13818622174381057</v>
      </c>
      <c r="O3009" s="952">
        <f>IF(base[[#This Row],[L/P Líquido]]&gt;0,1,0)</f>
        <v>1</v>
      </c>
      <c r="P3009" s="952"/>
      <c r="Q3009" s="952" t="str">
        <f>LEFT(base[[#This Row],[Evento / Mercado]],FIND("vs",base[[#This Row],[Evento / Mercado]])-2)</f>
        <v>Germany</v>
      </c>
      <c r="R3009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4" t="str">
        <f>LEFT(base[[#This Row],[Evento / Mercado]],FIND("/",base[[#This Row],[Evento / Mercado]])-2)</f>
        <v>Germany vs Paraguay</v>
      </c>
      <c r="T3009" s="1420">
        <f>base[[#This Row],[Data de liquidação]]</f>
        <v>46202.811828703707</v>
      </c>
    </row>
    <row r="3010" spans="2:20" ht="15" customHeight="1">
      <c r="B3010" s="947" t="s">
        <v>3638</v>
      </c>
      <c r="C3010" s="947" t="s">
        <v>3555</v>
      </c>
      <c r="D3010" s="1380">
        <v>46202.811828703707</v>
      </c>
      <c r="E3010" s="949">
        <v>-199.98</v>
      </c>
      <c r="F3010" s="654">
        <v>4.4999999999999998E-2</v>
      </c>
      <c r="G3010" s="950">
        <f t="shared" si="63"/>
        <v>-199.98</v>
      </c>
      <c r="H3010" s="938" t="s">
        <v>3253</v>
      </c>
      <c r="I3010" s="939" t="s">
        <v>1555</v>
      </c>
      <c r="J3010" s="950">
        <v>5.5</v>
      </c>
      <c r="K3010" s="950">
        <v>199.98</v>
      </c>
      <c r="L3010" s="948">
        <f>INT(base[[#This Row],[Data de liquidação]])</f>
        <v>46202</v>
      </c>
      <c r="M3010" s="950">
        <f>base[[#This Row],[L/P Bruto]]-base[[#This Row],[L/P Líquido]]</f>
        <v>0</v>
      </c>
      <c r="N3010" s="950">
        <f>base[[#This Row],[L/P Líquido]]/base[[#This Row],[Stake/Responsabilidade]]</f>
        <v>-1</v>
      </c>
      <c r="O3010" s="952">
        <f>IF(base[[#This Row],[L/P Líquido]]&gt;0,1,0)</f>
        <v>0</v>
      </c>
      <c r="P3010" s="952"/>
      <c r="Q3010" s="952" t="str">
        <f>LEFT(base[[#This Row],[Evento / Mercado]],FIND("vs",base[[#This Row],[Evento / Mercado]])-2)</f>
        <v>Germany</v>
      </c>
      <c r="R3010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4" t="str">
        <f>LEFT(base[[#This Row],[Evento / Mercado]],FIND("/",base[[#This Row],[Evento / Mercado]])-2)</f>
        <v>Germany vs Paraguay</v>
      </c>
      <c r="T3010" s="1420">
        <f>base[[#This Row],[Data de liquidação]]</f>
        <v>46202.811828703707</v>
      </c>
    </row>
    <row r="3011" spans="2:20" ht="15" customHeight="1">
      <c r="B3011" s="947" t="s">
        <v>3637</v>
      </c>
      <c r="C3011" s="947" t="s">
        <v>3555</v>
      </c>
      <c r="D3011" s="1380">
        <v>46202.999502314815</v>
      </c>
      <c r="E3011" s="949">
        <v>35.17</v>
      </c>
      <c r="F3011" s="654">
        <v>4.4999999999999998E-2</v>
      </c>
      <c r="G3011" s="950">
        <f t="shared" ref="G3011:G3074" si="65">IF(E3011&gt;0,E3011/(1-F3011),E3011)</f>
        <v>36.827225130890056</v>
      </c>
      <c r="H3011" s="950" t="s">
        <v>3209</v>
      </c>
      <c r="I3011" s="951" t="s">
        <v>3643</v>
      </c>
      <c r="J3011" s="950"/>
      <c r="K3011" s="950">
        <v>100</v>
      </c>
      <c r="L3011" s="948">
        <f>INT(base[[#This Row],[Data de liquidação]])</f>
        <v>46202</v>
      </c>
      <c r="M3011" s="950">
        <f>base[[#This Row],[L/P Bruto]]-base[[#This Row],[L/P Líquido]]</f>
        <v>1.6572251308900547</v>
      </c>
      <c r="N3011" s="950">
        <f>base[[#This Row],[L/P Líquido]]/base[[#This Row],[Stake/Responsabilidade]]</f>
        <v>0.35170000000000001</v>
      </c>
      <c r="O3011" s="952">
        <f>IF(base[[#This Row],[L/P Líquido]]&gt;0,1,0)</f>
        <v>1</v>
      </c>
      <c r="P3011" s="952"/>
      <c r="Q3011" s="952" t="str">
        <f>LEFT(base[[#This Row],[Evento / Mercado]],FIND("vs",base[[#This Row],[Evento / Mercado]])-2)</f>
        <v>Netherlands</v>
      </c>
      <c r="R3011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4" t="str">
        <f>LEFT(base[[#This Row],[Evento / Mercado]],FIND("/",base[[#This Row],[Evento / Mercado]])-2)</f>
        <v>Netherlands vs Morocco</v>
      </c>
      <c r="T3011" s="1420">
        <f>base[[#This Row],[Data de liquidação]]</f>
        <v>46202.999502314815</v>
      </c>
    </row>
    <row r="3012" spans="2:20" ht="15" customHeight="1">
      <c r="B3012" s="947" t="s">
        <v>3637</v>
      </c>
      <c r="C3012" s="935" t="s">
        <v>3556</v>
      </c>
      <c r="D3012" s="1380">
        <v>46202.999513888892</v>
      </c>
      <c r="E3012" s="949">
        <v>43.45</v>
      </c>
      <c r="F3012" s="654">
        <v>4.4999999999999998E-2</v>
      </c>
      <c r="G3012" s="950">
        <f t="shared" si="65"/>
        <v>45.497382198952884</v>
      </c>
      <c r="H3012" s="950" t="s">
        <v>3334</v>
      </c>
      <c r="I3012" s="951" t="s">
        <v>627</v>
      </c>
      <c r="J3012" s="950">
        <v>11</v>
      </c>
      <c r="K3012" s="950">
        <v>455</v>
      </c>
      <c r="L3012" s="948">
        <f>INT(base[[#This Row],[Data de liquidação]])</f>
        <v>46202</v>
      </c>
      <c r="M3012" s="950">
        <f>base[[#This Row],[L/P Bruto]]-base[[#This Row],[L/P Líquido]]</f>
        <v>2.0473821989528815</v>
      </c>
      <c r="N3012" s="950">
        <f>base[[#This Row],[L/P Líquido]]/base[[#This Row],[Stake/Responsabilidade]]</f>
        <v>9.5494505494505499E-2</v>
      </c>
      <c r="O3012" s="952">
        <f>IF(base[[#This Row],[L/P Líquido]]&gt;0,1,0)</f>
        <v>1</v>
      </c>
      <c r="P3012" s="952"/>
      <c r="Q3012" s="952" t="str">
        <f>LEFT(base[[#This Row],[Evento / Mercado]],FIND("vs",base[[#This Row],[Evento / Mercado]])-2)</f>
        <v>Netherlands</v>
      </c>
      <c r="R3012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4" t="str">
        <f>LEFT(base[[#This Row],[Evento / Mercado]],FIND("/",base[[#This Row],[Evento / Mercado]])-2)</f>
        <v>Netherlands vs Morocco</v>
      </c>
      <c r="T3012" s="1420">
        <f>base[[#This Row],[Data de liquidação]]</f>
        <v>46202.999513888892</v>
      </c>
    </row>
    <row r="3013" spans="2:20" ht="15" customHeight="1">
      <c r="B3013" s="947" t="s">
        <v>3636</v>
      </c>
      <c r="C3013" s="935" t="s">
        <v>3556</v>
      </c>
      <c r="D3013" s="1380">
        <v>46203.040810185186</v>
      </c>
      <c r="E3013" s="949">
        <v>18.18</v>
      </c>
      <c r="F3013" s="654">
        <v>4.4999999999999998E-2</v>
      </c>
      <c r="G3013" s="950">
        <f t="shared" si="65"/>
        <v>19.036649214659686</v>
      </c>
      <c r="H3013" s="950" t="s">
        <v>3411</v>
      </c>
      <c r="I3013" s="1070" t="s">
        <v>3830</v>
      </c>
      <c r="J3013" s="950">
        <v>23</v>
      </c>
      <c r="K3013" s="950">
        <v>399.96</v>
      </c>
      <c r="L3013" s="948">
        <f>INT(base[[#This Row],[Data de liquidação]])</f>
        <v>46203</v>
      </c>
      <c r="M3013" s="950">
        <f>base[[#This Row],[L/P Bruto]]-base[[#This Row],[L/P Líquido]]</f>
        <v>0.85664921465968646</v>
      </c>
      <c r="N3013" s="950">
        <f>base[[#This Row],[L/P Líquido]]/base[[#This Row],[Stake/Responsabilidade]]</f>
        <v>4.5454545454545456E-2</v>
      </c>
      <c r="O3013" s="952">
        <f>IF(base[[#This Row],[L/P Líquido]]&gt;0,1,0)</f>
        <v>1</v>
      </c>
      <c r="P3013" s="952"/>
      <c r="Q3013" s="952" t="e">
        <f>LEFT(base[[#This Row],[Evento / Mercado]],FIND("vs",base[[#This Row],[Evento / Mercado]])-2)</f>
        <v>#VALUE!</v>
      </c>
      <c r="R3013" s="9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4" t="str">
        <f>LEFT(base[[#This Row],[Evento / Mercado]],FIND("/",base[[#This Row],[Evento / Mercado]])-2)</f>
        <v>FIFA World Cup 2026</v>
      </c>
      <c r="T3013" s="1420">
        <f>base[[#This Row],[Data de liquidação]]</f>
        <v>46203.040810185186</v>
      </c>
    </row>
    <row r="3014" spans="2:20" ht="15" customHeight="1">
      <c r="B3014" s="953" t="s">
        <v>3649</v>
      </c>
      <c r="C3014" s="935" t="s">
        <v>3556</v>
      </c>
      <c r="D3014" s="1381">
        <v>46203.64947916667</v>
      </c>
      <c r="E3014" s="955">
        <v>47.75</v>
      </c>
      <c r="F3014" s="654">
        <v>4.4999999999999998E-2</v>
      </c>
      <c r="G3014" s="956">
        <f t="shared" si="65"/>
        <v>50</v>
      </c>
      <c r="H3014" s="956" t="s">
        <v>3581</v>
      </c>
      <c r="I3014" s="957" t="s">
        <v>411</v>
      </c>
      <c r="J3014" s="956">
        <v>1.5</v>
      </c>
      <c r="K3014" s="956">
        <v>50</v>
      </c>
      <c r="L3014" s="954">
        <f>INT(base[[#This Row],[Data de liquidação]])</f>
        <v>46203</v>
      </c>
      <c r="M3014" s="956">
        <f>base[[#This Row],[L/P Bruto]]-base[[#This Row],[L/P Líquido]]</f>
        <v>2.25</v>
      </c>
      <c r="N3014" s="956">
        <f>base[[#This Row],[L/P Líquido]]/base[[#This Row],[Stake/Responsabilidade]]</f>
        <v>0.95499999999999996</v>
      </c>
      <c r="O3014" s="958">
        <f>IF(base[[#This Row],[L/P Líquido]]&gt;0,1,0)</f>
        <v>1</v>
      </c>
      <c r="P3014" s="958"/>
      <c r="Q3014" s="958" t="str">
        <f>LEFT(base[[#This Row],[Evento / Mercado]],FIND("vs",base[[#This Row],[Evento / Mercado]])-2)</f>
        <v>Ivory Coast</v>
      </c>
      <c r="R3014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4" t="str">
        <f>LEFT(base[[#This Row],[Evento / Mercado]],FIND("/",base[[#This Row],[Evento / Mercado]])-2)</f>
        <v>Ivory Coast vs Norway</v>
      </c>
      <c r="T3014" s="1420">
        <f>base[[#This Row],[Data de liquidação]]</f>
        <v>46203.64947916667</v>
      </c>
    </row>
    <row r="3015" spans="2:20" ht="15" customHeight="1">
      <c r="B3015" s="953" t="s">
        <v>3648</v>
      </c>
      <c r="C3015" s="935" t="s">
        <v>3556</v>
      </c>
      <c r="D3015" s="1381">
        <v>46203.828946759262</v>
      </c>
      <c r="E3015" s="955">
        <v>30.56</v>
      </c>
      <c r="F3015" s="654">
        <v>4.4999999999999998E-2</v>
      </c>
      <c r="G3015" s="956">
        <f t="shared" si="65"/>
        <v>32</v>
      </c>
      <c r="H3015" s="956" t="s">
        <v>179</v>
      </c>
      <c r="I3015" s="957" t="s">
        <v>392</v>
      </c>
      <c r="J3015" s="956">
        <v>13.5</v>
      </c>
      <c r="K3015" s="956">
        <v>400</v>
      </c>
      <c r="L3015" s="954">
        <f>INT(base[[#This Row],[Data de liquidação]])</f>
        <v>46203</v>
      </c>
      <c r="M3015" s="956">
        <f>base[[#This Row],[L/P Bruto]]-base[[#This Row],[L/P Líquido]]</f>
        <v>1.4400000000000013</v>
      </c>
      <c r="N3015" s="956">
        <f>base[[#This Row],[L/P Líquido]]/base[[#This Row],[Stake/Responsabilidade]]</f>
        <v>7.6399999999999996E-2</v>
      </c>
      <c r="O3015" s="958">
        <f>IF(base[[#This Row],[L/P Líquido]]&gt;0,1,0)</f>
        <v>1</v>
      </c>
      <c r="P3015" s="958" t="s">
        <v>3331</v>
      </c>
      <c r="Q3015" s="958" t="str">
        <f>LEFT(base[[#This Row],[Evento / Mercado]],FIND("vs",base[[#This Row],[Evento / Mercado]])-2)</f>
        <v>France</v>
      </c>
      <c r="R3015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4" t="str">
        <f>LEFT(base[[#This Row],[Evento / Mercado]],FIND("/",base[[#This Row],[Evento / Mercado]])-2)</f>
        <v>France vs Sweden</v>
      </c>
      <c r="T3015" s="1420">
        <f>base[[#This Row],[Data de liquidação]]</f>
        <v>46203.828946759262</v>
      </c>
    </row>
    <row r="3016" spans="2:20" ht="15" customHeight="1">
      <c r="B3016" s="953" t="s">
        <v>3647</v>
      </c>
      <c r="C3016" s="935" t="s">
        <v>3556</v>
      </c>
      <c r="D3016" s="1381">
        <v>46203.935219907406</v>
      </c>
      <c r="E3016" s="955">
        <v>5.97</v>
      </c>
      <c r="F3016" s="654">
        <v>4.4999999999999998E-2</v>
      </c>
      <c r="G3016" s="956">
        <f t="shared" si="65"/>
        <v>6.2513089005235605</v>
      </c>
      <c r="H3016" s="956" t="s">
        <v>1666</v>
      </c>
      <c r="I3016" s="957" t="s">
        <v>2951</v>
      </c>
      <c r="J3016" s="956">
        <v>8.8000000000000007</v>
      </c>
      <c r="K3016" s="956">
        <v>48.75</v>
      </c>
      <c r="L3016" s="954">
        <f>INT(base[[#This Row],[Data de liquidação]])</f>
        <v>46203</v>
      </c>
      <c r="M3016" s="956">
        <f>base[[#This Row],[L/P Bruto]]-base[[#This Row],[L/P Líquido]]</f>
        <v>0.28130890052356072</v>
      </c>
      <c r="N3016" s="956">
        <f>base[[#This Row],[L/P Líquido]]/base[[#This Row],[Stake/Responsabilidade]]</f>
        <v>0.12246153846153846</v>
      </c>
      <c r="O3016" s="958">
        <f>IF(base[[#This Row],[L/P Líquido]]&gt;0,1,0)</f>
        <v>1</v>
      </c>
      <c r="P3016" s="958"/>
      <c r="Q3016" s="958" t="str">
        <f>LEFT(base[[#This Row],[Evento / Mercado]],FIND("vs",base[[#This Row],[Evento / Mercado]])-2)</f>
        <v>Botafogo PB</v>
      </c>
      <c r="R3016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4" t="str">
        <f>LEFT(base[[#This Row],[Evento / Mercado]],FIND("/",base[[#This Row],[Evento / Mercado]])-2)</f>
        <v>Botafogo PB vs Brusque FC</v>
      </c>
      <c r="T3016" s="1420">
        <f>base[[#This Row],[Data de liquidação]]</f>
        <v>46203.935219907406</v>
      </c>
    </row>
    <row r="3017" spans="2:20" ht="15" customHeight="1">
      <c r="B3017" s="953" t="s">
        <v>3650</v>
      </c>
      <c r="C3017" s="947" t="s">
        <v>3555</v>
      </c>
      <c r="D3017" s="1381">
        <v>46204.042638888888</v>
      </c>
      <c r="E3017" s="955">
        <v>-35.71</v>
      </c>
      <c r="F3017" s="654">
        <v>4.4999999999999998E-2</v>
      </c>
      <c r="G3017" s="956">
        <f t="shared" si="65"/>
        <v>-35.71</v>
      </c>
      <c r="H3017" s="938" t="s">
        <v>3253</v>
      </c>
      <c r="I3017" s="939" t="s">
        <v>3254</v>
      </c>
      <c r="J3017" s="956">
        <v>6.6</v>
      </c>
      <c r="K3017" s="956">
        <v>35.71</v>
      </c>
      <c r="L3017" s="954">
        <f>INT(base[[#This Row],[Data de liquidação]])</f>
        <v>46204</v>
      </c>
      <c r="M3017" s="956">
        <f>base[[#This Row],[L/P Bruto]]-base[[#This Row],[L/P Líquido]]</f>
        <v>0</v>
      </c>
      <c r="N3017" s="956">
        <f>base[[#This Row],[L/P Líquido]]/base[[#This Row],[Stake/Responsabilidade]]</f>
        <v>-1</v>
      </c>
      <c r="O3017" s="958">
        <f>IF(base[[#This Row],[L/P Líquido]]&gt;0,1,0)</f>
        <v>0</v>
      </c>
      <c r="P3017" s="958"/>
      <c r="Q3017" s="958" t="str">
        <f>LEFT(base[[#This Row],[Evento / Mercado]],FIND("vs",base[[#This Row],[Evento / Mercado]])-2)</f>
        <v>Mexico</v>
      </c>
      <c r="R3017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4" t="str">
        <f>LEFT(base[[#This Row],[Evento / Mercado]],FIND("/",base[[#This Row],[Evento / Mercado]])-2)</f>
        <v>Mexico vs Ecuador</v>
      </c>
      <c r="T3017" s="1420">
        <f>base[[#This Row],[Data de liquidação]]</f>
        <v>46204.042638888888</v>
      </c>
    </row>
    <row r="3018" spans="2:20" ht="15" customHeight="1">
      <c r="B3018" s="953" t="s">
        <v>3646</v>
      </c>
      <c r="C3018" s="935" t="s">
        <v>3556</v>
      </c>
      <c r="D3018" s="1381">
        <v>46204.042858796296</v>
      </c>
      <c r="E3018" s="955">
        <v>12.09</v>
      </c>
      <c r="F3018" s="654">
        <v>4.4999999999999998E-2</v>
      </c>
      <c r="G3018" s="956">
        <f t="shared" si="65"/>
        <v>12.659685863874346</v>
      </c>
      <c r="H3018" s="956" t="s">
        <v>3330</v>
      </c>
      <c r="I3018" s="1248" t="s">
        <v>4368</v>
      </c>
      <c r="J3018" s="956">
        <v>4.5</v>
      </c>
      <c r="K3018" s="956">
        <v>75.010000000000005</v>
      </c>
      <c r="L3018" s="954">
        <f>INT(base[[#This Row],[Data de liquidação]])</f>
        <v>46204</v>
      </c>
      <c r="M3018" s="956">
        <f>base[[#This Row],[L/P Bruto]]-base[[#This Row],[L/P Líquido]]</f>
        <v>0.56968586387434605</v>
      </c>
      <c r="N3018" s="956">
        <f>base[[#This Row],[L/P Líquido]]/base[[#This Row],[Stake/Responsabilidade]]</f>
        <v>0.16117850953206239</v>
      </c>
      <c r="O3018" s="958">
        <f>IF(base[[#This Row],[L/P Líquido]]&gt;0,1,0)</f>
        <v>1</v>
      </c>
      <c r="P3018" s="958"/>
      <c r="Q3018" s="958" t="str">
        <f>LEFT(base[[#This Row],[Evento / Mercado]],FIND("vs",base[[#This Row],[Evento / Mercado]])-2)</f>
        <v>Mexico</v>
      </c>
      <c r="R3018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4" t="str">
        <f>LEFT(base[[#This Row],[Evento / Mercado]],FIND("/",base[[#This Row],[Evento / Mercado]])-2)</f>
        <v>Mexico vs Ecuador</v>
      </c>
      <c r="T3018" s="1420">
        <f>base[[#This Row],[Data de liquidação]]</f>
        <v>46204.042858796296</v>
      </c>
    </row>
    <row r="3019" spans="2:20" ht="15" customHeight="1">
      <c r="B3019" s="953" t="s">
        <v>3646</v>
      </c>
      <c r="C3019" s="947" t="s">
        <v>3555</v>
      </c>
      <c r="D3019" s="1381">
        <v>46204.042858796296</v>
      </c>
      <c r="E3019" s="955">
        <v>72.540000000000006</v>
      </c>
      <c r="F3019" s="654">
        <v>4.4999999999999998E-2</v>
      </c>
      <c r="G3019" s="956">
        <f t="shared" si="65"/>
        <v>75.958115183246079</v>
      </c>
      <c r="H3019" s="938" t="s">
        <v>3253</v>
      </c>
      <c r="I3019" s="939" t="s">
        <v>1555</v>
      </c>
      <c r="J3019" s="956">
        <v>2.96</v>
      </c>
      <c r="K3019" s="956">
        <v>200</v>
      </c>
      <c r="L3019" s="954">
        <f>INT(base[[#This Row],[Data de liquidação]])</f>
        <v>46204</v>
      </c>
      <c r="M3019" s="956">
        <f>base[[#This Row],[L/P Bruto]]-base[[#This Row],[L/P Líquido]]</f>
        <v>3.4181151832460728</v>
      </c>
      <c r="N3019" s="956">
        <f>base[[#This Row],[L/P Líquido]]/base[[#This Row],[Stake/Responsabilidade]]</f>
        <v>0.36270000000000002</v>
      </c>
      <c r="O3019" s="958">
        <f>IF(base[[#This Row],[L/P Líquido]]&gt;0,1,0)</f>
        <v>1</v>
      </c>
      <c r="P3019" s="958"/>
      <c r="Q3019" s="958" t="str">
        <f>LEFT(base[[#This Row],[Evento / Mercado]],FIND("vs",base[[#This Row],[Evento / Mercado]])-2)</f>
        <v>Mexico</v>
      </c>
      <c r="R3019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4" t="str">
        <f>LEFT(base[[#This Row],[Evento / Mercado]],FIND("/",base[[#This Row],[Evento / Mercado]])-2)</f>
        <v>Mexico vs Ecuador</v>
      </c>
      <c r="T3019" s="1420">
        <f>base[[#This Row],[Data de liquidação]]</f>
        <v>46204.042858796296</v>
      </c>
    </row>
    <row r="3020" spans="2:20" ht="15" customHeight="1">
      <c r="B3020" s="959" t="s">
        <v>3659</v>
      </c>
      <c r="C3020" s="935" t="s">
        <v>3556</v>
      </c>
      <c r="D3020" s="1382">
        <v>46204.625555555554</v>
      </c>
      <c r="E3020" s="961">
        <v>-72.17</v>
      </c>
      <c r="F3020" s="654">
        <v>4.4999999999999998E-2</v>
      </c>
      <c r="G3020" s="962">
        <f t="shared" si="65"/>
        <v>-72.17</v>
      </c>
      <c r="H3020" s="962" t="s">
        <v>179</v>
      </c>
      <c r="I3020" s="963" t="s">
        <v>392</v>
      </c>
      <c r="J3020" s="962">
        <v>17.5</v>
      </c>
      <c r="K3020" s="962">
        <v>399.96</v>
      </c>
      <c r="L3020" s="960">
        <f>INT(base[[#This Row],[Data de liquidação]])</f>
        <v>46204</v>
      </c>
      <c r="M3020" s="962">
        <f>base[[#This Row],[L/P Bruto]]-base[[#This Row],[L/P Líquido]]</f>
        <v>0</v>
      </c>
      <c r="N3020" s="962">
        <f>base[[#This Row],[L/P Líquido]]/base[[#This Row],[Stake/Responsabilidade]]</f>
        <v>-0.18044304430443045</v>
      </c>
      <c r="O3020" s="964">
        <f>IF(base[[#This Row],[L/P Líquido]]&gt;0,1,0)</f>
        <v>0</v>
      </c>
      <c r="P3020" s="964" t="s">
        <v>3331</v>
      </c>
      <c r="Q3020" s="964" t="str">
        <f>LEFT(base[[#This Row],[Evento / Mercado]],FIND("vs",base[[#This Row],[Evento / Mercado]])-2)</f>
        <v>England</v>
      </c>
      <c r="R302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4" t="str">
        <f>LEFT(base[[#This Row],[Evento / Mercado]],FIND("/",base[[#This Row],[Evento / Mercado]])-2)</f>
        <v>England vs Congo DR</v>
      </c>
      <c r="T3020" s="1420">
        <f>base[[#This Row],[Data de liquidação]]</f>
        <v>46204.625555555554</v>
      </c>
    </row>
    <row r="3021" spans="2:20" ht="15" customHeight="1">
      <c r="B3021" s="959" t="s">
        <v>3658</v>
      </c>
      <c r="C3021" s="935" t="s">
        <v>3556</v>
      </c>
      <c r="D3021" s="1382">
        <v>46204.784467592595</v>
      </c>
      <c r="E3021" s="961">
        <v>3.62</v>
      </c>
      <c r="F3021" s="654">
        <v>4.4999999999999998E-2</v>
      </c>
      <c r="G3021" s="962">
        <f t="shared" si="65"/>
        <v>3.7905759162303667</v>
      </c>
      <c r="H3021" s="962" t="s">
        <v>3333</v>
      </c>
      <c r="I3021" s="1026" t="s">
        <v>13</v>
      </c>
      <c r="J3021" s="962">
        <v>1.85</v>
      </c>
      <c r="K3021" s="962">
        <v>25</v>
      </c>
      <c r="L3021" s="960">
        <f>INT(base[[#This Row],[Data de liquidação]])</f>
        <v>46204</v>
      </c>
      <c r="M3021" s="962">
        <f>base[[#This Row],[L/P Bruto]]-base[[#This Row],[L/P Líquido]]</f>
        <v>0.17057591623036661</v>
      </c>
      <c r="N3021" s="962">
        <f>base[[#This Row],[L/P Líquido]]/base[[#This Row],[Stake/Responsabilidade]]</f>
        <v>0.14480000000000001</v>
      </c>
      <c r="O3021" s="964">
        <f>IF(base[[#This Row],[L/P Líquido]]&gt;0,1,0)</f>
        <v>1</v>
      </c>
      <c r="P3021" s="964"/>
      <c r="Q3021" s="964" t="str">
        <f>LEFT(base[[#This Row],[Evento / Mercado]],FIND("vs",base[[#This Row],[Evento / Mercado]])-2)</f>
        <v>Belgium</v>
      </c>
      <c r="R302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4" t="str">
        <f>LEFT(base[[#This Row],[Evento / Mercado]],FIND("/",base[[#This Row],[Evento / Mercado]])-2)</f>
        <v>Belgium vs Senegal</v>
      </c>
      <c r="T3021" s="1420">
        <f>base[[#This Row],[Data de liquidação]]</f>
        <v>46204.784467592595</v>
      </c>
    </row>
    <row r="3022" spans="2:20" ht="15" customHeight="1">
      <c r="B3022" s="959" t="s">
        <v>3657</v>
      </c>
      <c r="C3022" s="935" t="s">
        <v>3556</v>
      </c>
      <c r="D3022" s="1382">
        <v>46204.791643518518</v>
      </c>
      <c r="E3022" s="961">
        <v>0.56999999999999995</v>
      </c>
      <c r="F3022" s="654">
        <v>4.4999999999999998E-2</v>
      </c>
      <c r="G3022" s="962">
        <f t="shared" si="65"/>
        <v>0.59685863874345546</v>
      </c>
      <c r="H3022" s="962" t="s">
        <v>3661</v>
      </c>
      <c r="I3022" s="963" t="s">
        <v>392</v>
      </c>
      <c r="J3022" s="962">
        <v>27</v>
      </c>
      <c r="K3022" s="962">
        <v>100.1</v>
      </c>
      <c r="L3022" s="960">
        <f>INT(base[[#This Row],[Data de liquidação]])</f>
        <v>46204</v>
      </c>
      <c r="M3022" s="962">
        <f>base[[#This Row],[L/P Bruto]]-base[[#This Row],[L/P Líquido]]</f>
        <v>2.685863874345551E-2</v>
      </c>
      <c r="N3022" s="962">
        <f>base[[#This Row],[L/P Líquido]]/base[[#This Row],[Stake/Responsabilidade]]</f>
        <v>5.6943056943056939E-3</v>
      </c>
      <c r="O3022" s="964">
        <f>IF(base[[#This Row],[L/P Líquido]]&gt;0,1,0)</f>
        <v>1</v>
      </c>
      <c r="P3022" s="964"/>
      <c r="Q3022" s="964" t="str">
        <f>LEFT(base[[#This Row],[Evento / Mercado]],FIND("vs",base[[#This Row],[Evento / Mercado]])-2)</f>
        <v>Belgium</v>
      </c>
      <c r="R3022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4" t="str">
        <f>LEFT(base[[#This Row],[Evento / Mercado]],FIND("/",base[[#This Row],[Evento / Mercado]])-2)</f>
        <v>Belgium vs Senegal</v>
      </c>
      <c r="T3022" s="1420">
        <f>base[[#This Row],[Data de liquidação]]</f>
        <v>46204.791643518518</v>
      </c>
    </row>
    <row r="3023" spans="2:20" ht="15" customHeight="1">
      <c r="B3023" s="959" t="s">
        <v>3657</v>
      </c>
      <c r="C3023" s="947" t="s">
        <v>3555</v>
      </c>
      <c r="D3023" s="1382">
        <v>46204.791643518518</v>
      </c>
      <c r="E3023" s="961">
        <v>-100</v>
      </c>
      <c r="F3023" s="654">
        <v>4.4999999999999998E-2</v>
      </c>
      <c r="G3023" s="962">
        <f t="shared" si="65"/>
        <v>-100</v>
      </c>
      <c r="H3023" s="962" t="s">
        <v>3209</v>
      </c>
      <c r="I3023" s="963" t="s">
        <v>3211</v>
      </c>
      <c r="J3023" s="962"/>
      <c r="K3023" s="962">
        <v>100</v>
      </c>
      <c r="L3023" s="960">
        <f>INT(base[[#This Row],[Data de liquidação]])</f>
        <v>46204</v>
      </c>
      <c r="M3023" s="962">
        <f>base[[#This Row],[L/P Bruto]]-base[[#This Row],[L/P Líquido]]</f>
        <v>0</v>
      </c>
      <c r="N3023" s="962">
        <f>base[[#This Row],[L/P Líquido]]/base[[#This Row],[Stake/Responsabilidade]]</f>
        <v>-1</v>
      </c>
      <c r="O3023" s="964">
        <f>IF(base[[#This Row],[L/P Líquido]]&gt;0,1,0)</f>
        <v>0</v>
      </c>
      <c r="P3023" s="964"/>
      <c r="Q3023" s="964" t="str">
        <f>LEFT(base[[#This Row],[Evento / Mercado]],FIND("vs",base[[#This Row],[Evento / Mercado]])-2)</f>
        <v>Belgium</v>
      </c>
      <c r="R302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4" t="str">
        <f>LEFT(base[[#This Row],[Evento / Mercado]],FIND("/",base[[#This Row],[Evento / Mercado]])-2)</f>
        <v>Belgium vs Senegal</v>
      </c>
      <c r="T3023" s="1420">
        <f>base[[#This Row],[Data de liquidação]]</f>
        <v>46204.791643518518</v>
      </c>
    </row>
    <row r="3024" spans="2:20" ht="15" customHeight="1">
      <c r="B3024" s="959" t="s">
        <v>3656</v>
      </c>
      <c r="C3024" s="935" t="s">
        <v>3556</v>
      </c>
      <c r="D3024" s="1382">
        <v>46204.792013888888</v>
      </c>
      <c r="E3024" s="961">
        <v>90.59</v>
      </c>
      <c r="F3024" s="654">
        <v>4.4999999999999998E-2</v>
      </c>
      <c r="G3024" s="962">
        <f t="shared" si="65"/>
        <v>94.858638743455501</v>
      </c>
      <c r="H3024" s="962" t="s">
        <v>3330</v>
      </c>
      <c r="I3024" s="1248" t="s">
        <v>4367</v>
      </c>
      <c r="J3024" s="962">
        <f>(2.08*75+3.95*74.99)/base[[#This Row],[Stake/Responsabilidade]]</f>
        <v>3.0149376625108335</v>
      </c>
      <c r="K3024" s="962">
        <f>75+74.99</f>
        <v>149.99</v>
      </c>
      <c r="L3024" s="960">
        <f>INT(base[[#This Row],[Data de liquidação]])</f>
        <v>46204</v>
      </c>
      <c r="M3024" s="962">
        <f>base[[#This Row],[L/P Bruto]]-base[[#This Row],[L/P Líquido]]</f>
        <v>4.2686387434554973</v>
      </c>
      <c r="N3024" s="962">
        <f>base[[#This Row],[L/P Líquido]]/base[[#This Row],[Stake/Responsabilidade]]</f>
        <v>0.60397359823988261</v>
      </c>
      <c r="O3024" s="964">
        <f>IF(base[[#This Row],[L/P Líquido]]&gt;0,1,0)</f>
        <v>1</v>
      </c>
      <c r="P3024" s="964"/>
      <c r="Q3024" s="964" t="str">
        <f>LEFT(base[[#This Row],[Evento / Mercado]],FIND("vs",base[[#This Row],[Evento / Mercado]])-2)</f>
        <v>Belgium</v>
      </c>
      <c r="R302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4" t="str">
        <f>LEFT(base[[#This Row],[Evento / Mercado]],FIND("/",base[[#This Row],[Evento / Mercado]])-2)</f>
        <v>Belgium vs Senegal</v>
      </c>
      <c r="T3024" s="1420">
        <f>base[[#This Row],[Data de liquidação]]</f>
        <v>46204.792013888888</v>
      </c>
    </row>
    <row r="3025" spans="2:20" ht="15" customHeight="1">
      <c r="B3025" s="959" t="s">
        <v>3655</v>
      </c>
      <c r="C3025" s="935" t="s">
        <v>3556</v>
      </c>
      <c r="D3025" s="1382">
        <v>46204.842800925922</v>
      </c>
      <c r="E3025" s="961">
        <v>14.33</v>
      </c>
      <c r="F3025" s="654">
        <v>4.4999999999999998E-2</v>
      </c>
      <c r="G3025" s="962">
        <f t="shared" si="65"/>
        <v>15.005235602094242</v>
      </c>
      <c r="H3025" s="962" t="s">
        <v>1666</v>
      </c>
      <c r="I3025" s="963" t="s">
        <v>1558</v>
      </c>
      <c r="J3025" s="962">
        <v>6.56</v>
      </c>
      <c r="K3025" s="962">
        <v>15</v>
      </c>
      <c r="L3025" s="960">
        <f>INT(base[[#This Row],[Data de liquidação]])</f>
        <v>46204</v>
      </c>
      <c r="M3025" s="962">
        <f>base[[#This Row],[L/P Bruto]]-base[[#This Row],[L/P Líquido]]</f>
        <v>0.67523560209424183</v>
      </c>
      <c r="N3025" s="962">
        <f>base[[#This Row],[L/P Líquido]]/base[[#This Row],[Stake/Responsabilidade]]</f>
        <v>0.95533333333333337</v>
      </c>
      <c r="O3025" s="964">
        <f>IF(base[[#This Row],[L/P Líquido]]&gt;0,1,0)</f>
        <v>1</v>
      </c>
      <c r="P3025" s="964"/>
      <c r="Q3025" s="964" t="str">
        <f>LEFT(base[[#This Row],[Evento / Mercado]],FIND("vs",base[[#This Row],[Evento / Mercado]])-2)</f>
        <v>LDU Quito</v>
      </c>
      <c r="R302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4" t="str">
        <f>LEFT(base[[#This Row],[Evento / Mercado]],FIND("/",base[[#This Row],[Evento / Mercado]])-2)</f>
        <v>LDU Quito vs Orense SC</v>
      </c>
      <c r="T3025" s="1420">
        <f>base[[#This Row],[Data de liquidação]]</f>
        <v>46204.842800925922</v>
      </c>
    </row>
    <row r="3026" spans="2:20" ht="15" customHeight="1">
      <c r="B3026" s="959" t="s">
        <v>3660</v>
      </c>
      <c r="C3026" s="947" t="s">
        <v>3555</v>
      </c>
      <c r="D3026" s="1382">
        <v>46204.962789351855</v>
      </c>
      <c r="E3026" s="961">
        <v>-20</v>
      </c>
      <c r="F3026" s="654">
        <v>4.4999999999999998E-2</v>
      </c>
      <c r="G3026" s="962">
        <f t="shared" si="65"/>
        <v>-20</v>
      </c>
      <c r="H3026" s="938" t="s">
        <v>3253</v>
      </c>
      <c r="I3026" s="939" t="s">
        <v>3254</v>
      </c>
      <c r="J3026" s="962">
        <v>11</v>
      </c>
      <c r="K3026" s="962">
        <v>20</v>
      </c>
      <c r="L3026" s="960">
        <f>INT(base[[#This Row],[Data de liquidação]])</f>
        <v>46204</v>
      </c>
      <c r="M3026" s="962">
        <f>base[[#This Row],[L/P Bruto]]-base[[#This Row],[L/P Líquido]]</f>
        <v>0</v>
      </c>
      <c r="N3026" s="962">
        <f>base[[#This Row],[L/P Líquido]]/base[[#This Row],[Stake/Responsabilidade]]</f>
        <v>-1</v>
      </c>
      <c r="O3026" s="964">
        <f>IF(base[[#This Row],[L/P Líquido]]&gt;0,1,0)</f>
        <v>0</v>
      </c>
      <c r="P3026" s="964"/>
      <c r="Q3026" s="964" t="str">
        <f>LEFT(base[[#This Row],[Evento / Mercado]],FIND("vs",base[[#This Row],[Evento / Mercado]])-2)</f>
        <v>USA</v>
      </c>
      <c r="R302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4" t="str">
        <f>LEFT(base[[#This Row],[Evento / Mercado]],FIND("/",base[[#This Row],[Evento / Mercado]])-2)</f>
        <v>USA vs Bosnia-Herzegovina</v>
      </c>
      <c r="T3026" s="1420">
        <f>base[[#This Row],[Data de liquidação]]</f>
        <v>46204.962789351855</v>
      </c>
    </row>
    <row r="3027" spans="2:20" ht="15" customHeight="1">
      <c r="B3027" s="959" t="s">
        <v>3654</v>
      </c>
      <c r="C3027" s="935" t="s">
        <v>3556</v>
      </c>
      <c r="D3027" s="1382">
        <v>46204.963194444441</v>
      </c>
      <c r="E3027" s="961">
        <v>5.2</v>
      </c>
      <c r="F3027" s="654">
        <v>4.4999999999999998E-2</v>
      </c>
      <c r="G3027" s="962">
        <f t="shared" si="65"/>
        <v>5.4450261780104716</v>
      </c>
      <c r="H3027" s="962" t="s">
        <v>3330</v>
      </c>
      <c r="I3027" s="963" t="s">
        <v>3566</v>
      </c>
      <c r="J3027" s="962">
        <v>11</v>
      </c>
      <c r="K3027" s="962">
        <v>75</v>
      </c>
      <c r="L3027" s="960">
        <f>INT(base[[#This Row],[Data de liquidação]])</f>
        <v>46204</v>
      </c>
      <c r="M3027" s="962">
        <f>base[[#This Row],[L/P Bruto]]-base[[#This Row],[L/P Líquido]]</f>
        <v>0.24502617801047144</v>
      </c>
      <c r="N3027" s="962">
        <f>base[[#This Row],[L/P Líquido]]/base[[#This Row],[Stake/Responsabilidade]]</f>
        <v>6.933333333333333E-2</v>
      </c>
      <c r="O3027" s="964">
        <f>IF(base[[#This Row],[L/P Líquido]]&gt;0,1,0)</f>
        <v>1</v>
      </c>
      <c r="P3027" s="964"/>
      <c r="Q3027" s="964" t="str">
        <f>LEFT(base[[#This Row],[Evento / Mercado]],FIND("vs",base[[#This Row],[Evento / Mercado]])-2)</f>
        <v>USA</v>
      </c>
      <c r="R302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4" t="str">
        <f>LEFT(base[[#This Row],[Evento / Mercado]],FIND("/",base[[#This Row],[Evento / Mercado]])-2)</f>
        <v>USA vs Bosnia-Herzegovina</v>
      </c>
      <c r="T3027" s="1420">
        <f>base[[#This Row],[Data de liquidação]]</f>
        <v>46204.963194444441</v>
      </c>
    </row>
    <row r="3028" spans="2:20" ht="15" customHeight="1">
      <c r="B3028" s="959" t="s">
        <v>3654</v>
      </c>
      <c r="C3028" s="947" t="s">
        <v>3555</v>
      </c>
      <c r="D3028" s="1382">
        <v>46204.963194444441</v>
      </c>
      <c r="E3028" s="961">
        <v>37.9</v>
      </c>
      <c r="F3028" s="654">
        <v>4.4999999999999998E-2</v>
      </c>
      <c r="G3028" s="962">
        <f t="shared" si="65"/>
        <v>39.68586387434555</v>
      </c>
      <c r="H3028" s="938" t="s">
        <v>3253</v>
      </c>
      <c r="I3028" s="939" t="s">
        <v>1555</v>
      </c>
      <c r="J3028" s="962">
        <v>5.4</v>
      </c>
      <c r="K3028" s="962">
        <v>195.54</v>
      </c>
      <c r="L3028" s="960">
        <f>INT(base[[#This Row],[Data de liquidação]])</f>
        <v>46204</v>
      </c>
      <c r="M3028" s="962">
        <f>base[[#This Row],[L/P Bruto]]-base[[#This Row],[L/P Líquido]]</f>
        <v>1.7858638743455515</v>
      </c>
      <c r="N3028" s="962">
        <f>base[[#This Row],[L/P Líquido]]/base[[#This Row],[Stake/Responsabilidade]]</f>
        <v>0.19382223585967065</v>
      </c>
      <c r="O3028" s="964">
        <f>IF(base[[#This Row],[L/P Líquido]]&gt;0,1,0)</f>
        <v>1</v>
      </c>
      <c r="P3028" s="964"/>
      <c r="Q3028" s="964" t="str">
        <f>LEFT(base[[#This Row],[Evento / Mercado]],FIND("vs",base[[#This Row],[Evento / Mercado]])-2)</f>
        <v>USA</v>
      </c>
      <c r="R302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4" t="str">
        <f>LEFT(base[[#This Row],[Evento / Mercado]],FIND("/",base[[#This Row],[Evento / Mercado]])-2)</f>
        <v>USA vs Bosnia-Herzegovina</v>
      </c>
      <c r="T3028" s="1420">
        <f>base[[#This Row],[Data de liquidação]]</f>
        <v>46204.963194444441</v>
      </c>
    </row>
    <row r="3029" spans="2:20" ht="15" customHeight="1">
      <c r="B3029" s="969" t="s">
        <v>3679</v>
      </c>
      <c r="C3029" s="935" t="s">
        <v>3556</v>
      </c>
      <c r="D3029" s="1383">
        <v>46205.619016203702</v>
      </c>
      <c r="E3029" s="971">
        <v>41.84</v>
      </c>
      <c r="F3029" s="654">
        <v>4.4999999999999998E-2</v>
      </c>
      <c r="G3029" s="972">
        <f t="shared" si="65"/>
        <v>43.811518324607334</v>
      </c>
      <c r="H3029" s="972" t="s">
        <v>74</v>
      </c>
      <c r="I3029" s="973" t="s">
        <v>693</v>
      </c>
      <c r="J3029" s="972">
        <v>11.5</v>
      </c>
      <c r="K3029" s="972">
        <v>460.01</v>
      </c>
      <c r="L3029" s="970">
        <f>INT(base[[#This Row],[Data de liquidação]])</f>
        <v>46205</v>
      </c>
      <c r="M3029" s="972">
        <f>base[[#This Row],[L/P Bruto]]-base[[#This Row],[L/P Líquido]]</f>
        <v>1.9715183246073309</v>
      </c>
      <c r="N3029" s="972">
        <f>base[[#This Row],[L/P Líquido]]/base[[#This Row],[Stake/Responsabilidade]]</f>
        <v>9.0954544466424647E-2</v>
      </c>
      <c r="O3029" s="974">
        <f>IF(base[[#This Row],[L/P Líquido]]&gt;0,1,0)</f>
        <v>1</v>
      </c>
      <c r="P3029" s="974" t="s">
        <v>3680</v>
      </c>
      <c r="Q3029" s="974" t="str">
        <f>LEFT(base[[#This Row],[Evento / Mercado]],FIND("vs",base[[#This Row],[Evento / Mercado]])-2)</f>
        <v>FC Kuressaare</v>
      </c>
      <c r="R302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4" t="str">
        <f>LEFT(base[[#This Row],[Evento / Mercado]],FIND("/",base[[#This Row],[Evento / Mercado]])-2)</f>
        <v>FC Kuressaare vs Tallinna FC Flora</v>
      </c>
      <c r="T3029" s="1420">
        <f>base[[#This Row],[Data de liquidação]]</f>
        <v>46205.619016203702</v>
      </c>
    </row>
    <row r="3030" spans="2:20" ht="15" customHeight="1">
      <c r="B3030" s="969" t="s">
        <v>3678</v>
      </c>
      <c r="C3030" s="935" t="s">
        <v>3556</v>
      </c>
      <c r="D3030" s="1383">
        <v>46205.749120370368</v>
      </c>
      <c r="E3030" s="971">
        <v>28.3</v>
      </c>
      <c r="F3030" s="654">
        <v>4.4999999999999998E-2</v>
      </c>
      <c r="G3030" s="972">
        <f t="shared" si="65"/>
        <v>29.633507853403142</v>
      </c>
      <c r="H3030" s="972" t="s">
        <v>179</v>
      </c>
      <c r="I3030" s="973" t="s">
        <v>3393</v>
      </c>
      <c r="J3030" s="972">
        <v>14.5</v>
      </c>
      <c r="K3030" s="972">
        <v>400.01</v>
      </c>
      <c r="L3030" s="970">
        <f>INT(base[[#This Row],[Data de liquidação]])</f>
        <v>46205</v>
      </c>
      <c r="M3030" s="972">
        <f>base[[#This Row],[L/P Bruto]]-base[[#This Row],[L/P Líquido]]</f>
        <v>1.333507853403141</v>
      </c>
      <c r="N3030" s="972">
        <f>base[[#This Row],[L/P Líquido]]/base[[#This Row],[Stake/Responsabilidade]]</f>
        <v>7.0748231294217645E-2</v>
      </c>
      <c r="O3030" s="974">
        <f>IF(base[[#This Row],[L/P Líquido]]&gt;0,1,0)</f>
        <v>1</v>
      </c>
      <c r="P3030" s="974" t="s">
        <v>3331</v>
      </c>
      <c r="Q3030" s="974" t="str">
        <f>LEFT(base[[#This Row],[Evento / Mercado]],FIND("vs",base[[#This Row],[Evento / Mercado]])-2)</f>
        <v>Spain</v>
      </c>
      <c r="R303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4" t="str">
        <f>LEFT(base[[#This Row],[Evento / Mercado]],FIND("/",base[[#This Row],[Evento / Mercado]])-2)</f>
        <v>Spain vs Austria</v>
      </c>
      <c r="T3030" s="1420">
        <f>base[[#This Row],[Data de liquidação]]</f>
        <v>46205.749120370368</v>
      </c>
    </row>
    <row r="3031" spans="2:20" ht="15" customHeight="1">
      <c r="B3031" s="969" t="s">
        <v>3677</v>
      </c>
      <c r="C3031" s="935" t="s">
        <v>3556</v>
      </c>
      <c r="D3031" s="1383">
        <v>46205.757962962962</v>
      </c>
      <c r="E3031" s="971">
        <v>25.47</v>
      </c>
      <c r="F3031" s="654">
        <v>4.4999999999999998E-2</v>
      </c>
      <c r="G3031" s="972">
        <f t="shared" si="65"/>
        <v>26.670157068062828</v>
      </c>
      <c r="H3031" s="972" t="s">
        <v>179</v>
      </c>
      <c r="I3031" s="973" t="s">
        <v>392</v>
      </c>
      <c r="J3031" s="972">
        <v>16</v>
      </c>
      <c r="K3031" s="972">
        <v>400.05</v>
      </c>
      <c r="L3031" s="970">
        <f>INT(base[[#This Row],[Data de liquidação]])</f>
        <v>46205</v>
      </c>
      <c r="M3031" s="972">
        <f>base[[#This Row],[L/P Bruto]]-base[[#This Row],[L/P Líquido]]</f>
        <v>1.2001570680628291</v>
      </c>
      <c r="N3031" s="972">
        <f>base[[#This Row],[L/P Líquido]]/base[[#This Row],[Stake/Responsabilidade]]</f>
        <v>6.3667041619797526E-2</v>
      </c>
      <c r="O3031" s="974">
        <f>IF(base[[#This Row],[L/P Líquido]]&gt;0,1,0)</f>
        <v>1</v>
      </c>
      <c r="P3031" s="974" t="s">
        <v>3681</v>
      </c>
      <c r="Q3031" s="974" t="str">
        <f>LEFT(base[[#This Row],[Evento / Mercado]],FIND("vs",base[[#This Row],[Evento / Mercado]])-2)</f>
        <v>Víkingur</v>
      </c>
      <c r="R303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4" t="str">
        <f>LEFT(base[[#This Row],[Evento / Mercado]],FIND("/",base[[#This Row],[Evento / Mercado]])-2)</f>
        <v>Víkingur vs KA Akureyrar</v>
      </c>
      <c r="T3031" s="1420">
        <f>base[[#This Row],[Data de liquidação]]</f>
        <v>46205.757962962962</v>
      </c>
    </row>
    <row r="3032" spans="2:20" ht="15" customHeight="1">
      <c r="B3032" s="969" t="s">
        <v>3676</v>
      </c>
      <c r="C3032" s="935" t="s">
        <v>3556</v>
      </c>
      <c r="D3032" s="1383">
        <v>46205.909571759257</v>
      </c>
      <c r="E3032" s="971">
        <v>-2</v>
      </c>
      <c r="F3032" s="654">
        <v>4.4999999999999998E-2</v>
      </c>
      <c r="G3032" s="972">
        <f t="shared" si="65"/>
        <v>-2</v>
      </c>
      <c r="H3032" s="972" t="s">
        <v>1666</v>
      </c>
      <c r="I3032" s="973" t="s">
        <v>1795</v>
      </c>
      <c r="J3032" s="972">
        <v>1.6</v>
      </c>
      <c r="K3032" s="972">
        <v>2</v>
      </c>
      <c r="L3032" s="970">
        <f>INT(base[[#This Row],[Data de liquidação]])</f>
        <v>46205</v>
      </c>
      <c r="M3032" s="972">
        <f>base[[#This Row],[L/P Bruto]]-base[[#This Row],[L/P Líquido]]</f>
        <v>0</v>
      </c>
      <c r="N3032" s="972">
        <f>base[[#This Row],[L/P Líquido]]/base[[#This Row],[Stake/Responsabilidade]]</f>
        <v>-1</v>
      </c>
      <c r="O3032" s="974">
        <f>IF(base[[#This Row],[L/P Líquido]]&gt;0,1,0)</f>
        <v>0</v>
      </c>
      <c r="P3032" s="974"/>
      <c r="Q3032" s="974" t="str">
        <f>LEFT(base[[#This Row],[Evento / Mercado]],FIND("vs",base[[#This Row],[Evento / Mercado]])-2)</f>
        <v>Fortaleza EC</v>
      </c>
      <c r="R303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4" t="str">
        <f>LEFT(base[[#This Row],[Evento / Mercado]],FIND("/",base[[#This Row],[Evento / Mercado]])-2)</f>
        <v>Fortaleza EC vs Atlética Ponte Preta</v>
      </c>
      <c r="T3032" s="1420">
        <f>base[[#This Row],[Data de liquidação]]</f>
        <v>46205.909571759257</v>
      </c>
    </row>
    <row r="3033" spans="2:20" ht="15" customHeight="1">
      <c r="B3033" s="969" t="s">
        <v>3673</v>
      </c>
      <c r="C3033" s="947" t="s">
        <v>3555</v>
      </c>
      <c r="D3033" s="1383">
        <v>46205.915324074071</v>
      </c>
      <c r="E3033" s="971">
        <v>-16.329999999999998</v>
      </c>
      <c r="F3033" s="654">
        <v>4.4999999999999998E-2</v>
      </c>
      <c r="G3033" s="972">
        <f t="shared" si="65"/>
        <v>-16.329999999999998</v>
      </c>
      <c r="H3033" s="938" t="s">
        <v>3253</v>
      </c>
      <c r="I3033" s="939" t="s">
        <v>3254</v>
      </c>
      <c r="J3033" s="972">
        <v>7.4</v>
      </c>
      <c r="K3033" s="972">
        <v>31.25</v>
      </c>
      <c r="L3033" s="970">
        <f>INT(base[[#This Row],[Data de liquidação]])</f>
        <v>46205</v>
      </c>
      <c r="M3033" s="972">
        <f>base[[#This Row],[L/P Bruto]]-base[[#This Row],[L/P Líquido]]</f>
        <v>0</v>
      </c>
      <c r="N3033" s="972">
        <f>base[[#This Row],[L/P Líquido]]/base[[#This Row],[Stake/Responsabilidade]]</f>
        <v>-0.52255999999999991</v>
      </c>
      <c r="O3033" s="974">
        <f>IF(base[[#This Row],[L/P Líquido]]&gt;0,1,0)</f>
        <v>0</v>
      </c>
      <c r="P3033" s="974"/>
      <c r="Q3033" s="974" t="str">
        <f>LEFT(base[[#This Row],[Evento / Mercado]],FIND("vs",base[[#This Row],[Evento / Mercado]])-2)</f>
        <v>Cuiabá EC</v>
      </c>
      <c r="R303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4" t="str">
        <f>LEFT(base[[#This Row],[Evento / Mercado]],FIND("/",base[[#This Row],[Evento / Mercado]])-2)</f>
        <v>Cuiabá EC vs América-MG</v>
      </c>
      <c r="T3033" s="1420">
        <f>base[[#This Row],[Data de liquidação]]</f>
        <v>46205.915324074071</v>
      </c>
    </row>
    <row r="3034" spans="2:20" ht="15" customHeight="1">
      <c r="B3034" s="969" t="s">
        <v>3672</v>
      </c>
      <c r="C3034" s="947" t="s">
        <v>3555</v>
      </c>
      <c r="D3034" s="1383">
        <v>46205.915439814817</v>
      </c>
      <c r="E3034" s="971">
        <v>-72.069999999999993</v>
      </c>
      <c r="F3034" s="654">
        <v>4.4999999999999998E-2</v>
      </c>
      <c r="G3034" s="972">
        <f t="shared" si="65"/>
        <v>-72.069999999999993</v>
      </c>
      <c r="H3034" s="938" t="s">
        <v>3253</v>
      </c>
      <c r="I3034" s="939" t="s">
        <v>1555</v>
      </c>
      <c r="J3034" s="972">
        <v>3.55</v>
      </c>
      <c r="K3034" s="972">
        <v>200</v>
      </c>
      <c r="L3034" s="970">
        <f>INT(base[[#This Row],[Data de liquidação]])</f>
        <v>46205</v>
      </c>
      <c r="M3034" s="972">
        <f>base[[#This Row],[L/P Bruto]]-base[[#This Row],[L/P Líquido]]</f>
        <v>0</v>
      </c>
      <c r="N3034" s="972">
        <f>base[[#This Row],[L/P Líquido]]/base[[#This Row],[Stake/Responsabilidade]]</f>
        <v>-0.36034999999999995</v>
      </c>
      <c r="O3034" s="974">
        <f>IF(base[[#This Row],[L/P Líquido]]&gt;0,1,0)</f>
        <v>0</v>
      </c>
      <c r="P3034" s="974"/>
      <c r="Q3034" s="974" t="str">
        <f>LEFT(base[[#This Row],[Evento / Mercado]],FIND("vs",base[[#This Row],[Evento / Mercado]])-2)</f>
        <v>Cuiabá EC</v>
      </c>
      <c r="R303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4" t="str">
        <f>LEFT(base[[#This Row],[Evento / Mercado]],FIND("/",base[[#This Row],[Evento / Mercado]])-2)</f>
        <v>Cuiabá EC vs América-MG</v>
      </c>
      <c r="T3034" s="1420">
        <f>base[[#This Row],[Data de liquidação]]</f>
        <v>46205.915439814817</v>
      </c>
    </row>
    <row r="3035" spans="2:20" ht="15" customHeight="1">
      <c r="B3035" s="969" t="s">
        <v>3672</v>
      </c>
      <c r="C3035" s="935" t="s">
        <v>3556</v>
      </c>
      <c r="D3035" s="1383">
        <v>46205.915451388886</v>
      </c>
      <c r="E3035" s="971">
        <v>6.38</v>
      </c>
      <c r="F3035" s="654">
        <v>4.4999999999999998E-2</v>
      </c>
      <c r="G3035" s="972">
        <f t="shared" si="65"/>
        <v>6.6806282722513091</v>
      </c>
      <c r="H3035" s="972" t="s">
        <v>3330</v>
      </c>
      <c r="I3035" s="1248" t="s">
        <v>4368</v>
      </c>
      <c r="J3035" s="972">
        <v>5.7</v>
      </c>
      <c r="K3035" s="972">
        <v>75.010000000000005</v>
      </c>
      <c r="L3035" s="970">
        <f>INT(base[[#This Row],[Data de liquidação]])</f>
        <v>46205</v>
      </c>
      <c r="M3035" s="972">
        <f>base[[#This Row],[L/P Bruto]]-base[[#This Row],[L/P Líquido]]</f>
        <v>0.30062827225130917</v>
      </c>
      <c r="N3035" s="972">
        <f>base[[#This Row],[L/P Líquido]]/base[[#This Row],[Stake/Responsabilidade]]</f>
        <v>8.5055325956539127E-2</v>
      </c>
      <c r="O3035" s="974">
        <f>IF(base[[#This Row],[L/P Líquido]]&gt;0,1,0)</f>
        <v>1</v>
      </c>
      <c r="P3035" s="974"/>
      <c r="Q3035" s="974" t="str">
        <f>LEFT(base[[#This Row],[Evento / Mercado]],FIND("vs",base[[#This Row],[Evento / Mercado]])-2)</f>
        <v>Cuiabá EC</v>
      </c>
      <c r="R3035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4" t="str">
        <f>LEFT(base[[#This Row],[Evento / Mercado]],FIND("/",base[[#This Row],[Evento / Mercado]])-2)</f>
        <v>Cuiabá EC vs América-MG</v>
      </c>
      <c r="T3035" s="1420">
        <f>base[[#This Row],[Data de liquidação]]</f>
        <v>46205.915451388886</v>
      </c>
    </row>
    <row r="3036" spans="2:20" ht="15" customHeight="1">
      <c r="B3036" s="969" t="s">
        <v>3671</v>
      </c>
      <c r="C3036" s="947" t="s">
        <v>3555</v>
      </c>
      <c r="D3036" s="1383">
        <v>46205.923009259262</v>
      </c>
      <c r="E3036" s="971">
        <v>-30.3</v>
      </c>
      <c r="F3036" s="654">
        <v>4.4999999999999998E-2</v>
      </c>
      <c r="G3036" s="972">
        <f t="shared" si="65"/>
        <v>-30.3</v>
      </c>
      <c r="H3036" s="938" t="s">
        <v>3253</v>
      </c>
      <c r="I3036" s="939" t="s">
        <v>3254</v>
      </c>
      <c r="J3036" s="972">
        <v>7.6</v>
      </c>
      <c r="K3036" s="972">
        <v>30.3</v>
      </c>
      <c r="L3036" s="970">
        <f>INT(base[[#This Row],[Data de liquidação]])</f>
        <v>46205</v>
      </c>
      <c r="M3036" s="972">
        <f>base[[#This Row],[L/P Bruto]]-base[[#This Row],[L/P Líquido]]</f>
        <v>0</v>
      </c>
      <c r="N3036" s="972">
        <f>base[[#This Row],[L/P Líquido]]/base[[#This Row],[Stake/Responsabilidade]]</f>
        <v>-1</v>
      </c>
      <c r="O3036" s="974">
        <f>IF(base[[#This Row],[L/P Líquido]]&gt;0,1,0)</f>
        <v>0</v>
      </c>
      <c r="P3036" s="974"/>
      <c r="Q3036" s="974" t="str">
        <f>LEFT(base[[#This Row],[Evento / Mercado]],FIND("vs",base[[#This Row],[Evento / Mercado]])-2)</f>
        <v>Portugal</v>
      </c>
      <c r="R3036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4" t="str">
        <f>LEFT(base[[#This Row],[Evento / Mercado]],FIND("/",base[[#This Row],[Evento / Mercado]])-2)</f>
        <v>Portugal vs Croatia</v>
      </c>
      <c r="T3036" s="1420">
        <f>base[[#This Row],[Data de liquidação]]</f>
        <v>46205.923009259262</v>
      </c>
    </row>
    <row r="3037" spans="2:20" ht="15" customHeight="1">
      <c r="B3037" s="969" t="s">
        <v>3671</v>
      </c>
      <c r="C3037" s="935" t="s">
        <v>3556</v>
      </c>
      <c r="D3037" s="1383">
        <v>46205.923009259262</v>
      </c>
      <c r="E3037" s="971">
        <v>21.71</v>
      </c>
      <c r="F3037" s="654">
        <v>4.4999999999999998E-2</v>
      </c>
      <c r="G3037" s="972">
        <f t="shared" si="65"/>
        <v>22.73298429319372</v>
      </c>
      <c r="H3037" s="972" t="s">
        <v>3334</v>
      </c>
      <c r="I3037" s="973" t="s">
        <v>627</v>
      </c>
      <c r="J3037" s="972">
        <v>23</v>
      </c>
      <c r="K3037" s="972">
        <v>500.06</v>
      </c>
      <c r="L3037" s="970">
        <f>INT(base[[#This Row],[Data de liquidação]])</f>
        <v>46205</v>
      </c>
      <c r="M3037" s="972">
        <f>base[[#This Row],[L/P Bruto]]-base[[#This Row],[L/P Líquido]]</f>
        <v>1.0229842931937192</v>
      </c>
      <c r="N3037" s="972">
        <f>base[[#This Row],[L/P Líquido]]/base[[#This Row],[Stake/Responsabilidade]]</f>
        <v>4.3414790225172979E-2</v>
      </c>
      <c r="O3037" s="974">
        <f>IF(base[[#This Row],[L/P Líquido]]&gt;0,1,0)</f>
        <v>1</v>
      </c>
      <c r="P3037" s="974"/>
      <c r="Q3037" s="974" t="str">
        <f>LEFT(base[[#This Row],[Evento / Mercado]],FIND("vs",base[[#This Row],[Evento / Mercado]])-2)</f>
        <v>Portugal</v>
      </c>
      <c r="R3037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4" t="str">
        <f>LEFT(base[[#This Row],[Evento / Mercado]],FIND("/",base[[#This Row],[Evento / Mercado]])-2)</f>
        <v>Portugal vs Croatia</v>
      </c>
      <c r="T3037" s="1420">
        <f>base[[#This Row],[Data de liquidação]]</f>
        <v>46205.923009259262</v>
      </c>
    </row>
    <row r="3038" spans="2:20" ht="15" customHeight="1">
      <c r="B3038" s="969" t="s">
        <v>3670</v>
      </c>
      <c r="C3038" s="947" t="s">
        <v>3555</v>
      </c>
      <c r="D3038" s="1383">
        <v>46205.923715277779</v>
      </c>
      <c r="E3038" s="971">
        <v>41.99</v>
      </c>
      <c r="F3038" s="654">
        <v>4.4999999999999998E-2</v>
      </c>
      <c r="G3038" s="972">
        <f t="shared" si="65"/>
        <v>43.968586387434556</v>
      </c>
      <c r="H3038" s="938" t="s">
        <v>3253</v>
      </c>
      <c r="I3038" s="939" t="s">
        <v>1555</v>
      </c>
      <c r="J3038" s="972">
        <v>3.8</v>
      </c>
      <c r="K3038" s="972">
        <v>200</v>
      </c>
      <c r="L3038" s="970">
        <f>INT(base[[#This Row],[Data de liquidação]])</f>
        <v>46205</v>
      </c>
      <c r="M3038" s="972">
        <f>base[[#This Row],[L/P Bruto]]-base[[#This Row],[L/P Líquido]]</f>
        <v>1.9785863874345537</v>
      </c>
      <c r="N3038" s="972">
        <f>base[[#This Row],[L/P Líquido]]/base[[#This Row],[Stake/Responsabilidade]]</f>
        <v>0.20995</v>
      </c>
      <c r="O3038" s="974">
        <f>IF(base[[#This Row],[L/P Líquido]]&gt;0,1,0)</f>
        <v>1</v>
      </c>
      <c r="P3038" s="974"/>
      <c r="Q3038" s="974" t="str">
        <f>LEFT(base[[#This Row],[Evento / Mercado]],FIND("vs",base[[#This Row],[Evento / Mercado]])-2)</f>
        <v>Portugal</v>
      </c>
      <c r="R3038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4" t="str">
        <f>LEFT(base[[#This Row],[Evento / Mercado]],FIND("/",base[[#This Row],[Evento / Mercado]])-2)</f>
        <v>Portugal vs Croatia</v>
      </c>
      <c r="T3038" s="1420">
        <f>base[[#This Row],[Data de liquidação]]</f>
        <v>46205.923715277779</v>
      </c>
    </row>
    <row r="3039" spans="2:20" ht="15" customHeight="1">
      <c r="B3039" s="969" t="s">
        <v>3670</v>
      </c>
      <c r="C3039" s="969" t="s">
        <v>3556</v>
      </c>
      <c r="D3039" s="1383">
        <v>46205.923726851855</v>
      </c>
      <c r="E3039" s="971">
        <v>50.1</v>
      </c>
      <c r="F3039" s="654">
        <v>4.4999999999999998E-2</v>
      </c>
      <c r="G3039" s="972">
        <f t="shared" si="65"/>
        <v>52.460732984293195</v>
      </c>
      <c r="H3039" s="972" t="s">
        <v>3330</v>
      </c>
      <c r="I3039" s="1248" t="s">
        <v>4367</v>
      </c>
      <c r="J3039" s="972">
        <f>(6.2*74.98+2.12*75)/base[[#This Row],[Stake/Responsabilidade]]</f>
        <v>4.1597279637284963</v>
      </c>
      <c r="K3039" s="972">
        <f>74.98+75</f>
        <v>149.98000000000002</v>
      </c>
      <c r="L3039" s="970">
        <f>INT(base[[#This Row],[Data de liquidação]])</f>
        <v>46205</v>
      </c>
      <c r="M3039" s="972">
        <f>base[[#This Row],[L/P Bruto]]-base[[#This Row],[L/P Líquido]]</f>
        <v>2.3607329842931932</v>
      </c>
      <c r="N3039" s="972">
        <f>base[[#This Row],[L/P Líquido]]/base[[#This Row],[Stake/Responsabilidade]]</f>
        <v>0.33404453927190286</v>
      </c>
      <c r="O3039" s="974">
        <f>IF(base[[#This Row],[L/P Líquido]]&gt;0,1,0)</f>
        <v>1</v>
      </c>
      <c r="P3039" s="974"/>
      <c r="Q3039" s="974" t="str">
        <f>LEFT(base[[#This Row],[Evento / Mercado]],FIND("vs",base[[#This Row],[Evento / Mercado]])-2)</f>
        <v>Portugal</v>
      </c>
      <c r="R303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4" t="str">
        <f>LEFT(base[[#This Row],[Evento / Mercado]],FIND("/",base[[#This Row],[Evento / Mercado]])-2)</f>
        <v>Portugal vs Croatia</v>
      </c>
      <c r="T3039" s="1420">
        <f>base[[#This Row],[Data de liquidação]]</f>
        <v>46205.923726851855</v>
      </c>
    </row>
    <row r="3040" spans="2:20" ht="15" customHeight="1">
      <c r="B3040" s="969" t="s">
        <v>3669</v>
      </c>
      <c r="C3040" s="969" t="s">
        <v>3554</v>
      </c>
      <c r="D3040" s="1383">
        <v>46205.956250000003</v>
      </c>
      <c r="E3040" s="971">
        <v>32.93</v>
      </c>
      <c r="F3040" s="654">
        <v>4.4999999999999998E-2</v>
      </c>
      <c r="G3040" s="972">
        <f t="shared" si="65"/>
        <v>34.481675392670155</v>
      </c>
      <c r="H3040" s="938" t="s">
        <v>3253</v>
      </c>
      <c r="I3040" s="939" t="s">
        <v>1555</v>
      </c>
      <c r="J3040" s="972">
        <v>6.8</v>
      </c>
      <c r="K3040" s="972">
        <v>199.98</v>
      </c>
      <c r="L3040" s="970">
        <f>INT(base[[#This Row],[Data de liquidação]])</f>
        <v>46205</v>
      </c>
      <c r="M3040" s="972">
        <f>base[[#This Row],[L/P Bruto]]-base[[#This Row],[L/P Líquido]]</f>
        <v>1.5516753926701554</v>
      </c>
      <c r="N3040" s="972">
        <f>base[[#This Row],[L/P Líquido]]/base[[#This Row],[Stake/Responsabilidade]]</f>
        <v>0.16466646664666468</v>
      </c>
      <c r="O3040" s="974">
        <f>IF(base[[#This Row],[L/P Líquido]]&gt;0,1,0)</f>
        <v>1</v>
      </c>
      <c r="P3040" s="974"/>
      <c r="Q3040" s="974" t="str">
        <f>LEFT(base[[#This Row],[Evento / Mercado]],FIND("vs",base[[#This Row],[Evento / Mercado]])-2)</f>
        <v>Fortaleza EC</v>
      </c>
      <c r="R304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4" t="str">
        <f>LEFT(base[[#This Row],[Evento / Mercado]],FIND("/",base[[#This Row],[Evento / Mercado]])-2)</f>
        <v>Fortaleza EC vs Atlética Ponte Preta</v>
      </c>
      <c r="T3040" s="1420">
        <f>base[[#This Row],[Data de liquidação]]</f>
        <v>46205.956250000003</v>
      </c>
    </row>
    <row r="3041" spans="2:20" ht="15" customHeight="1">
      <c r="B3041" s="969" t="s">
        <v>3674</v>
      </c>
      <c r="C3041" s="969" t="s">
        <v>3554</v>
      </c>
      <c r="D3041" s="1383">
        <v>46205.956250000003</v>
      </c>
      <c r="E3041" s="971">
        <v>-16</v>
      </c>
      <c r="F3041" s="654">
        <v>4.4999999999999998E-2</v>
      </c>
      <c r="G3041" s="972">
        <f t="shared" si="65"/>
        <v>-16</v>
      </c>
      <c r="H3041" s="938" t="s">
        <v>3253</v>
      </c>
      <c r="I3041" s="939" t="s">
        <v>3254</v>
      </c>
      <c r="J3041" s="972">
        <v>13.5</v>
      </c>
      <c r="K3041" s="972">
        <v>16</v>
      </c>
      <c r="L3041" s="970">
        <f>INT(base[[#This Row],[Data de liquidação]])</f>
        <v>46205</v>
      </c>
      <c r="M3041" s="972">
        <f>base[[#This Row],[L/P Bruto]]-base[[#This Row],[L/P Líquido]]</f>
        <v>0</v>
      </c>
      <c r="N3041" s="972">
        <f>base[[#This Row],[L/P Líquido]]/base[[#This Row],[Stake/Responsabilidade]]</f>
        <v>-1</v>
      </c>
      <c r="O3041" s="974">
        <f>IF(base[[#This Row],[L/P Líquido]]&gt;0,1,0)</f>
        <v>0</v>
      </c>
      <c r="P3041" s="974"/>
      <c r="Q3041" s="974" t="str">
        <f>LEFT(base[[#This Row],[Evento / Mercado]],FIND("vs",base[[#This Row],[Evento / Mercado]])-2)</f>
        <v>Fortaleza EC</v>
      </c>
      <c r="R304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4" t="str">
        <f>LEFT(base[[#This Row],[Evento / Mercado]],FIND("/",base[[#This Row],[Evento / Mercado]])-2)</f>
        <v>Fortaleza EC vs Atlética Ponte Preta</v>
      </c>
      <c r="T3041" s="1420">
        <f>base[[#This Row],[Data de liquidação]]</f>
        <v>46205.956250000003</v>
      </c>
    </row>
    <row r="3042" spans="2:20" ht="15" customHeight="1">
      <c r="B3042" s="969" t="s">
        <v>3669</v>
      </c>
      <c r="C3042" s="947" t="s">
        <v>3555</v>
      </c>
      <c r="D3042" s="1383">
        <v>46205.956724537034</v>
      </c>
      <c r="E3042" s="971">
        <v>26.82</v>
      </c>
      <c r="F3042" s="654">
        <v>4.4999999999999998E-2</v>
      </c>
      <c r="G3042" s="972">
        <f t="shared" si="65"/>
        <v>28.083769633507856</v>
      </c>
      <c r="H3042" s="972" t="s">
        <v>179</v>
      </c>
      <c r="I3042" s="973" t="s">
        <v>392</v>
      </c>
      <c r="J3042" s="972">
        <v>15.5</v>
      </c>
      <c r="K3042" s="972">
        <v>400.06</v>
      </c>
      <c r="L3042" s="970">
        <f>INT(base[[#This Row],[Data de liquidação]])</f>
        <v>46205</v>
      </c>
      <c r="M3042" s="972">
        <f>base[[#This Row],[L/P Bruto]]-base[[#This Row],[L/P Líquido]]</f>
        <v>1.2637696335078559</v>
      </c>
      <c r="N3042" s="972">
        <f>base[[#This Row],[L/P Líquido]]/base[[#This Row],[Stake/Responsabilidade]]</f>
        <v>6.7039944008398744E-2</v>
      </c>
      <c r="O3042" s="974">
        <f>IF(base[[#This Row],[L/P Líquido]]&gt;0,1,0)</f>
        <v>1</v>
      </c>
      <c r="P3042" s="982" t="s">
        <v>2955</v>
      </c>
      <c r="Q3042" s="974" t="str">
        <f>LEFT(base[[#This Row],[Evento / Mercado]],FIND("vs",base[[#This Row],[Evento / Mercado]])-2)</f>
        <v>Fortaleza EC</v>
      </c>
      <c r="R304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4" t="str">
        <f>LEFT(base[[#This Row],[Evento / Mercado]],FIND("/",base[[#This Row],[Evento / Mercado]])-2)</f>
        <v>Fortaleza EC vs Atlética Ponte Preta</v>
      </c>
      <c r="T3042" s="1420">
        <f>base[[#This Row],[Data de liquidação]]</f>
        <v>46205.956724537034</v>
      </c>
    </row>
    <row r="3043" spans="2:20" ht="15" customHeight="1">
      <c r="B3043" s="969" t="s">
        <v>3669</v>
      </c>
      <c r="C3043" s="935" t="s">
        <v>3556</v>
      </c>
      <c r="D3043" s="1383">
        <v>46205.956724537034</v>
      </c>
      <c r="E3043" s="971">
        <v>4.17</v>
      </c>
      <c r="F3043" s="654">
        <v>4.4999999999999998E-2</v>
      </c>
      <c r="G3043" s="972">
        <f t="shared" si="65"/>
        <v>4.3664921465968591</v>
      </c>
      <c r="H3043" s="972" t="s">
        <v>3330</v>
      </c>
      <c r="I3043" s="973" t="s">
        <v>3566</v>
      </c>
      <c r="J3043" s="972">
        <v>15.5</v>
      </c>
      <c r="K3043" s="972">
        <v>74.97</v>
      </c>
      <c r="L3043" s="970">
        <f>INT(base[[#This Row],[Data de liquidação]])</f>
        <v>46205</v>
      </c>
      <c r="M3043" s="972">
        <f>base[[#This Row],[L/P Bruto]]-base[[#This Row],[L/P Líquido]]</f>
        <v>0.19649214659685921</v>
      </c>
      <c r="N3043" s="972">
        <f>base[[#This Row],[L/P Líquido]]/base[[#This Row],[Stake/Responsabilidade]]</f>
        <v>5.5622248899559822E-2</v>
      </c>
      <c r="O3043" s="974">
        <f>IF(base[[#This Row],[L/P Líquido]]&gt;0,1,0)</f>
        <v>1</v>
      </c>
      <c r="P3043" s="974" t="s">
        <v>2955</v>
      </c>
      <c r="Q3043" s="974" t="str">
        <f>LEFT(base[[#This Row],[Evento / Mercado]],FIND("vs",base[[#This Row],[Evento / Mercado]])-2)</f>
        <v>Fortaleza EC</v>
      </c>
      <c r="R304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4" t="str">
        <f>LEFT(base[[#This Row],[Evento / Mercado]],FIND("/",base[[#This Row],[Evento / Mercado]])-2)</f>
        <v>Fortaleza EC vs Atlética Ponte Preta</v>
      </c>
      <c r="T3043" s="1420">
        <f>base[[#This Row],[Data de liquidação]]</f>
        <v>46205.956724537034</v>
      </c>
    </row>
    <row r="3044" spans="2:20" ht="15" customHeight="1">
      <c r="B3044" s="969" t="s">
        <v>3675</v>
      </c>
      <c r="C3044" s="935" t="s">
        <v>3556</v>
      </c>
      <c r="D3044" s="1383">
        <v>46206.080578703702</v>
      </c>
      <c r="E3044" s="971">
        <v>36.79</v>
      </c>
      <c r="F3044" s="654">
        <v>4.4999999999999998E-2</v>
      </c>
      <c r="G3044" s="972">
        <f t="shared" si="65"/>
        <v>38.523560209424083</v>
      </c>
      <c r="H3044" s="972" t="s">
        <v>3334</v>
      </c>
      <c r="I3044" s="973" t="s">
        <v>627</v>
      </c>
      <c r="J3044" s="972">
        <v>14.5</v>
      </c>
      <c r="K3044" s="972">
        <v>520.02</v>
      </c>
      <c r="L3044" s="970">
        <f>INT(base[[#This Row],[Data de liquidação]])</f>
        <v>46206</v>
      </c>
      <c r="M3044" s="972">
        <f>base[[#This Row],[L/P Bruto]]-base[[#This Row],[L/P Líquido]]</f>
        <v>1.7335602094240841</v>
      </c>
      <c r="N3044" s="972">
        <f>base[[#This Row],[L/P Líquido]]/base[[#This Row],[Stake/Responsabilidade]]</f>
        <v>7.0747278950809581E-2</v>
      </c>
      <c r="O3044" s="974">
        <f>IF(base[[#This Row],[L/P Líquido]]&gt;0,1,0)</f>
        <v>1</v>
      </c>
      <c r="P3044" s="974"/>
      <c r="Q3044" s="974" t="str">
        <f>LEFT(base[[#This Row],[Evento / Mercado]],FIND("vs",base[[#This Row],[Evento / Mercado]])-2)</f>
        <v>Switzerland</v>
      </c>
      <c r="R304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4" t="str">
        <f>LEFT(base[[#This Row],[Evento / Mercado]],FIND("/",base[[#This Row],[Evento / Mercado]])-2)</f>
        <v>Switzerland vs Algeria</v>
      </c>
      <c r="T3044" s="1420">
        <f>base[[#This Row],[Data de liquidação]]</f>
        <v>46206.080578703702</v>
      </c>
    </row>
    <row r="3045" spans="2:20" ht="15" customHeight="1">
      <c r="B3045" s="975" t="s">
        <v>3693</v>
      </c>
      <c r="C3045" s="935" t="s">
        <v>3556</v>
      </c>
      <c r="D3045" s="1384">
        <v>46206.447199074071</v>
      </c>
      <c r="E3045" s="977">
        <v>1.22</v>
      </c>
      <c r="F3045" s="654">
        <v>4.4999999999999998E-2</v>
      </c>
      <c r="G3045" s="978">
        <f t="shared" si="65"/>
        <v>1.2774869109947644</v>
      </c>
      <c r="H3045" s="978" t="s">
        <v>1666</v>
      </c>
      <c r="I3045" s="979" t="s">
        <v>3333</v>
      </c>
      <c r="J3045" s="978">
        <v>1.64</v>
      </c>
      <c r="K3045" s="978">
        <v>2</v>
      </c>
      <c r="L3045" s="976">
        <f>INT(base[[#This Row],[Data de liquidação]])</f>
        <v>46206</v>
      </c>
      <c r="M3045" s="978">
        <f>base[[#This Row],[L/P Bruto]]-base[[#This Row],[L/P Líquido]]</f>
        <v>5.748691099476444E-2</v>
      </c>
      <c r="N3045" s="978">
        <f>base[[#This Row],[L/P Líquido]]/base[[#This Row],[Stake/Responsabilidade]]</f>
        <v>0.61</v>
      </c>
      <c r="O3045" s="980">
        <f>IF(base[[#This Row],[L/P Líquido]]&gt;0,1,0)</f>
        <v>1</v>
      </c>
      <c r="P3045" s="980"/>
      <c r="Q3045" s="980" t="str">
        <f>LEFT(base[[#This Row],[Evento / Mercado]],FIND("vs",base[[#This Row],[Evento / Mercado]])-2)</f>
        <v>Yunnan Yukun</v>
      </c>
      <c r="R304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4" t="str">
        <f>LEFT(base[[#This Row],[Evento / Mercado]],FIND("/",base[[#This Row],[Evento / Mercado]])-2)</f>
        <v>Yunnan Yukun vs Henan Songshan Longmen</v>
      </c>
      <c r="T3045" s="1420">
        <f>base[[#This Row],[Data de liquidação]]</f>
        <v>46206.447199074071</v>
      </c>
    </row>
    <row r="3046" spans="2:20" ht="15" customHeight="1">
      <c r="B3046" s="975" t="s">
        <v>3694</v>
      </c>
      <c r="C3046" s="947" t="s">
        <v>3555</v>
      </c>
      <c r="D3046" s="1384">
        <v>46206.619074074071</v>
      </c>
      <c r="E3046" s="977">
        <v>-20.96</v>
      </c>
      <c r="F3046" s="654">
        <v>4.4999999999999998E-2</v>
      </c>
      <c r="G3046" s="978">
        <f t="shared" si="65"/>
        <v>-20.96</v>
      </c>
      <c r="H3046" s="938" t="s">
        <v>3253</v>
      </c>
      <c r="I3046" s="939" t="s">
        <v>3254</v>
      </c>
      <c r="J3046" s="978">
        <f>(15*14.29+16*6.67)/base[[#This Row],[Stake/Responsabilidade]]</f>
        <v>15.318225190839694</v>
      </c>
      <c r="K3046" s="978">
        <f>14.29+6.67</f>
        <v>20.96</v>
      </c>
      <c r="L3046" s="976">
        <f>INT(base[[#This Row],[Data de liquidação]])</f>
        <v>46206</v>
      </c>
      <c r="M3046" s="978">
        <f>base[[#This Row],[L/P Bruto]]-base[[#This Row],[L/P Líquido]]</f>
        <v>0</v>
      </c>
      <c r="N3046" s="978">
        <f>base[[#This Row],[L/P Líquido]]/base[[#This Row],[Stake/Responsabilidade]]</f>
        <v>-1</v>
      </c>
      <c r="O3046" s="980">
        <f>IF(base[[#This Row],[L/P Líquido]]&gt;0,1,0)</f>
        <v>0</v>
      </c>
      <c r="P3046" s="980"/>
      <c r="Q3046" s="980" t="str">
        <f>LEFT(base[[#This Row],[Evento / Mercado]],FIND("vs",base[[#This Row],[Evento / Mercado]])-2)</f>
        <v>Kongsvinger IL</v>
      </c>
      <c r="R304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4" t="str">
        <f>LEFT(base[[#This Row],[Evento / Mercado]],FIND("/",base[[#This Row],[Evento / Mercado]])-2)</f>
        <v>Kongsvinger IL vs Sogndal</v>
      </c>
      <c r="T3046" s="1420">
        <f>base[[#This Row],[Data de liquidação]]</f>
        <v>46206.619074074071</v>
      </c>
    </row>
    <row r="3047" spans="2:20" ht="15" customHeight="1">
      <c r="B3047" s="975" t="s">
        <v>3692</v>
      </c>
      <c r="C3047" s="935" t="s">
        <v>3556</v>
      </c>
      <c r="D3047" s="1384">
        <v>46206.619189814817</v>
      </c>
      <c r="E3047" s="977">
        <v>8.25</v>
      </c>
      <c r="F3047" s="654">
        <v>4.4999999999999998E-2</v>
      </c>
      <c r="G3047" s="978">
        <f t="shared" si="65"/>
        <v>8.6387434554973819</v>
      </c>
      <c r="H3047" s="978" t="s">
        <v>3330</v>
      </c>
      <c r="I3047" s="1248" t="s">
        <v>4368</v>
      </c>
      <c r="J3047" s="978">
        <v>6.4</v>
      </c>
      <c r="K3047" s="978">
        <v>100.01</v>
      </c>
      <c r="L3047" s="976">
        <f>INT(base[[#This Row],[Data de liquidação]])</f>
        <v>46206</v>
      </c>
      <c r="M3047" s="978">
        <f>base[[#This Row],[L/P Bruto]]-base[[#This Row],[L/P Líquido]]</f>
        <v>0.38874345549738187</v>
      </c>
      <c r="N3047" s="978">
        <f>base[[#This Row],[L/P Líquido]]/base[[#This Row],[Stake/Responsabilidade]]</f>
        <v>8.2491750824917498E-2</v>
      </c>
      <c r="O3047" s="980">
        <f>IF(base[[#This Row],[L/P Líquido]]&gt;0,1,0)</f>
        <v>1</v>
      </c>
      <c r="P3047" s="980"/>
      <c r="Q3047" s="980" t="str">
        <f>LEFT(base[[#This Row],[Evento / Mercado]],FIND("vs",base[[#This Row],[Evento / Mercado]])-2)</f>
        <v>Kongsvinger IL</v>
      </c>
      <c r="R304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4" t="str">
        <f>LEFT(base[[#This Row],[Evento / Mercado]],FIND("/",base[[#This Row],[Evento / Mercado]])-2)</f>
        <v>Kongsvinger IL vs Sogndal</v>
      </c>
      <c r="T3047" s="1420">
        <f>base[[#This Row],[Data de liquidação]]</f>
        <v>46206.619189814817</v>
      </c>
    </row>
    <row r="3048" spans="2:20" ht="15" customHeight="1">
      <c r="B3048" s="975" t="s">
        <v>3692</v>
      </c>
      <c r="C3048" s="947" t="s">
        <v>3555</v>
      </c>
      <c r="D3048" s="1384">
        <v>46206.619189814817</v>
      </c>
      <c r="E3048" s="977">
        <v>31.82</v>
      </c>
      <c r="F3048" s="654">
        <v>4.4999999999999998E-2</v>
      </c>
      <c r="G3048" s="978">
        <f t="shared" si="65"/>
        <v>33.319371727748695</v>
      </c>
      <c r="H3048" s="938" t="s">
        <v>3253</v>
      </c>
      <c r="I3048" s="939" t="s">
        <v>1555</v>
      </c>
      <c r="J3048" s="978">
        <f>(5.8*200.02+6*100)/base[[#This Row],[Stake/Responsabilidade]]</f>
        <v>5.8666622225184994</v>
      </c>
      <c r="K3048" s="978">
        <v>300.02</v>
      </c>
      <c r="L3048" s="976">
        <f>INT(base[[#This Row],[Data de liquidação]])</f>
        <v>46206</v>
      </c>
      <c r="M3048" s="978">
        <f>base[[#This Row],[L/P Bruto]]-base[[#This Row],[L/P Líquido]]</f>
        <v>1.4993717277486951</v>
      </c>
      <c r="N3048" s="978">
        <f>base[[#This Row],[L/P Líquido]]/base[[#This Row],[Stake/Responsabilidade]]</f>
        <v>0.10605959602693155</v>
      </c>
      <c r="O3048" s="980">
        <f>IF(base[[#This Row],[L/P Líquido]]&gt;0,1,0)</f>
        <v>1</v>
      </c>
      <c r="P3048" s="980"/>
      <c r="Q3048" s="980" t="str">
        <f>LEFT(base[[#This Row],[Evento / Mercado]],FIND("vs",base[[#This Row],[Evento / Mercado]])-2)</f>
        <v>Kongsvinger IL</v>
      </c>
      <c r="R304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4" t="str">
        <f>LEFT(base[[#This Row],[Evento / Mercado]],FIND("/",base[[#This Row],[Evento / Mercado]])-2)</f>
        <v>Kongsvinger IL vs Sogndal</v>
      </c>
      <c r="T3048" s="1420">
        <f>base[[#This Row],[Data de liquidação]]</f>
        <v>46206.619189814817</v>
      </c>
    </row>
    <row r="3049" spans="2:20" ht="15" customHeight="1">
      <c r="B3049" s="975" t="s">
        <v>3691</v>
      </c>
      <c r="C3049" s="935" t="s">
        <v>3556</v>
      </c>
      <c r="D3049" s="1384">
        <v>46206.627766203703</v>
      </c>
      <c r="E3049" s="977">
        <v>14.33</v>
      </c>
      <c r="F3049" s="654">
        <v>4.4999999999999998E-2</v>
      </c>
      <c r="G3049" s="978">
        <f t="shared" si="65"/>
        <v>15.005235602094242</v>
      </c>
      <c r="H3049" s="978" t="s">
        <v>1666</v>
      </c>
      <c r="I3049" s="979" t="s">
        <v>1558</v>
      </c>
      <c r="J3049" s="978">
        <v>11</v>
      </c>
      <c r="K3049" s="978">
        <v>15</v>
      </c>
      <c r="L3049" s="976">
        <f>INT(base[[#This Row],[Data de liquidação]])</f>
        <v>46206</v>
      </c>
      <c r="M3049" s="978">
        <f>base[[#This Row],[L/P Bruto]]-base[[#This Row],[L/P Líquido]]</f>
        <v>0.67523560209424183</v>
      </c>
      <c r="N3049" s="978">
        <f>base[[#This Row],[L/P Líquido]]/base[[#This Row],[Stake/Responsabilidade]]</f>
        <v>0.95533333333333337</v>
      </c>
      <c r="O3049" s="980">
        <f>IF(base[[#This Row],[L/P Líquido]]&gt;0,1,0)</f>
        <v>1</v>
      </c>
      <c r="P3049" s="980"/>
      <c r="Q3049" s="980" t="str">
        <f>LEFT(base[[#This Row],[Evento / Mercado]],FIND("vs",base[[#This Row],[Evento / Mercado]])-2)</f>
        <v>IK Sirius</v>
      </c>
      <c r="R304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4" t="str">
        <f>LEFT(base[[#This Row],[Evento / Mercado]],FIND("/",base[[#This Row],[Evento / Mercado]])-2)</f>
        <v>IK Sirius vs Mjällby AIF</v>
      </c>
      <c r="T3049" s="1420">
        <f>base[[#This Row],[Data de liquidação]]</f>
        <v>46206.627766203703</v>
      </c>
    </row>
    <row r="3050" spans="2:20" ht="15" customHeight="1">
      <c r="B3050" s="975" t="s">
        <v>3690</v>
      </c>
      <c r="C3050" s="935" t="s">
        <v>3556</v>
      </c>
      <c r="D3050" s="1384">
        <v>46206.660543981481</v>
      </c>
      <c r="E3050" s="977">
        <v>-2</v>
      </c>
      <c r="F3050" s="654">
        <v>4.4999999999999998E-2</v>
      </c>
      <c r="G3050" s="978">
        <f t="shared" si="65"/>
        <v>-2</v>
      </c>
      <c r="H3050" s="978" t="s">
        <v>1666</v>
      </c>
      <c r="I3050" s="979" t="s">
        <v>1758</v>
      </c>
      <c r="J3050" s="978">
        <v>1.71</v>
      </c>
      <c r="K3050" s="978">
        <v>2</v>
      </c>
      <c r="L3050" s="976">
        <f>INT(base[[#This Row],[Data de liquidação]])</f>
        <v>46206</v>
      </c>
      <c r="M3050" s="978">
        <f>base[[#This Row],[L/P Bruto]]-base[[#This Row],[L/P Líquido]]</f>
        <v>0</v>
      </c>
      <c r="N3050" s="978">
        <f>base[[#This Row],[L/P Líquido]]/base[[#This Row],[Stake/Responsabilidade]]</f>
        <v>-1</v>
      </c>
      <c r="O3050" s="980">
        <f>IF(base[[#This Row],[L/P Líquido]]&gt;0,1,0)</f>
        <v>0</v>
      </c>
      <c r="P3050" s="980"/>
      <c r="Q3050" s="980" t="str">
        <f>LEFT(base[[#This Row],[Evento / Mercado]],FIND("vs",base[[#This Row],[Evento / Mercado]])-2)</f>
        <v>IK Sirius</v>
      </c>
      <c r="R305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4" t="str">
        <f>LEFT(base[[#This Row],[Evento / Mercado]],FIND("/",base[[#This Row],[Evento / Mercado]])-2)</f>
        <v>IK Sirius vs Mjällby AIF</v>
      </c>
      <c r="T3050" s="1420">
        <f>base[[#This Row],[Data de liquidação]]</f>
        <v>46206.660543981481</v>
      </c>
    </row>
    <row r="3051" spans="2:20" ht="15" customHeight="1">
      <c r="B3051" s="975" t="s">
        <v>3689</v>
      </c>
      <c r="C3051" s="935" t="s">
        <v>3556</v>
      </c>
      <c r="D3051" s="1384">
        <v>46206.71837962963</v>
      </c>
      <c r="E3051" s="977">
        <v>-2</v>
      </c>
      <c r="F3051" s="654">
        <v>4.4999999999999998E-2</v>
      </c>
      <c r="G3051" s="978">
        <f t="shared" si="65"/>
        <v>-2</v>
      </c>
      <c r="H3051" s="978" t="s">
        <v>1666</v>
      </c>
      <c r="I3051" s="979" t="s">
        <v>2363</v>
      </c>
      <c r="J3051" s="978">
        <v>4.7</v>
      </c>
      <c r="K3051" s="978">
        <v>2</v>
      </c>
      <c r="L3051" s="976">
        <f>INT(base[[#This Row],[Data de liquidação]])</f>
        <v>46206</v>
      </c>
      <c r="M3051" s="978">
        <f>base[[#This Row],[L/P Bruto]]-base[[#This Row],[L/P Líquido]]</f>
        <v>0</v>
      </c>
      <c r="N3051" s="978">
        <f>base[[#This Row],[L/P Líquido]]/base[[#This Row],[Stake/Responsabilidade]]</f>
        <v>-1</v>
      </c>
      <c r="O3051" s="980">
        <f>IF(base[[#This Row],[L/P Líquido]]&gt;0,1,0)</f>
        <v>0</v>
      </c>
      <c r="P3051" s="980"/>
      <c r="Q3051" s="980" t="str">
        <f>LEFT(base[[#This Row],[Evento / Mercado]],FIND("vs",base[[#This Row],[Evento / Mercado]])-2)</f>
        <v>Derry City</v>
      </c>
      <c r="R305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4" t="str">
        <f>LEFT(base[[#This Row],[Evento / Mercado]],FIND("/",base[[#This Row],[Evento / Mercado]])-2)</f>
        <v>Derry City vs Waterford FC</v>
      </c>
      <c r="T3051" s="1420">
        <f>base[[#This Row],[Data de liquidação]]</f>
        <v>46206.71837962963</v>
      </c>
    </row>
    <row r="3052" spans="2:20" ht="15" customHeight="1">
      <c r="B3052" s="975" t="s">
        <v>3688</v>
      </c>
      <c r="C3052" s="935" t="s">
        <v>3556</v>
      </c>
      <c r="D3052" s="1384">
        <v>46206.723900462966</v>
      </c>
      <c r="E3052" s="977">
        <v>148.03</v>
      </c>
      <c r="F3052" s="654">
        <v>4.4999999999999998E-2</v>
      </c>
      <c r="G3052" s="978">
        <f t="shared" si="65"/>
        <v>155.00523560209425</v>
      </c>
      <c r="H3052" s="978" t="s">
        <v>3333</v>
      </c>
      <c r="I3052" s="1026" t="s">
        <v>13</v>
      </c>
      <c r="J3052" s="978">
        <f>(25*2.08+25*1.92+50*3.1)/base[[#This Row],[Stake/Responsabilidade]]</f>
        <v>2.5499999999999998</v>
      </c>
      <c r="K3052" s="978">
        <v>100</v>
      </c>
      <c r="L3052" s="976">
        <f>INT(base[[#This Row],[Data de liquidação]])</f>
        <v>46206</v>
      </c>
      <c r="M3052" s="978">
        <f>base[[#This Row],[L/P Bruto]]-base[[#This Row],[L/P Líquido]]</f>
        <v>6.9752356020942443</v>
      </c>
      <c r="N3052" s="978">
        <f>base[[#This Row],[L/P Líquido]]/base[[#This Row],[Stake/Responsabilidade]]</f>
        <v>1.4802999999999999</v>
      </c>
      <c r="O3052" s="980">
        <f>IF(base[[#This Row],[L/P Líquido]]&gt;0,1,0)</f>
        <v>1</v>
      </c>
      <c r="P3052" s="980"/>
      <c r="Q3052" s="980" t="str">
        <f>LEFT(base[[#This Row],[Evento / Mercado]],FIND("vs",base[[#This Row],[Evento / Mercado]])-2)</f>
        <v>Derry City</v>
      </c>
      <c r="R305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4" t="str">
        <f>LEFT(base[[#This Row],[Evento / Mercado]],FIND("/",base[[#This Row],[Evento / Mercado]])-2)</f>
        <v>Derry City vs Waterford FC</v>
      </c>
      <c r="T3052" s="1420">
        <f>base[[#This Row],[Data de liquidação]]</f>
        <v>46206.723900462966</v>
      </c>
    </row>
    <row r="3053" spans="2:20" ht="15" customHeight="1">
      <c r="B3053" s="975" t="s">
        <v>3687</v>
      </c>
      <c r="C3053" s="935" t="s">
        <v>3556</v>
      </c>
      <c r="D3053" s="1384">
        <v>46206.736087962963</v>
      </c>
      <c r="E3053" s="977">
        <v>-30</v>
      </c>
      <c r="F3053" s="654">
        <v>4.4999999999999998E-2</v>
      </c>
      <c r="G3053" s="978">
        <f t="shared" si="65"/>
        <v>-30</v>
      </c>
      <c r="H3053" s="978" t="s">
        <v>1666</v>
      </c>
      <c r="I3053" s="979" t="s">
        <v>1777</v>
      </c>
      <c r="J3053" s="978">
        <v>2.56</v>
      </c>
      <c r="K3053" s="978">
        <v>30</v>
      </c>
      <c r="L3053" s="976">
        <f>INT(base[[#This Row],[Data de liquidação]])</f>
        <v>46206</v>
      </c>
      <c r="M3053" s="978">
        <f>base[[#This Row],[L/P Bruto]]-base[[#This Row],[L/P Líquido]]</f>
        <v>0</v>
      </c>
      <c r="N3053" s="978">
        <f>base[[#This Row],[L/P Líquido]]/base[[#This Row],[Stake/Responsabilidade]]</f>
        <v>-1</v>
      </c>
      <c r="O3053" s="980">
        <f>IF(base[[#This Row],[L/P Líquido]]&gt;0,1,0)</f>
        <v>0</v>
      </c>
      <c r="P3053" s="980"/>
      <c r="Q3053" s="980" t="str">
        <f>LEFT(base[[#This Row],[Evento / Mercado]],FIND("vs",base[[#This Row],[Evento / Mercado]])-2)</f>
        <v>Derry City</v>
      </c>
      <c r="R305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4" t="str">
        <f>LEFT(base[[#This Row],[Evento / Mercado]],FIND("/",base[[#This Row],[Evento / Mercado]])-2)</f>
        <v>Derry City vs Waterford FC</v>
      </c>
      <c r="T3053" s="1420">
        <f>base[[#This Row],[Data de liquidação]]</f>
        <v>46206.736087962963</v>
      </c>
    </row>
    <row r="3054" spans="2:20" ht="15" customHeight="1">
      <c r="B3054" s="975" t="s">
        <v>3686</v>
      </c>
      <c r="C3054" s="935" t="s">
        <v>3556</v>
      </c>
      <c r="D3054" s="1384">
        <v>46206.874641203707</v>
      </c>
      <c r="E3054" s="977">
        <v>14.14</v>
      </c>
      <c r="F3054" s="654">
        <v>4.4999999999999998E-2</v>
      </c>
      <c r="G3054" s="978">
        <f t="shared" si="65"/>
        <v>14.806282722513091</v>
      </c>
      <c r="H3054" s="978" t="s">
        <v>179</v>
      </c>
      <c r="I3054" s="979" t="s">
        <v>3393</v>
      </c>
      <c r="J3054" s="978">
        <v>28</v>
      </c>
      <c r="K3054" s="978">
        <v>399.87</v>
      </c>
      <c r="L3054" s="976">
        <f>INT(base[[#This Row],[Data de liquidação]])</f>
        <v>46206</v>
      </c>
      <c r="M3054" s="978">
        <f>base[[#This Row],[L/P Bruto]]-base[[#This Row],[L/P Líquido]]</f>
        <v>0.66628272251309006</v>
      </c>
      <c r="N3054" s="978">
        <f>base[[#This Row],[L/P Líquido]]/base[[#This Row],[Stake/Responsabilidade]]</f>
        <v>3.5361492485057648E-2</v>
      </c>
      <c r="O3054" s="980">
        <f>IF(base[[#This Row],[L/P Líquido]]&gt;0,1,0)</f>
        <v>1</v>
      </c>
      <c r="P3054" s="980" t="s">
        <v>3331</v>
      </c>
      <c r="Q3054" s="980" t="str">
        <f>LEFT(base[[#This Row],[Evento / Mercado]],FIND("vs",base[[#This Row],[Evento / Mercado]])-2)</f>
        <v>Argentina</v>
      </c>
      <c r="R305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4" t="str">
        <f>LEFT(base[[#This Row],[Evento / Mercado]],FIND("/",base[[#This Row],[Evento / Mercado]])-2)</f>
        <v>Argentina vs Cape Verde</v>
      </c>
      <c r="T3054" s="1420">
        <f>base[[#This Row],[Data de liquidação]]</f>
        <v>46206.874641203707</v>
      </c>
    </row>
    <row r="3055" spans="2:20" ht="15" customHeight="1">
      <c r="B3055" s="975" t="s">
        <v>3685</v>
      </c>
      <c r="C3055" s="935" t="s">
        <v>3556</v>
      </c>
      <c r="D3055" s="1384">
        <v>46206.931423611109</v>
      </c>
      <c r="E3055" s="977">
        <v>-2</v>
      </c>
      <c r="F3055" s="654">
        <v>4.4999999999999998E-2</v>
      </c>
      <c r="G3055" s="978">
        <f t="shared" si="65"/>
        <v>-2</v>
      </c>
      <c r="H3055" s="978" t="s">
        <v>1666</v>
      </c>
      <c r="I3055" s="979" t="s">
        <v>2363</v>
      </c>
      <c r="J3055" s="978">
        <v>5</v>
      </c>
      <c r="K3055" s="978">
        <v>2</v>
      </c>
      <c r="L3055" s="976">
        <f>INT(base[[#This Row],[Data de liquidação]])</f>
        <v>46206</v>
      </c>
      <c r="M3055" s="978">
        <f>base[[#This Row],[L/P Bruto]]-base[[#This Row],[L/P Líquido]]</f>
        <v>0</v>
      </c>
      <c r="N3055" s="978">
        <f>base[[#This Row],[L/P Líquido]]/base[[#This Row],[Stake/Responsabilidade]]</f>
        <v>-1</v>
      </c>
      <c r="O3055" s="980">
        <f>IF(base[[#This Row],[L/P Líquido]]&gt;0,1,0)</f>
        <v>0</v>
      </c>
      <c r="P3055" s="980"/>
      <c r="Q3055" s="980" t="str">
        <f>LEFT(base[[#This Row],[Evento / Mercado]],FIND("vs",base[[#This Row],[Evento / Mercado]])-2)</f>
        <v>Loudoun United FC</v>
      </c>
      <c r="R305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4" t="str">
        <f>LEFT(base[[#This Row],[Evento / Mercado]],FIND("/",base[[#This Row],[Evento / Mercado]])-2)</f>
        <v>Loudoun United FC vs Sporting Club Jacksonville</v>
      </c>
      <c r="T3055" s="1420">
        <f>base[[#This Row],[Data de liquidação]]</f>
        <v>46206.931423611109</v>
      </c>
    </row>
    <row r="3056" spans="2:20" ht="15" customHeight="1">
      <c r="B3056" s="975" t="s">
        <v>3684</v>
      </c>
      <c r="C3056" s="935" t="s">
        <v>3556</v>
      </c>
      <c r="D3056" s="1384">
        <v>46206.938506944447</v>
      </c>
      <c r="E3056" s="977">
        <v>1.47</v>
      </c>
      <c r="F3056" s="654">
        <v>4.4999999999999998E-2</v>
      </c>
      <c r="G3056" s="978">
        <f t="shared" si="65"/>
        <v>1.5392670157068062</v>
      </c>
      <c r="H3056" s="978" t="s">
        <v>1666</v>
      </c>
      <c r="I3056" s="979" t="s">
        <v>3333</v>
      </c>
      <c r="J3056" s="978">
        <v>1.77</v>
      </c>
      <c r="K3056" s="978">
        <v>2</v>
      </c>
      <c r="L3056" s="976">
        <f>INT(base[[#This Row],[Data de liquidação]])</f>
        <v>46206</v>
      </c>
      <c r="M3056" s="978">
        <f>base[[#This Row],[L/P Bruto]]-base[[#This Row],[L/P Líquido]]</f>
        <v>6.9267015706806268E-2</v>
      </c>
      <c r="N3056" s="978">
        <f>base[[#This Row],[L/P Líquido]]/base[[#This Row],[Stake/Responsabilidade]]</f>
        <v>0.73499999999999999</v>
      </c>
      <c r="O3056" s="980">
        <f>IF(base[[#This Row],[L/P Líquido]]&gt;0,1,0)</f>
        <v>1</v>
      </c>
      <c r="P3056" s="980"/>
      <c r="Q3056" s="980" t="str">
        <f>LEFT(base[[#This Row],[Evento / Mercado]],FIND("vs",base[[#This Row],[Evento / Mercado]])-2)</f>
        <v>Loudoun United FC</v>
      </c>
      <c r="R305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4" t="str">
        <f>LEFT(base[[#This Row],[Evento / Mercado]],FIND("/",base[[#This Row],[Evento / Mercado]])-2)</f>
        <v>Loudoun United FC vs Sporting Club Jacksonville</v>
      </c>
      <c r="T3056" s="1420">
        <f>base[[#This Row],[Data de liquidação]]</f>
        <v>46206.938506944447</v>
      </c>
    </row>
    <row r="3057" spans="2:20" ht="15" customHeight="1">
      <c r="B3057" s="975" t="s">
        <v>3683</v>
      </c>
      <c r="C3057" s="935" t="s">
        <v>3556</v>
      </c>
      <c r="D3057" s="1384">
        <v>46206.941238425927</v>
      </c>
      <c r="E3057" s="977">
        <v>8.18</v>
      </c>
      <c r="F3057" s="654">
        <v>4.4999999999999998E-2</v>
      </c>
      <c r="G3057" s="978">
        <f t="shared" si="65"/>
        <v>8.5654450261780113</v>
      </c>
      <c r="H3057" s="978" t="s">
        <v>1666</v>
      </c>
      <c r="I3057" s="979" t="s">
        <v>1715</v>
      </c>
      <c r="J3057" s="978">
        <v>18.5</v>
      </c>
      <c r="K3057" s="978">
        <v>149.97999999999999</v>
      </c>
      <c r="L3057" s="976">
        <f>INT(base[[#This Row],[Data de liquidação]])</f>
        <v>46206</v>
      </c>
      <c r="M3057" s="978">
        <f>base[[#This Row],[L/P Bruto]]-base[[#This Row],[L/P Líquido]]</f>
        <v>0.38544502617801157</v>
      </c>
      <c r="N3057" s="978">
        <f>base[[#This Row],[L/P Líquido]]/base[[#This Row],[Stake/Responsabilidade]]</f>
        <v>5.4540605414055206E-2</v>
      </c>
      <c r="O3057" s="980">
        <f>IF(base[[#This Row],[L/P Líquido]]&gt;0,1,0)</f>
        <v>1</v>
      </c>
      <c r="P3057" s="980"/>
      <c r="Q3057" s="980" t="str">
        <f>LEFT(base[[#This Row],[Evento / Mercado]],FIND("vs",base[[#This Row],[Evento / Mercado]])-2)</f>
        <v>Loudoun United FC</v>
      </c>
      <c r="R305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4" t="str">
        <f>LEFT(base[[#This Row],[Evento / Mercado]],FIND("/",base[[#This Row],[Evento / Mercado]])-2)</f>
        <v>Loudoun United FC vs Sporting Club Jacksonville</v>
      </c>
      <c r="T3057" s="1420">
        <f>base[[#This Row],[Data de liquidação]]</f>
        <v>46206.941238425927</v>
      </c>
    </row>
    <row r="3058" spans="2:20" ht="15" customHeight="1">
      <c r="B3058" s="975" t="s">
        <v>3717</v>
      </c>
      <c r="C3058" s="935" t="s">
        <v>3556</v>
      </c>
      <c r="D3058" s="1384">
        <v>46207.021851851852</v>
      </c>
      <c r="E3058" s="977">
        <v>24.09</v>
      </c>
      <c r="F3058" s="654">
        <v>4.4999999999999998E-2</v>
      </c>
      <c r="G3058" s="978">
        <f t="shared" si="65"/>
        <v>25.225130890052355</v>
      </c>
      <c r="H3058" s="983" t="s">
        <v>3334</v>
      </c>
      <c r="I3058" s="981" t="s">
        <v>627</v>
      </c>
      <c r="J3058" s="978">
        <v>23</v>
      </c>
      <c r="K3058" s="978">
        <v>555.05999999999995</v>
      </c>
      <c r="L3058" s="976">
        <f>INT(base[[#This Row],[Data de liquidação]])</f>
        <v>46207</v>
      </c>
      <c r="M3058" s="978">
        <f>base[[#This Row],[L/P Bruto]]-base[[#This Row],[L/P Líquido]]</f>
        <v>1.1351308900523556</v>
      </c>
      <c r="N3058" s="978">
        <f>base[[#This Row],[L/P Líquido]]/base[[#This Row],[Stake/Responsabilidade]]</f>
        <v>4.3400713436385262E-2</v>
      </c>
      <c r="O3058" s="980">
        <f>IF(base[[#This Row],[L/P Líquido]]&gt;0,1,0)</f>
        <v>1</v>
      </c>
      <c r="P3058" s="980"/>
      <c r="Q3058" s="980" t="str">
        <f>LEFT(base[[#This Row],[Evento / Mercado]],FIND("vs",base[[#This Row],[Evento / Mercado]])-2)</f>
        <v>Colombia</v>
      </c>
      <c r="R305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4" t="str">
        <f>LEFT(base[[#This Row],[Evento / Mercado]],FIND("/",base[[#This Row],[Evento / Mercado]])-2)</f>
        <v>Colombia vs Ghana</v>
      </c>
      <c r="T3058" s="1420">
        <f>base[[#This Row],[Data de liquidação]]</f>
        <v>46207.021851851852</v>
      </c>
    </row>
    <row r="3059" spans="2:20" ht="15" customHeight="1">
      <c r="B3059" s="984" t="s">
        <v>3717</v>
      </c>
      <c r="C3059" s="947" t="s">
        <v>3555</v>
      </c>
      <c r="D3059" s="1385">
        <v>46207.021851851852</v>
      </c>
      <c r="E3059" s="985">
        <v>-37.5</v>
      </c>
      <c r="F3059" s="654">
        <v>4.4999999999999998E-2</v>
      </c>
      <c r="G3059" s="983">
        <f t="shared" si="65"/>
        <v>-37.5</v>
      </c>
      <c r="H3059" s="938" t="s">
        <v>3253</v>
      </c>
      <c r="I3059" s="939" t="s">
        <v>3254</v>
      </c>
      <c r="J3059" s="983">
        <v>9</v>
      </c>
      <c r="K3059" s="983">
        <v>37.5</v>
      </c>
      <c r="L3059" s="986">
        <f>INT(base[[#This Row],[Data de liquidação]])</f>
        <v>46207</v>
      </c>
      <c r="M3059" s="983">
        <f>base[[#This Row],[L/P Bruto]]-base[[#This Row],[L/P Líquido]]</f>
        <v>0</v>
      </c>
      <c r="N3059" s="983">
        <f>base[[#This Row],[L/P Líquido]]/base[[#This Row],[Stake/Responsabilidade]]</f>
        <v>-1</v>
      </c>
      <c r="O3059" s="982">
        <f>IF(base[[#This Row],[L/P Líquido]]&gt;0,1,0)</f>
        <v>0</v>
      </c>
      <c r="P3059" s="982"/>
      <c r="Q3059" s="982" t="str">
        <f>LEFT(base[[#This Row],[Evento / Mercado]],FIND("vs",base[[#This Row],[Evento / Mercado]])-2)</f>
        <v>Colombia</v>
      </c>
      <c r="R305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4" t="str">
        <f>LEFT(base[[#This Row],[Evento / Mercado]],FIND("/",base[[#This Row],[Evento / Mercado]])-2)</f>
        <v>Colombia vs Ghana</v>
      </c>
      <c r="T3059" s="1420">
        <f>base[[#This Row],[Data de liquidação]]</f>
        <v>46207.021851851852</v>
      </c>
    </row>
    <row r="3060" spans="2:20" ht="15" customHeight="1">
      <c r="B3060" s="975" t="s">
        <v>3716</v>
      </c>
      <c r="C3060" s="935" t="s">
        <v>3556</v>
      </c>
      <c r="D3060" s="1384">
        <v>46207.022106481483</v>
      </c>
      <c r="E3060" s="977">
        <v>7.31</v>
      </c>
      <c r="F3060" s="654">
        <v>4.4999999999999998E-2</v>
      </c>
      <c r="G3060" s="978">
        <f t="shared" si="65"/>
        <v>7.6544502617801049</v>
      </c>
      <c r="H3060" s="983" t="s">
        <v>3330</v>
      </c>
      <c r="I3060" s="981" t="s">
        <v>3566</v>
      </c>
      <c r="J3060" s="978">
        <v>9.8000000000000007</v>
      </c>
      <c r="K3060" s="978">
        <v>99.97</v>
      </c>
      <c r="L3060" s="976">
        <f>INT(base[[#This Row],[Data de liquidação]])</f>
        <v>46207</v>
      </c>
      <c r="M3060" s="978">
        <f>base[[#This Row],[L/P Bruto]]-base[[#This Row],[L/P Líquido]]</f>
        <v>0.34445026178010529</v>
      </c>
      <c r="N3060" s="978">
        <f>base[[#This Row],[L/P Líquido]]/base[[#This Row],[Stake/Responsabilidade]]</f>
        <v>7.3121936580974295E-2</v>
      </c>
      <c r="O3060" s="980">
        <f>IF(base[[#This Row],[L/P Líquido]]&gt;0,1,0)</f>
        <v>1</v>
      </c>
      <c r="P3060" s="980"/>
      <c r="Q3060" s="980" t="str">
        <f>LEFT(base[[#This Row],[Evento / Mercado]],FIND("vs",base[[#This Row],[Evento / Mercado]])-2)</f>
        <v>Colombia</v>
      </c>
      <c r="R306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4" t="str">
        <f>LEFT(base[[#This Row],[Evento / Mercado]],FIND("/",base[[#This Row],[Evento / Mercado]])-2)</f>
        <v>Colombia vs Ghana</v>
      </c>
      <c r="T3060" s="1420">
        <f>base[[#This Row],[Data de liquidação]]</f>
        <v>46207.022106481483</v>
      </c>
    </row>
    <row r="3061" spans="2:20" ht="15" customHeight="1">
      <c r="B3061" s="984" t="s">
        <v>3716</v>
      </c>
      <c r="C3061" s="947" t="s">
        <v>3555</v>
      </c>
      <c r="D3061" s="1385">
        <v>46207.022106481483</v>
      </c>
      <c r="E3061" s="985">
        <v>83.31</v>
      </c>
      <c r="F3061" s="654">
        <v>4.4999999999999998E-2</v>
      </c>
      <c r="G3061" s="983">
        <f t="shared" si="65"/>
        <v>87.235602094240846</v>
      </c>
      <c r="H3061" s="938" t="s">
        <v>3253</v>
      </c>
      <c r="I3061" s="939" t="s">
        <v>1555</v>
      </c>
      <c r="J3061" s="983">
        <v>4.5</v>
      </c>
      <c r="K3061" s="983">
        <v>299.98</v>
      </c>
      <c r="L3061" s="986">
        <f>INT(base[[#This Row],[Data de liquidação]])</f>
        <v>46207</v>
      </c>
      <c r="M3061" s="983">
        <f>base[[#This Row],[L/P Bruto]]-base[[#This Row],[L/P Líquido]]</f>
        <v>3.9256020942408441</v>
      </c>
      <c r="N3061" s="983">
        <f>base[[#This Row],[L/P Líquido]]/base[[#This Row],[Stake/Responsabilidade]]</f>
        <v>0.27771851456763785</v>
      </c>
      <c r="O3061" s="982">
        <f>IF(base[[#This Row],[L/P Líquido]]&gt;0,1,0)</f>
        <v>1</v>
      </c>
      <c r="P3061" s="982"/>
      <c r="Q3061" s="982" t="str">
        <f>LEFT(base[[#This Row],[Evento / Mercado]],FIND("vs",base[[#This Row],[Evento / Mercado]])-2)</f>
        <v>Colombia</v>
      </c>
      <c r="R306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4" t="str">
        <f>LEFT(base[[#This Row],[Evento / Mercado]],FIND("/",base[[#This Row],[Evento / Mercado]])-2)</f>
        <v>Colombia vs Ghana</v>
      </c>
      <c r="T3061" s="1420">
        <f>base[[#This Row],[Data de liquidação]]</f>
        <v>46207.022106481483</v>
      </c>
    </row>
    <row r="3062" spans="2:20" ht="15" customHeight="1">
      <c r="B3062" s="975" t="s">
        <v>3722</v>
      </c>
      <c r="C3062" s="935" t="s">
        <v>3556</v>
      </c>
      <c r="D3062" s="1384">
        <v>46207.388564814813</v>
      </c>
      <c r="E3062" s="977">
        <v>14.33</v>
      </c>
      <c r="F3062" s="654">
        <v>4.4999999999999998E-2</v>
      </c>
      <c r="G3062" s="978">
        <f t="shared" si="65"/>
        <v>15.005235602094242</v>
      </c>
      <c r="H3062" s="983" t="s">
        <v>1666</v>
      </c>
      <c r="I3062" s="981" t="s">
        <v>1558</v>
      </c>
      <c r="J3062" s="978">
        <v>14.5</v>
      </c>
      <c r="K3062" s="978">
        <v>15</v>
      </c>
      <c r="L3062" s="976">
        <f>INT(base[[#This Row],[Data de liquidação]])</f>
        <v>46207</v>
      </c>
      <c r="M3062" s="978">
        <f>base[[#This Row],[L/P Bruto]]-base[[#This Row],[L/P Líquido]]</f>
        <v>0.67523560209424183</v>
      </c>
      <c r="N3062" s="978">
        <f>base[[#This Row],[L/P Líquido]]/base[[#This Row],[Stake/Responsabilidade]]</f>
        <v>0.95533333333333337</v>
      </c>
      <c r="O3062" s="980">
        <f>IF(base[[#This Row],[L/P Líquido]]&gt;0,1,0)</f>
        <v>1</v>
      </c>
      <c r="P3062" s="980"/>
      <c r="Q3062" s="980" t="str">
        <f>LEFT(base[[#This Row],[Evento / Mercado]],FIND("vs",base[[#This Row],[Evento / Mercado]])-2)</f>
        <v>Dalian Yingbo</v>
      </c>
      <c r="R306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4" t="str">
        <f>LEFT(base[[#This Row],[Evento / Mercado]],FIND("/",base[[#This Row],[Evento / Mercado]])-2)</f>
        <v>Dalian Yingbo vs Wuhan Three Towns</v>
      </c>
      <c r="T3062" s="1420">
        <f>base[[#This Row],[Data de liquidação]]</f>
        <v>46207.388564814813</v>
      </c>
    </row>
    <row r="3063" spans="2:20" ht="15" customHeight="1">
      <c r="B3063" s="975" t="s">
        <v>3721</v>
      </c>
      <c r="C3063" s="935" t="s">
        <v>3556</v>
      </c>
      <c r="D3063" s="1384">
        <v>46207.39334490741</v>
      </c>
      <c r="E3063" s="977">
        <v>0.63</v>
      </c>
      <c r="F3063" s="654">
        <v>4.4999999999999998E-2</v>
      </c>
      <c r="G3063" s="978">
        <f t="shared" si="65"/>
        <v>0.65968586387434558</v>
      </c>
      <c r="H3063" s="983" t="s">
        <v>1666</v>
      </c>
      <c r="I3063" s="981" t="s">
        <v>3333</v>
      </c>
      <c r="J3063" s="978">
        <v>1.33</v>
      </c>
      <c r="K3063" s="978">
        <v>2</v>
      </c>
      <c r="L3063" s="976">
        <f>INT(base[[#This Row],[Data de liquidação]])</f>
        <v>46207</v>
      </c>
      <c r="M3063" s="978">
        <f>base[[#This Row],[L/P Bruto]]-base[[#This Row],[L/P Líquido]]</f>
        <v>2.9685863874345575E-2</v>
      </c>
      <c r="N3063" s="978">
        <f>base[[#This Row],[L/P Líquido]]/base[[#This Row],[Stake/Responsabilidade]]</f>
        <v>0.315</v>
      </c>
      <c r="O3063" s="980">
        <f>IF(base[[#This Row],[L/P Líquido]]&gt;0,1,0)</f>
        <v>1</v>
      </c>
      <c r="P3063" s="980"/>
      <c r="Q3063" s="980" t="str">
        <f>LEFT(base[[#This Row],[Evento / Mercado]],FIND("vs",base[[#This Row],[Evento / Mercado]])-2)</f>
        <v>Dalian Yingbo</v>
      </c>
      <c r="R306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4" t="str">
        <f>LEFT(base[[#This Row],[Evento / Mercado]],FIND("/",base[[#This Row],[Evento / Mercado]])-2)</f>
        <v>Dalian Yingbo vs Wuhan Three Towns</v>
      </c>
      <c r="T3063" s="1420">
        <f>base[[#This Row],[Data de liquidação]]</f>
        <v>46207.39334490741</v>
      </c>
    </row>
    <row r="3064" spans="2:20" ht="15" customHeight="1">
      <c r="B3064" s="975" t="s">
        <v>3720</v>
      </c>
      <c r="C3064" s="935" t="s">
        <v>3556</v>
      </c>
      <c r="D3064" s="1384">
        <v>46207.423379629632</v>
      </c>
      <c r="E3064" s="977">
        <v>2.68</v>
      </c>
      <c r="F3064" s="654">
        <v>4.4999999999999998E-2</v>
      </c>
      <c r="G3064" s="978">
        <f t="shared" si="65"/>
        <v>2.8062827225130893</v>
      </c>
      <c r="H3064" s="983" t="s">
        <v>1666</v>
      </c>
      <c r="I3064" s="981" t="s">
        <v>2883</v>
      </c>
      <c r="J3064" s="978">
        <v>1.56</v>
      </c>
      <c r="K3064" s="978">
        <v>5</v>
      </c>
      <c r="L3064" s="976">
        <f>INT(base[[#This Row],[Data de liquidação]])</f>
        <v>46207</v>
      </c>
      <c r="M3064" s="978">
        <f>base[[#This Row],[L/P Bruto]]-base[[#This Row],[L/P Líquido]]</f>
        <v>0.12628272251308914</v>
      </c>
      <c r="N3064" s="978">
        <f>base[[#This Row],[L/P Líquido]]/base[[#This Row],[Stake/Responsabilidade]]</f>
        <v>0.53600000000000003</v>
      </c>
      <c r="O3064" s="980">
        <f>IF(base[[#This Row],[L/P Líquido]]&gt;0,1,0)</f>
        <v>1</v>
      </c>
      <c r="P3064" s="980"/>
      <c r="Q3064" s="980" t="str">
        <f>LEFT(base[[#This Row],[Evento / Mercado]],FIND("vs",base[[#This Row],[Evento / Mercado]])-2)</f>
        <v>Qingdao West Coast</v>
      </c>
      <c r="R306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4" t="str">
        <f>LEFT(base[[#This Row],[Evento / Mercado]],FIND("/",base[[#This Row],[Evento / Mercado]])-2)</f>
        <v>Qingdao West Coast vs Shanghai Port</v>
      </c>
      <c r="T3064" s="1420">
        <f>base[[#This Row],[Data de liquidação]]</f>
        <v>46207.423379629632</v>
      </c>
    </row>
    <row r="3065" spans="2:20" ht="15" customHeight="1">
      <c r="B3065" s="984" t="s">
        <v>3714</v>
      </c>
      <c r="C3065" s="935" t="s">
        <v>3556</v>
      </c>
      <c r="D3065" s="1385">
        <v>46207.424050925925</v>
      </c>
      <c r="E3065" s="985">
        <v>0.36</v>
      </c>
      <c r="F3065" s="654">
        <v>4.4999999999999998E-2</v>
      </c>
      <c r="G3065" s="983">
        <f t="shared" si="65"/>
        <v>0.37696335078534032</v>
      </c>
      <c r="H3065" s="983" t="s">
        <v>1666</v>
      </c>
      <c r="I3065" s="981" t="s">
        <v>2952</v>
      </c>
      <c r="J3065" s="983">
        <v>1.24</v>
      </c>
      <c r="K3065" s="983">
        <v>5</v>
      </c>
      <c r="L3065" s="986">
        <f>INT(base[[#This Row],[Data de liquidação]])</f>
        <v>46207</v>
      </c>
      <c r="M3065" s="983">
        <f>base[[#This Row],[L/P Bruto]]-base[[#This Row],[L/P Líquido]]</f>
        <v>1.6963350785340336E-2</v>
      </c>
      <c r="N3065" s="983">
        <f>base[[#This Row],[L/P Líquido]]/base[[#This Row],[Stake/Responsabilidade]]</f>
        <v>7.1999999999999995E-2</v>
      </c>
      <c r="O3065" s="982">
        <f>IF(base[[#This Row],[L/P Líquido]]&gt;0,1,0)</f>
        <v>1</v>
      </c>
      <c r="P3065" s="982"/>
      <c r="Q3065" s="982" t="str">
        <f>LEFT(base[[#This Row],[Evento / Mercado]],FIND("vs",base[[#This Row],[Evento / Mercado]])-2)</f>
        <v>Qingdao West Coast</v>
      </c>
      <c r="R306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4" t="str">
        <f>LEFT(base[[#This Row],[Evento / Mercado]],FIND("/",base[[#This Row],[Evento / Mercado]])-2)</f>
        <v>Qingdao West Coast vs Shanghai Port</v>
      </c>
      <c r="T3065" s="1420">
        <f>base[[#This Row],[Data de liquidação]]</f>
        <v>46207.424050925925</v>
      </c>
    </row>
    <row r="3066" spans="2:20" ht="15" customHeight="1">
      <c r="B3066" s="984" t="s">
        <v>3713</v>
      </c>
      <c r="C3066" s="935" t="s">
        <v>3556</v>
      </c>
      <c r="D3066" s="1385">
        <v>46207.441377314812</v>
      </c>
      <c r="E3066" s="985">
        <v>15.08</v>
      </c>
      <c r="F3066" s="654">
        <v>4.4999999999999998E-2</v>
      </c>
      <c r="G3066" s="983">
        <f t="shared" si="65"/>
        <v>15.790575916230367</v>
      </c>
      <c r="H3066" s="983" t="s">
        <v>1666</v>
      </c>
      <c r="I3066" s="981" t="s">
        <v>1777</v>
      </c>
      <c r="J3066" s="983">
        <v>2.94</v>
      </c>
      <c r="K3066" s="983">
        <v>30.63</v>
      </c>
      <c r="L3066" s="986">
        <f>INT(base[[#This Row],[Data de liquidação]])</f>
        <v>46207</v>
      </c>
      <c r="M3066" s="983">
        <f>base[[#This Row],[L/P Bruto]]-base[[#This Row],[L/P Líquido]]</f>
        <v>0.71057591623036664</v>
      </c>
      <c r="N3066" s="983">
        <f>base[[#This Row],[L/P Líquido]]/base[[#This Row],[Stake/Responsabilidade]]</f>
        <v>0.49232778321906628</v>
      </c>
      <c r="O3066" s="982">
        <f>IF(base[[#This Row],[L/P Líquido]]&gt;0,1,0)</f>
        <v>1</v>
      </c>
      <c r="P3066" s="982"/>
      <c r="Q3066" s="982" t="str">
        <f>LEFT(base[[#This Row],[Evento / Mercado]],FIND("vs",base[[#This Row],[Evento / Mercado]])-2)</f>
        <v>Dalian Yingbo</v>
      </c>
      <c r="R306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4" t="str">
        <f>LEFT(base[[#This Row],[Evento / Mercado]],FIND("/",base[[#This Row],[Evento / Mercado]])-2)</f>
        <v>Dalian Yingbo vs Wuhan Three Towns</v>
      </c>
      <c r="T3066" s="1420">
        <f>base[[#This Row],[Data de liquidação]]</f>
        <v>46207.441377314812</v>
      </c>
    </row>
    <row r="3067" spans="2:20" ht="15" customHeight="1">
      <c r="B3067" s="984" t="s">
        <v>3712</v>
      </c>
      <c r="C3067" s="935" t="s">
        <v>3556</v>
      </c>
      <c r="D3067" s="1385">
        <v>46207.457268518519</v>
      </c>
      <c r="E3067" s="985">
        <v>6.37</v>
      </c>
      <c r="F3067" s="654">
        <v>4.4999999999999998E-2</v>
      </c>
      <c r="G3067" s="983">
        <f t="shared" si="65"/>
        <v>6.6701570680628279</v>
      </c>
      <c r="H3067" s="983" t="s">
        <v>1666</v>
      </c>
      <c r="I3067" s="981" t="s">
        <v>1759</v>
      </c>
      <c r="J3067" s="983">
        <v>19</v>
      </c>
      <c r="K3067" s="983">
        <v>120.06</v>
      </c>
      <c r="L3067" s="986">
        <f>INT(base[[#This Row],[Data de liquidação]])</f>
        <v>46207</v>
      </c>
      <c r="M3067" s="983">
        <f>base[[#This Row],[L/P Bruto]]-base[[#This Row],[L/P Líquido]]</f>
        <v>0.30015706806282783</v>
      </c>
      <c r="N3067" s="983">
        <f>base[[#This Row],[L/P Líquido]]/base[[#This Row],[Stake/Responsabilidade]]</f>
        <v>5.3056804930867903E-2</v>
      </c>
      <c r="O3067" s="982">
        <f>IF(base[[#This Row],[L/P Líquido]]&gt;0,1,0)</f>
        <v>1</v>
      </c>
      <c r="P3067" s="982"/>
      <c r="Q3067" s="982" t="str">
        <f>LEFT(base[[#This Row],[Evento / Mercado]],FIND("vs",base[[#This Row],[Evento / Mercado]])-2)</f>
        <v>Tianjin Jinmenhu</v>
      </c>
      <c r="R306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4" t="str">
        <f>LEFT(base[[#This Row],[Evento / Mercado]],FIND("/",base[[#This Row],[Evento / Mercado]])-2)</f>
        <v>Tianjin Jinmenhu vs Shenzhen Peng City</v>
      </c>
      <c r="T3067" s="1420">
        <f>base[[#This Row],[Data de liquidação]]</f>
        <v>46207.457268518519</v>
      </c>
    </row>
    <row r="3068" spans="2:20" ht="15" customHeight="1">
      <c r="B3068" s="984" t="s">
        <v>3711</v>
      </c>
      <c r="C3068" s="984" t="s">
        <v>3554</v>
      </c>
      <c r="D3068" s="1385">
        <v>46207.577777777777</v>
      </c>
      <c r="E3068" s="985">
        <v>41.76</v>
      </c>
      <c r="F3068" s="654">
        <v>4.4999999999999998E-2</v>
      </c>
      <c r="G3068" s="983">
        <f t="shared" si="65"/>
        <v>43.727748691099478</v>
      </c>
      <c r="H3068" s="938" t="s">
        <v>3253</v>
      </c>
      <c r="I3068" s="939" t="s">
        <v>1555</v>
      </c>
      <c r="J3068" s="983">
        <v>6.8</v>
      </c>
      <c r="K3068" s="983">
        <v>299.98</v>
      </c>
      <c r="L3068" s="986">
        <f>INT(base[[#This Row],[Data de liquidação]])</f>
        <v>46207</v>
      </c>
      <c r="M3068" s="983">
        <f>base[[#This Row],[L/P Bruto]]-base[[#This Row],[L/P Líquido]]</f>
        <v>1.9677486910994801</v>
      </c>
      <c r="N3068" s="983">
        <f>base[[#This Row],[L/P Líquido]]/base[[#This Row],[Stake/Responsabilidade]]</f>
        <v>0.13920928061870791</v>
      </c>
      <c r="O3068" s="982">
        <f>IF(base[[#This Row],[L/P Líquido]]&gt;0,1,0)</f>
        <v>1</v>
      </c>
      <c r="P3068" s="982"/>
      <c r="Q3068" s="982" t="str">
        <f>LEFT(base[[#This Row],[Evento / Mercado]],FIND("vs",base[[#This Row],[Evento / Mercado]])-2)</f>
        <v>VPS</v>
      </c>
      <c r="R306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4" t="str">
        <f>LEFT(base[[#This Row],[Evento / Mercado]],FIND("/",base[[#This Row],[Evento / Mercado]])-2)</f>
        <v>VPS vs IFK Mariehamn</v>
      </c>
      <c r="T3068" s="1420">
        <f>base[[#This Row],[Data de liquidação]]</f>
        <v>46207.577777777777</v>
      </c>
    </row>
    <row r="3069" spans="2:20" ht="15" customHeight="1">
      <c r="B3069" s="984" t="s">
        <v>3719</v>
      </c>
      <c r="C3069" s="984" t="s">
        <v>3554</v>
      </c>
      <c r="D3069" s="1385">
        <v>46207.577777777777</v>
      </c>
      <c r="E3069" s="985">
        <v>-24</v>
      </c>
      <c r="F3069" s="654">
        <v>4.4999999999999998E-2</v>
      </c>
      <c r="G3069" s="983">
        <f t="shared" si="65"/>
        <v>-24</v>
      </c>
      <c r="H3069" s="938" t="s">
        <v>3253</v>
      </c>
      <c r="I3069" s="939" t="s">
        <v>3254</v>
      </c>
      <c r="J3069" s="983">
        <v>13.5</v>
      </c>
      <c r="K3069" s="983">
        <v>24</v>
      </c>
      <c r="L3069" s="986">
        <f>INT(base[[#This Row],[Data de liquidação]])</f>
        <v>46207</v>
      </c>
      <c r="M3069" s="983">
        <f>base[[#This Row],[L/P Bruto]]-base[[#This Row],[L/P Líquido]]</f>
        <v>0</v>
      </c>
      <c r="N3069" s="983">
        <f>base[[#This Row],[L/P Líquido]]/base[[#This Row],[Stake/Responsabilidade]]</f>
        <v>-1</v>
      </c>
      <c r="O3069" s="982">
        <f>IF(base[[#This Row],[L/P Líquido]]&gt;0,1,0)</f>
        <v>0</v>
      </c>
      <c r="P3069" s="982"/>
      <c r="Q3069" s="982" t="str">
        <f>LEFT(base[[#This Row],[Evento / Mercado]],FIND("vs",base[[#This Row],[Evento / Mercado]])-2)</f>
        <v>VPS</v>
      </c>
      <c r="R306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4" t="str">
        <f>LEFT(base[[#This Row],[Evento / Mercado]],FIND("/",base[[#This Row],[Evento / Mercado]])-2)</f>
        <v>VPS vs IFK Mariehamn</v>
      </c>
      <c r="T3069" s="1420">
        <f>base[[#This Row],[Data de liquidação]]</f>
        <v>46207.577777777777</v>
      </c>
    </row>
    <row r="3070" spans="2:20" ht="15" customHeight="1">
      <c r="B3070" s="984" t="s">
        <v>3711</v>
      </c>
      <c r="C3070" s="935" t="s">
        <v>3556</v>
      </c>
      <c r="D3070" s="1385">
        <v>46207.578379629631</v>
      </c>
      <c r="E3070" s="985">
        <v>5.71</v>
      </c>
      <c r="F3070" s="654">
        <v>4.4999999999999998E-2</v>
      </c>
      <c r="G3070" s="983">
        <f t="shared" si="65"/>
        <v>5.9790575916230368</v>
      </c>
      <c r="H3070" s="983" t="s">
        <v>3330</v>
      </c>
      <c r="I3070" s="981" t="s">
        <v>3566</v>
      </c>
      <c r="J3070" s="983">
        <v>12.5</v>
      </c>
      <c r="K3070" s="983">
        <v>100.05</v>
      </c>
      <c r="L3070" s="986">
        <f>INT(base[[#This Row],[Data de liquidação]])</f>
        <v>46207</v>
      </c>
      <c r="M3070" s="983">
        <f>base[[#This Row],[L/P Bruto]]-base[[#This Row],[L/P Líquido]]</f>
        <v>0.26905759162303688</v>
      </c>
      <c r="N3070" s="983">
        <f>base[[#This Row],[L/P Líquido]]/base[[#This Row],[Stake/Responsabilidade]]</f>
        <v>5.7071464267866065E-2</v>
      </c>
      <c r="O3070" s="982">
        <f>IF(base[[#This Row],[L/P Líquido]]&gt;0,1,0)</f>
        <v>1</v>
      </c>
      <c r="P3070" s="982"/>
      <c r="Q3070" s="982" t="str">
        <f>LEFT(base[[#This Row],[Evento / Mercado]],FIND("vs",base[[#This Row],[Evento / Mercado]])-2)</f>
        <v>VPS</v>
      </c>
      <c r="R307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4" t="str">
        <f>LEFT(base[[#This Row],[Evento / Mercado]],FIND("/",base[[#This Row],[Evento / Mercado]])-2)</f>
        <v>VPS vs IFK Mariehamn</v>
      </c>
      <c r="T3070" s="1420">
        <f>base[[#This Row],[Data de liquidação]]</f>
        <v>46207.578379629631</v>
      </c>
    </row>
    <row r="3071" spans="2:20" ht="15" customHeight="1">
      <c r="B3071" s="984" t="s">
        <v>3711</v>
      </c>
      <c r="C3071" s="947" t="s">
        <v>3555</v>
      </c>
      <c r="D3071" s="1385">
        <v>46207.578379629631</v>
      </c>
      <c r="E3071" s="985">
        <v>37.07</v>
      </c>
      <c r="F3071" s="654">
        <v>4.4999999999999998E-2</v>
      </c>
      <c r="G3071" s="983">
        <f t="shared" si="65"/>
        <v>38.816753926701573</v>
      </c>
      <c r="H3071" s="983" t="s">
        <v>179</v>
      </c>
      <c r="I3071" s="981" t="s">
        <v>392</v>
      </c>
      <c r="J3071" s="983">
        <v>12.5</v>
      </c>
      <c r="K3071" s="983">
        <v>450</v>
      </c>
      <c r="L3071" s="986">
        <f>INT(base[[#This Row],[Data de liquidação]])</f>
        <v>46207</v>
      </c>
      <c r="M3071" s="983">
        <f>base[[#This Row],[L/P Bruto]]-base[[#This Row],[L/P Líquido]]</f>
        <v>1.7467539267015724</v>
      </c>
      <c r="N3071" s="983">
        <f>base[[#This Row],[L/P Líquido]]/base[[#This Row],[Stake/Responsabilidade]]</f>
        <v>8.2377777777777772E-2</v>
      </c>
      <c r="O3071" s="982">
        <f>IF(base[[#This Row],[L/P Líquido]]&gt;0,1,0)</f>
        <v>1</v>
      </c>
      <c r="P3071" s="982" t="s">
        <v>3644</v>
      </c>
      <c r="Q3071" s="982" t="str">
        <f>LEFT(base[[#This Row],[Evento / Mercado]],FIND("vs",base[[#This Row],[Evento / Mercado]])-2)</f>
        <v>VPS</v>
      </c>
      <c r="R307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4" t="str">
        <f>LEFT(base[[#This Row],[Evento / Mercado]],FIND("/",base[[#This Row],[Evento / Mercado]])-2)</f>
        <v>VPS vs IFK Mariehamn</v>
      </c>
      <c r="T3071" s="1420">
        <f>base[[#This Row],[Data de liquidação]]</f>
        <v>46207.578379629631</v>
      </c>
    </row>
    <row r="3072" spans="2:20" ht="15" customHeight="1">
      <c r="B3072" s="984" t="s">
        <v>3710</v>
      </c>
      <c r="C3072" s="935" t="s">
        <v>3556</v>
      </c>
      <c r="D3072" s="1385">
        <v>46207.617881944447</v>
      </c>
      <c r="E3072" s="985">
        <v>33.21</v>
      </c>
      <c r="F3072" s="654">
        <v>4.4999999999999998E-2</v>
      </c>
      <c r="G3072" s="983">
        <f t="shared" si="65"/>
        <v>34.774869109947645</v>
      </c>
      <c r="H3072" s="983" t="s">
        <v>74</v>
      </c>
      <c r="I3072" s="981" t="s">
        <v>693</v>
      </c>
      <c r="J3072" s="983">
        <v>12.5</v>
      </c>
      <c r="K3072" s="983">
        <v>399.97</v>
      </c>
      <c r="L3072" s="986">
        <f>INT(base[[#This Row],[Data de liquidação]])</f>
        <v>46207</v>
      </c>
      <c r="M3072" s="983">
        <f>base[[#This Row],[L/P Bruto]]-base[[#This Row],[L/P Líquido]]</f>
        <v>1.5648691099476437</v>
      </c>
      <c r="N3072" s="983">
        <f>base[[#This Row],[L/P Líquido]]/base[[#This Row],[Stake/Responsabilidade]]</f>
        <v>8.3031227342050651E-2</v>
      </c>
      <c r="O3072" s="982">
        <f>IF(base[[#This Row],[L/P Líquido]]&gt;0,1,0)</f>
        <v>1</v>
      </c>
      <c r="P3072" s="982" t="s">
        <v>3680</v>
      </c>
      <c r="Q3072" s="982" t="str">
        <f>LEFT(base[[#This Row],[Evento / Mercado]],FIND("vs",base[[#This Row],[Evento / Mercado]])-2)</f>
        <v>Narva Trans</v>
      </c>
      <c r="R307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4" t="str">
        <f>LEFT(base[[#This Row],[Evento / Mercado]],FIND("/",base[[#This Row],[Evento / Mercado]])-2)</f>
        <v>Narva Trans vs Tallinna FC Levadia</v>
      </c>
      <c r="T3072" s="1420">
        <f>base[[#This Row],[Data de liquidação]]</f>
        <v>46207.617881944447</v>
      </c>
    </row>
    <row r="3073" spans="2:22" ht="15" customHeight="1">
      <c r="B3073" s="984" t="s">
        <v>3709</v>
      </c>
      <c r="C3073" s="947" t="s">
        <v>3555</v>
      </c>
      <c r="D3073" s="1385">
        <v>46207.669108796297</v>
      </c>
      <c r="E3073" s="985">
        <v>-51.72</v>
      </c>
      <c r="F3073" s="654">
        <v>4.4999999999999998E-2</v>
      </c>
      <c r="G3073" s="983">
        <f t="shared" si="65"/>
        <v>-51.72</v>
      </c>
      <c r="H3073" s="938" t="s">
        <v>3253</v>
      </c>
      <c r="I3073" s="939" t="s">
        <v>3254</v>
      </c>
      <c r="J3073" s="983">
        <v>6.8</v>
      </c>
      <c r="K3073" s="983">
        <v>51.72</v>
      </c>
      <c r="L3073" s="986">
        <f>INT(base[[#This Row],[Data de liquidação]])</f>
        <v>46207</v>
      </c>
      <c r="M3073" s="983">
        <f>base[[#This Row],[L/P Bruto]]-base[[#This Row],[L/P Líquido]]</f>
        <v>0</v>
      </c>
      <c r="N3073" s="983">
        <f>base[[#This Row],[L/P Líquido]]/base[[#This Row],[Stake/Responsabilidade]]</f>
        <v>-1</v>
      </c>
      <c r="O3073" s="982">
        <f>IF(base[[#This Row],[L/P Líquido]]&gt;0,1,0)</f>
        <v>0</v>
      </c>
      <c r="P3073" s="982"/>
      <c r="Q3073" s="982" t="str">
        <f>LEFT(base[[#This Row],[Evento / Mercado]],FIND("vs",base[[#This Row],[Evento / Mercado]])-2)</f>
        <v>Canada</v>
      </c>
      <c r="R307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4" t="str">
        <f>LEFT(base[[#This Row],[Evento / Mercado]],FIND("/",base[[#This Row],[Evento / Mercado]])-2)</f>
        <v>Canada vs Morocco</v>
      </c>
      <c r="T3073" s="1420">
        <f>base[[#This Row],[Data de liquidação]]</f>
        <v>46207.669108796297</v>
      </c>
    </row>
    <row r="3074" spans="2:22" ht="15" customHeight="1">
      <c r="B3074" s="984" t="s">
        <v>3709</v>
      </c>
      <c r="C3074" s="935" t="s">
        <v>3556</v>
      </c>
      <c r="D3074" s="1385">
        <v>46207.669120370374</v>
      </c>
      <c r="E3074" s="985">
        <v>35.74</v>
      </c>
      <c r="F3074" s="654">
        <v>4.4999999999999998E-2</v>
      </c>
      <c r="G3074" s="983">
        <f t="shared" si="65"/>
        <v>37.424083769633512</v>
      </c>
      <c r="H3074" s="983" t="s">
        <v>3334</v>
      </c>
      <c r="I3074" s="981" t="s">
        <v>694</v>
      </c>
      <c r="J3074" s="983">
        <v>16.5</v>
      </c>
      <c r="K3074" s="983">
        <v>580.01</v>
      </c>
      <c r="L3074" s="986">
        <f>INT(base[[#This Row],[Data de liquidação]])</f>
        <v>46207</v>
      </c>
      <c r="M3074" s="983">
        <f>base[[#This Row],[L/P Bruto]]-base[[#This Row],[L/P Líquido]]</f>
        <v>1.68408376963351</v>
      </c>
      <c r="N3074" s="983">
        <f>base[[#This Row],[L/P Líquido]]/base[[#This Row],[Stake/Responsabilidade]]</f>
        <v>6.1619627247806077E-2</v>
      </c>
      <c r="O3074" s="982">
        <f>IF(base[[#This Row],[L/P Líquido]]&gt;0,1,0)</f>
        <v>1</v>
      </c>
      <c r="P3074" s="982"/>
      <c r="Q3074" s="982" t="str">
        <f>LEFT(base[[#This Row],[Evento / Mercado]],FIND("vs",base[[#This Row],[Evento / Mercado]])-2)</f>
        <v>Canada</v>
      </c>
      <c r="R307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4" t="str">
        <f>LEFT(base[[#This Row],[Evento / Mercado]],FIND("/",base[[#This Row],[Evento / Mercado]])-2)</f>
        <v>Canada vs Morocco</v>
      </c>
      <c r="T3074" s="1420">
        <f>base[[#This Row],[Data de liquidação]]</f>
        <v>46207.669120370374</v>
      </c>
    </row>
    <row r="3075" spans="2:22" ht="15" customHeight="1">
      <c r="B3075" s="984" t="s">
        <v>3708</v>
      </c>
      <c r="C3075" s="935" t="s">
        <v>3556</v>
      </c>
      <c r="D3075" s="1385">
        <v>46207.669629629629</v>
      </c>
      <c r="E3075" s="985">
        <v>12.22</v>
      </c>
      <c r="F3075" s="654">
        <v>4.4999999999999998E-2</v>
      </c>
      <c r="G3075" s="983">
        <f t="shared" ref="G3075:G3094" si="66">IF(E3075&gt;0,E3075/(1-F3075),E3075)</f>
        <v>12.795811518324609</v>
      </c>
      <c r="H3075" s="983" t="s">
        <v>3330</v>
      </c>
      <c r="I3075" s="1248" t="s">
        <v>4368</v>
      </c>
      <c r="J3075" s="983">
        <v>5.78</v>
      </c>
      <c r="K3075" s="983">
        <v>97.56</v>
      </c>
      <c r="L3075" s="986">
        <f>INT(base[[#This Row],[Data de liquidação]])</f>
        <v>46207</v>
      </c>
      <c r="M3075" s="983">
        <f>base[[#This Row],[L/P Bruto]]-base[[#This Row],[L/P Líquido]]</f>
        <v>0.57581151832460797</v>
      </c>
      <c r="N3075" s="983">
        <f>base[[#This Row],[L/P Líquido]]/base[[#This Row],[Stake/Responsabilidade]]</f>
        <v>0.12525625256252562</v>
      </c>
      <c r="O3075" s="982">
        <f>IF(base[[#This Row],[L/P Líquido]]&gt;0,1,0)</f>
        <v>1</v>
      </c>
      <c r="P3075" s="982"/>
      <c r="Q3075" s="982" t="str">
        <f>LEFT(base[[#This Row],[Evento / Mercado]],FIND("vs",base[[#This Row],[Evento / Mercado]])-2)</f>
        <v>Canada</v>
      </c>
      <c r="R307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4" t="str">
        <f>LEFT(base[[#This Row],[Evento / Mercado]],FIND("/",base[[#This Row],[Evento / Mercado]])-2)</f>
        <v>Canada vs Morocco</v>
      </c>
      <c r="T3075" s="1420">
        <f>base[[#This Row],[Data de liquidação]]</f>
        <v>46207.669629629629</v>
      </c>
    </row>
    <row r="3076" spans="2:22" ht="15" customHeight="1">
      <c r="B3076" s="984" t="s">
        <v>3708</v>
      </c>
      <c r="C3076" s="947" t="s">
        <v>3555</v>
      </c>
      <c r="D3076" s="1385">
        <v>46207.669629629629</v>
      </c>
      <c r="E3076" s="985">
        <v>110.81</v>
      </c>
      <c r="F3076" s="654">
        <v>4.4999999999999998E-2</v>
      </c>
      <c r="G3076" s="983">
        <f t="shared" si="66"/>
        <v>116.03141361256546</v>
      </c>
      <c r="H3076" s="938" t="s">
        <v>3253</v>
      </c>
      <c r="I3076" s="939" t="s">
        <v>1555</v>
      </c>
      <c r="J3076" s="983">
        <v>3.45</v>
      </c>
      <c r="K3076" s="983">
        <v>300</v>
      </c>
      <c r="L3076" s="986">
        <f>INT(base[[#This Row],[Data de liquidação]])</f>
        <v>46207</v>
      </c>
      <c r="M3076" s="983">
        <f>base[[#This Row],[L/P Bruto]]-base[[#This Row],[L/P Líquido]]</f>
        <v>5.2214136125654562</v>
      </c>
      <c r="N3076" s="983">
        <f>base[[#This Row],[L/P Líquido]]/base[[#This Row],[Stake/Responsabilidade]]</f>
        <v>0.36936666666666668</v>
      </c>
      <c r="O3076" s="982">
        <f>IF(base[[#This Row],[L/P Líquido]]&gt;0,1,0)</f>
        <v>1</v>
      </c>
      <c r="P3076" s="982"/>
      <c r="Q3076" s="982" t="str">
        <f>LEFT(base[[#This Row],[Evento / Mercado]],FIND("vs",base[[#This Row],[Evento / Mercado]])-2)</f>
        <v>Canada</v>
      </c>
      <c r="R307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4" t="str">
        <f>LEFT(base[[#This Row],[Evento / Mercado]],FIND("/",base[[#This Row],[Evento / Mercado]])-2)</f>
        <v>Canada vs Morocco</v>
      </c>
      <c r="T3076" s="1420">
        <f>base[[#This Row],[Data de liquidação]]</f>
        <v>46207.669629629629</v>
      </c>
    </row>
    <row r="3077" spans="2:22" ht="15" customHeight="1">
      <c r="B3077" s="984" t="s">
        <v>3715</v>
      </c>
      <c r="C3077" s="947" t="s">
        <v>3555</v>
      </c>
      <c r="D3077" s="1385">
        <v>46207.745312500003</v>
      </c>
      <c r="E3077" s="985">
        <v>-50</v>
      </c>
      <c r="F3077" s="654">
        <v>4.4999999999999998E-2</v>
      </c>
      <c r="G3077" s="983">
        <f t="shared" si="66"/>
        <v>-50</v>
      </c>
      <c r="H3077" s="938" t="s">
        <v>3253</v>
      </c>
      <c r="I3077" s="939" t="s">
        <v>3254</v>
      </c>
      <c r="J3077" s="983">
        <v>7</v>
      </c>
      <c r="K3077" s="983">
        <v>50</v>
      </c>
      <c r="L3077" s="986">
        <f>INT(base[[#This Row],[Data de liquidação]])</f>
        <v>46207</v>
      </c>
      <c r="M3077" s="983">
        <f>base[[#This Row],[L/P Bruto]]-base[[#This Row],[L/P Líquido]]</f>
        <v>0</v>
      </c>
      <c r="N3077" s="983">
        <f>base[[#This Row],[L/P Líquido]]/base[[#This Row],[Stake/Responsabilidade]]</f>
        <v>-1</v>
      </c>
      <c r="O3077" s="982">
        <f>IF(base[[#This Row],[L/P Líquido]]&gt;0,1,0)</f>
        <v>0</v>
      </c>
      <c r="P3077" s="982"/>
      <c r="Q3077" s="982" t="str">
        <f>LEFT(base[[#This Row],[Evento / Mercado]],FIND("vs",base[[#This Row],[Evento / Mercado]])-2)</f>
        <v>Gremio Novorizontino</v>
      </c>
      <c r="R307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4" t="str">
        <f>LEFT(base[[#This Row],[Evento / Mercado]],FIND("/",base[[#This Row],[Evento / Mercado]])-2)</f>
        <v>Gremio Novorizontino vs Atlético Goianiense</v>
      </c>
      <c r="T3077" s="1420">
        <f>base[[#This Row],[Data de liquidação]]</f>
        <v>46207.745312500003</v>
      </c>
    </row>
    <row r="3078" spans="2:22" ht="15" customHeight="1">
      <c r="B3078" s="984" t="s">
        <v>3707</v>
      </c>
      <c r="C3078" s="935" t="s">
        <v>3556</v>
      </c>
      <c r="D3078" s="1385">
        <v>46207.745451388888</v>
      </c>
      <c r="E3078" s="985">
        <v>18.899999999999999</v>
      </c>
      <c r="F3078" s="654">
        <v>4.4999999999999998E-2</v>
      </c>
      <c r="G3078" s="983">
        <f t="shared" si="66"/>
        <v>19.790575916230367</v>
      </c>
      <c r="H3078" s="983" t="s">
        <v>3330</v>
      </c>
      <c r="I3078" s="1248" t="s">
        <v>4368</v>
      </c>
      <c r="J3078" s="983">
        <v>4.5999999999999996</v>
      </c>
      <c r="K3078" s="983">
        <v>100.01</v>
      </c>
      <c r="L3078" s="986">
        <f>INT(base[[#This Row],[Data de liquidação]])</f>
        <v>46207</v>
      </c>
      <c r="M3078" s="983">
        <f>base[[#This Row],[L/P Bruto]]-base[[#This Row],[L/P Líquido]]</f>
        <v>0.89057591623036814</v>
      </c>
      <c r="N3078" s="983">
        <f>base[[#This Row],[L/P Líquido]]/base[[#This Row],[Stake/Responsabilidade]]</f>
        <v>0.18898110188981099</v>
      </c>
      <c r="O3078" s="982">
        <f>IF(base[[#This Row],[L/P Líquido]]&gt;0,1,0)</f>
        <v>1</v>
      </c>
      <c r="P3078" s="982"/>
      <c r="Q3078" s="982" t="str">
        <f>LEFT(base[[#This Row],[Evento / Mercado]],FIND("vs",base[[#This Row],[Evento / Mercado]])-2)</f>
        <v>Gremio Novorizontino</v>
      </c>
      <c r="R307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4" t="str">
        <f>LEFT(base[[#This Row],[Evento / Mercado]],FIND("/",base[[#This Row],[Evento / Mercado]])-2)</f>
        <v>Gremio Novorizontino vs Atlético Goianiense</v>
      </c>
      <c r="T3078" s="1420">
        <f>base[[#This Row],[Data de liquidação]]</f>
        <v>46207.745451388888</v>
      </c>
    </row>
    <row r="3079" spans="2:22" ht="15" customHeight="1">
      <c r="B3079" s="984" t="s">
        <v>3707</v>
      </c>
      <c r="C3079" s="947" t="s">
        <v>3555</v>
      </c>
      <c r="D3079" s="1385">
        <v>46207.745451388888</v>
      </c>
      <c r="E3079" s="985">
        <v>105.34</v>
      </c>
      <c r="F3079" s="654">
        <v>4.4999999999999998E-2</v>
      </c>
      <c r="G3079" s="983">
        <f t="shared" si="66"/>
        <v>110.30366492146598</v>
      </c>
      <c r="H3079" s="938" t="s">
        <v>3253</v>
      </c>
      <c r="I3079" s="939" t="s">
        <v>1555</v>
      </c>
      <c r="J3079" s="983">
        <v>3.45</v>
      </c>
      <c r="K3079" s="983">
        <v>300</v>
      </c>
      <c r="L3079" s="986">
        <f>INT(base[[#This Row],[Data de liquidação]])</f>
        <v>46207</v>
      </c>
      <c r="M3079" s="983">
        <f>base[[#This Row],[L/P Bruto]]-base[[#This Row],[L/P Líquido]]</f>
        <v>4.9636649214659769</v>
      </c>
      <c r="N3079" s="983">
        <f>base[[#This Row],[L/P Líquido]]/base[[#This Row],[Stake/Responsabilidade]]</f>
        <v>0.35113333333333335</v>
      </c>
      <c r="O3079" s="982">
        <f>IF(base[[#This Row],[L/P Líquido]]&gt;0,1,0)</f>
        <v>1</v>
      </c>
      <c r="P3079" s="982"/>
      <c r="Q3079" s="982" t="str">
        <f>LEFT(base[[#This Row],[Evento / Mercado]],FIND("vs",base[[#This Row],[Evento / Mercado]])-2)</f>
        <v>Gremio Novorizontino</v>
      </c>
      <c r="R307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4" t="str">
        <f>LEFT(base[[#This Row],[Evento / Mercado]],FIND("/",base[[#This Row],[Evento / Mercado]])-2)</f>
        <v>Gremio Novorizontino vs Atlético Goianiense</v>
      </c>
      <c r="T3079" s="1420">
        <f>base[[#This Row],[Data de liquidação]]</f>
        <v>46207.745451388888</v>
      </c>
    </row>
    <row r="3080" spans="2:22" ht="15" customHeight="1">
      <c r="B3080" s="984" t="s">
        <v>3706</v>
      </c>
      <c r="C3080" s="984" t="s">
        <v>3554</v>
      </c>
      <c r="D3080" s="1385">
        <v>46207.754166666666</v>
      </c>
      <c r="E3080" s="985">
        <v>116.94</v>
      </c>
      <c r="F3080" s="654">
        <v>4.4999999999999998E-2</v>
      </c>
      <c r="G3080" s="983">
        <f t="shared" si="66"/>
        <v>122.45026178010471</v>
      </c>
      <c r="H3080" s="938" t="s">
        <v>3253</v>
      </c>
      <c r="I3080" s="939" t="s">
        <v>3254</v>
      </c>
      <c r="J3080" s="983">
        <v>7.2</v>
      </c>
      <c r="K3080" s="983">
        <v>48.39</v>
      </c>
      <c r="L3080" s="986">
        <f>INT(base[[#This Row],[Data de liquidação]])</f>
        <v>46207</v>
      </c>
      <c r="M3080" s="983">
        <f>base[[#This Row],[L/P Bruto]]-base[[#This Row],[L/P Líquido]]</f>
        <v>5.5102617801047131</v>
      </c>
      <c r="N3080" s="983">
        <f>base[[#This Row],[L/P Líquido]]/base[[#This Row],[Stake/Responsabilidade]]</f>
        <v>2.4166150030998139</v>
      </c>
      <c r="O3080" s="982">
        <f>IF(base[[#This Row],[L/P Líquido]]&gt;0,1,0)</f>
        <v>1</v>
      </c>
      <c r="P3080" s="982"/>
      <c r="Q3080" s="982" t="str">
        <f>LEFT(base[[#This Row],[Evento / Mercado]],FIND("vs",base[[#This Row],[Evento / Mercado]])-2)</f>
        <v>Criciúma EC</v>
      </c>
      <c r="R308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4" t="str">
        <f>LEFT(base[[#This Row],[Evento / Mercado]],FIND("/",base[[#This Row],[Evento / Mercado]])-2)</f>
        <v>Criciúma EC vs Sport Club do Recife</v>
      </c>
      <c r="T3080" s="1420">
        <f>base[[#This Row],[Data de liquidação]]</f>
        <v>46207.754166666666</v>
      </c>
    </row>
    <row r="3081" spans="2:22" ht="15" customHeight="1">
      <c r="B3081" s="984" t="s">
        <v>3718</v>
      </c>
      <c r="C3081" s="984" t="s">
        <v>3554</v>
      </c>
      <c r="D3081" s="1385">
        <v>46207.754166666666</v>
      </c>
      <c r="E3081" s="985">
        <v>-48.39</v>
      </c>
      <c r="F3081" s="654">
        <v>4.4999999999999998E-2</v>
      </c>
      <c r="G3081" s="983">
        <f t="shared" si="66"/>
        <v>-48.39</v>
      </c>
      <c r="H3081" s="938" t="s">
        <v>3253</v>
      </c>
      <c r="I3081" s="939" t="s">
        <v>1555</v>
      </c>
      <c r="J3081" s="983">
        <v>3.45</v>
      </c>
      <c r="K3081" s="983">
        <v>300</v>
      </c>
      <c r="L3081" s="986">
        <f>INT(base[[#This Row],[Data de liquidação]])</f>
        <v>46207</v>
      </c>
      <c r="M3081" s="983">
        <f>base[[#This Row],[L/P Bruto]]-base[[#This Row],[L/P Líquido]]</f>
        <v>0</v>
      </c>
      <c r="N3081" s="983">
        <f>base[[#This Row],[L/P Líquido]]/base[[#This Row],[Stake/Responsabilidade]]</f>
        <v>-0.1613</v>
      </c>
      <c r="O3081" s="982">
        <f>IF(base[[#This Row],[L/P Líquido]]&gt;0,1,0)</f>
        <v>0</v>
      </c>
      <c r="P3081" s="982"/>
      <c r="Q3081" s="982" t="str">
        <f>LEFT(base[[#This Row],[Evento / Mercado]],FIND("vs",base[[#This Row],[Evento / Mercado]])-2)</f>
        <v>Criciúma EC</v>
      </c>
      <c r="R308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4" t="str">
        <f>LEFT(base[[#This Row],[Evento / Mercado]],FIND("/",base[[#This Row],[Evento / Mercado]])-2)</f>
        <v>Criciúma EC vs Sport Club do Recife</v>
      </c>
      <c r="T3081" s="1420">
        <f>base[[#This Row],[Data de liquidação]]</f>
        <v>46207.754166666666</v>
      </c>
    </row>
    <row r="3082" spans="2:22" ht="15" customHeight="1">
      <c r="B3082" s="984" t="s">
        <v>3706</v>
      </c>
      <c r="C3082" s="935" t="s">
        <v>3556</v>
      </c>
      <c r="D3082" s="1385">
        <v>46207.754560185182</v>
      </c>
      <c r="E3082" s="985">
        <v>19.84</v>
      </c>
      <c r="F3082" s="654">
        <v>4.4999999999999998E-2</v>
      </c>
      <c r="G3082" s="983">
        <f t="shared" si="66"/>
        <v>20.774869109947645</v>
      </c>
      <c r="H3082" s="983" t="s">
        <v>3330</v>
      </c>
      <c r="I3082" s="1248" t="s">
        <v>4368</v>
      </c>
      <c r="J3082" s="983">
        <v>4.5</v>
      </c>
      <c r="K3082" s="983">
        <v>100</v>
      </c>
      <c r="L3082" s="986">
        <f>INT(base[[#This Row],[Data de liquidação]])</f>
        <v>46207</v>
      </c>
      <c r="M3082" s="983">
        <f>base[[#This Row],[L/P Bruto]]-base[[#This Row],[L/P Líquido]]</f>
        <v>0.93486910994764472</v>
      </c>
      <c r="N3082" s="983">
        <f>base[[#This Row],[L/P Líquido]]/base[[#This Row],[Stake/Responsabilidade]]</f>
        <v>0.19839999999999999</v>
      </c>
      <c r="O3082" s="982">
        <f>IF(base[[#This Row],[L/P Líquido]]&gt;0,1,0)</f>
        <v>1</v>
      </c>
      <c r="P3082" s="982"/>
      <c r="Q3082" s="982" t="str">
        <f>LEFT(base[[#This Row],[Evento / Mercado]],FIND("vs",base[[#This Row],[Evento / Mercado]])-2)</f>
        <v>Criciúma EC</v>
      </c>
      <c r="R308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4" t="str">
        <f>LEFT(base[[#This Row],[Evento / Mercado]],FIND("/",base[[#This Row],[Evento / Mercado]])-2)</f>
        <v>Criciúma EC vs Sport Club do Recife</v>
      </c>
      <c r="T3082" s="1420">
        <f>base[[#This Row],[Data de liquidação]]</f>
        <v>46207.754560185182</v>
      </c>
    </row>
    <row r="3083" spans="2:22" ht="15" customHeight="1">
      <c r="B3083" s="984" t="s">
        <v>3705</v>
      </c>
      <c r="C3083" s="935" t="s">
        <v>3556</v>
      </c>
      <c r="D3083" s="1385">
        <v>46207.792962962965</v>
      </c>
      <c r="E3083" s="985">
        <v>6.63</v>
      </c>
      <c r="F3083" s="654">
        <v>4.4999999999999998E-2</v>
      </c>
      <c r="G3083" s="983">
        <f t="shared" si="66"/>
        <v>6.9424083769633507</v>
      </c>
      <c r="H3083" s="983" t="s">
        <v>1666</v>
      </c>
      <c r="I3083" s="981" t="s">
        <v>2950</v>
      </c>
      <c r="J3083" s="983">
        <v>8.1999999999999993</v>
      </c>
      <c r="K3083" s="983">
        <v>49.97</v>
      </c>
      <c r="L3083" s="986">
        <f>INT(base[[#This Row],[Data de liquidação]])</f>
        <v>46207</v>
      </c>
      <c r="M3083" s="983">
        <f>base[[#This Row],[L/P Bruto]]-base[[#This Row],[L/P Líquido]]</f>
        <v>0.31240837696335078</v>
      </c>
      <c r="N3083" s="983">
        <f>base[[#This Row],[L/P Líquido]]/base[[#This Row],[Stake/Responsabilidade]]</f>
        <v>0.13267960776465879</v>
      </c>
      <c r="O3083" s="982">
        <f>IF(base[[#This Row],[L/P Líquido]]&gt;0,1,0)</f>
        <v>1</v>
      </c>
      <c r="P3083" s="982"/>
      <c r="Q3083" s="982" t="str">
        <f>LEFT(base[[#This Row],[Evento / Mercado]],FIND("vs",base[[#This Row],[Evento / Mercado]])-2)</f>
        <v>Indy Eleven</v>
      </c>
      <c r="R308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4" t="str">
        <f>LEFT(base[[#This Row],[Evento / Mercado]],FIND("/",base[[#This Row],[Evento / Mercado]])-2)</f>
        <v>Indy Eleven vs Charleston Battery</v>
      </c>
      <c r="T3083" s="1420">
        <f>base[[#This Row],[Data de liquidação]]</f>
        <v>46207.792962962965</v>
      </c>
    </row>
    <row r="3084" spans="2:22" ht="15" customHeight="1">
      <c r="B3084" s="984" t="s">
        <v>3704</v>
      </c>
      <c r="C3084" s="935" t="s">
        <v>3556</v>
      </c>
      <c r="D3084" s="1385">
        <v>46207.836863425924</v>
      </c>
      <c r="E3084" s="985">
        <v>15.28</v>
      </c>
      <c r="F3084" s="654">
        <v>4.4999999999999998E-2</v>
      </c>
      <c r="G3084" s="983">
        <f t="shared" si="66"/>
        <v>16</v>
      </c>
      <c r="H3084" s="983" t="s">
        <v>179</v>
      </c>
      <c r="I3084" s="981" t="s">
        <v>3393</v>
      </c>
      <c r="J3084" s="983">
        <v>26</v>
      </c>
      <c r="K3084" s="983">
        <v>400</v>
      </c>
      <c r="L3084" s="986">
        <f>INT(base[[#This Row],[Data de liquidação]])</f>
        <v>46207</v>
      </c>
      <c r="M3084" s="983">
        <f>base[[#This Row],[L/P Bruto]]-base[[#This Row],[L/P Líquido]]</f>
        <v>0.72000000000000064</v>
      </c>
      <c r="N3084" s="983">
        <f>base[[#This Row],[L/P Líquido]]/base[[#This Row],[Stake/Responsabilidade]]</f>
        <v>3.8199999999999998E-2</v>
      </c>
      <c r="O3084" s="982">
        <f>IF(base[[#This Row],[L/P Líquido]]&gt;0,1,0)</f>
        <v>1</v>
      </c>
      <c r="P3084" s="982" t="s">
        <v>3331</v>
      </c>
      <c r="Q3084" s="982" t="str">
        <f>LEFT(base[[#This Row],[Evento / Mercado]],FIND("vs",base[[#This Row],[Evento / Mercado]])-2)</f>
        <v>Paraguay</v>
      </c>
      <c r="R308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4" t="str">
        <f>LEFT(base[[#This Row],[Evento / Mercado]],FIND("/",base[[#This Row],[Evento / Mercado]])-2)</f>
        <v>Paraguay vs France</v>
      </c>
      <c r="T3084" s="1420">
        <f>base[[#This Row],[Data de liquidação]]</f>
        <v>46207.836863425924</v>
      </c>
    </row>
    <row r="3085" spans="2:22" ht="15" customHeight="1">
      <c r="B3085" s="984" t="s">
        <v>3703</v>
      </c>
      <c r="C3085" s="935" t="s">
        <v>3556</v>
      </c>
      <c r="D3085" s="1385">
        <v>46207.937430555554</v>
      </c>
      <c r="E3085" s="985">
        <v>-50</v>
      </c>
      <c r="F3085" s="654">
        <v>4.4999999999999998E-2</v>
      </c>
      <c r="G3085" s="983">
        <f t="shared" si="66"/>
        <v>-50</v>
      </c>
      <c r="H3085" s="983" t="s">
        <v>1666</v>
      </c>
      <c r="I3085" s="981" t="s">
        <v>2951</v>
      </c>
      <c r="J3085" s="983">
        <v>9</v>
      </c>
      <c r="K3085" s="983">
        <v>50</v>
      </c>
      <c r="L3085" s="986">
        <f>INT(base[[#This Row],[Data de liquidação]])</f>
        <v>46207</v>
      </c>
      <c r="M3085" s="983">
        <f>base[[#This Row],[L/P Bruto]]-base[[#This Row],[L/P Líquido]]</f>
        <v>0</v>
      </c>
      <c r="N3085" s="983">
        <f>base[[#This Row],[L/P Líquido]]/base[[#This Row],[Stake/Responsabilidade]]</f>
        <v>-1</v>
      </c>
      <c r="O3085" s="982">
        <f>IF(base[[#This Row],[L/P Líquido]]&gt;0,1,0)</f>
        <v>0</v>
      </c>
      <c r="P3085" s="982"/>
      <c r="Q3085" s="982" t="str">
        <f>LEFT(base[[#This Row],[Evento / Mercado]],FIND("vs",base[[#This Row],[Evento / Mercado]])-2)</f>
        <v>Ferroviária</v>
      </c>
      <c r="R308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4" t="str">
        <f>LEFT(base[[#This Row],[Evento / Mercado]],FIND("/",base[[#This Row],[Evento / Mercado]])-2)</f>
        <v>Ferroviária vs SER Caxias Do Sul</v>
      </c>
      <c r="T3085" s="1420">
        <f>base[[#This Row],[Data de liquidação]]</f>
        <v>46207.937430555554</v>
      </c>
    </row>
    <row r="3086" spans="2:22" ht="15" customHeight="1">
      <c r="B3086" s="984" t="s">
        <v>3702</v>
      </c>
      <c r="C3086" s="935" t="s">
        <v>3556</v>
      </c>
      <c r="D3086" s="1385">
        <v>46208.005844907406</v>
      </c>
      <c r="E3086" s="985">
        <v>5.31</v>
      </c>
      <c r="F3086" s="654">
        <v>4.4999999999999998E-2</v>
      </c>
      <c r="G3086" s="983">
        <f t="shared" si="66"/>
        <v>5.5602094240837694</v>
      </c>
      <c r="H3086" s="983" t="s">
        <v>1666</v>
      </c>
      <c r="I3086" s="981" t="s">
        <v>2951</v>
      </c>
      <c r="J3086" s="983">
        <v>10</v>
      </c>
      <c r="K3086" s="983">
        <v>50.04</v>
      </c>
      <c r="L3086" s="986">
        <f>INT(base[[#This Row],[Data de liquidação]])</f>
        <v>46208</v>
      </c>
      <c r="M3086" s="983">
        <f>base[[#This Row],[L/P Bruto]]-base[[#This Row],[L/P Líquido]]</f>
        <v>0.25020942408376978</v>
      </c>
      <c r="N3086" s="983">
        <f>base[[#This Row],[L/P Líquido]]/base[[#This Row],[Stake/Responsabilidade]]</f>
        <v>0.10611510791366906</v>
      </c>
      <c r="O3086" s="982">
        <f>IF(base[[#This Row],[L/P Líquido]]&gt;0,1,0)</f>
        <v>1</v>
      </c>
      <c r="P3086" s="982"/>
      <c r="Q3086" s="982" t="str">
        <f>LEFT(base[[#This Row],[Evento / Mercado]],FIND("vs",base[[#This Row],[Evento / Mercado]])-2)</f>
        <v>San Antonio FC</v>
      </c>
      <c r="R308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4" t="str">
        <f>LEFT(base[[#This Row],[Evento / Mercado]],FIND("/",base[[#This Row],[Evento / Mercado]])-2)</f>
        <v>San Antonio FC vs Monterey Bay FC</v>
      </c>
      <c r="T3086" s="1420">
        <f>base[[#This Row],[Data de liquidação]]</f>
        <v>46208.005844907406</v>
      </c>
    </row>
    <row r="3087" spans="2:22" ht="15" customHeight="1">
      <c r="B3087" s="984" t="s">
        <v>3701</v>
      </c>
      <c r="C3087" s="935" t="s">
        <v>3556</v>
      </c>
      <c r="D3087" s="1385">
        <v>46208.406064814815</v>
      </c>
      <c r="E3087" s="985">
        <v>3.6767499999999997</v>
      </c>
      <c r="F3087" s="654">
        <v>4.4999999999999998E-2</v>
      </c>
      <c r="G3087" s="983">
        <f t="shared" si="66"/>
        <v>3.85</v>
      </c>
      <c r="H3087" s="983" t="s">
        <v>1666</v>
      </c>
      <c r="I3087" s="981" t="s">
        <v>2883</v>
      </c>
      <c r="J3087" s="983">
        <v>1.77</v>
      </c>
      <c r="K3087" s="983">
        <v>5</v>
      </c>
      <c r="L3087" s="986">
        <f>INT(base[[#This Row],[Data de liquidação]])</f>
        <v>46208</v>
      </c>
      <c r="M3087" s="983">
        <f>base[[#This Row],[L/P Bruto]]-base[[#This Row],[L/P Líquido]]</f>
        <v>0.17325000000000035</v>
      </c>
      <c r="N3087" s="983">
        <f>base[[#This Row],[L/P Líquido]]/base[[#This Row],[Stake/Responsabilidade]]</f>
        <v>0.73534999999999995</v>
      </c>
      <c r="O3087" s="982">
        <f>IF(base[[#This Row],[L/P Líquido]]&gt;0,1,0)</f>
        <v>1</v>
      </c>
      <c r="P3087" s="982"/>
      <c r="Q3087" s="982" t="str">
        <f>LEFT(base[[#This Row],[Evento / Mercado]],FIND("vs",base[[#This Row],[Evento / Mercado]])-2)</f>
        <v>Qingdao Hainiu</v>
      </c>
      <c r="R308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4" t="str">
        <f>LEFT(base[[#This Row],[Evento / Mercado]],FIND("/",base[[#This Row],[Evento / Mercado]])-2)</f>
        <v>Qingdao Hainiu vs Chengdu Rongcheng</v>
      </c>
      <c r="T3087" s="142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84" t="s">
        <v>3701</v>
      </c>
      <c r="C3088" s="935" t="s">
        <v>3556</v>
      </c>
      <c r="D3088" s="1385">
        <v>46208.406064814815</v>
      </c>
      <c r="E3088" s="985">
        <v>1.7094499999999999</v>
      </c>
      <c r="F3088" s="654">
        <v>4.4999999999999998E-2</v>
      </c>
      <c r="G3088" s="983">
        <f t="shared" si="66"/>
        <v>1.79</v>
      </c>
      <c r="H3088" s="983" t="s">
        <v>1666</v>
      </c>
      <c r="I3088" s="981" t="s">
        <v>2564</v>
      </c>
      <c r="J3088" s="983">
        <v>1.89</v>
      </c>
      <c r="K3088" s="983">
        <v>2</v>
      </c>
      <c r="L3088" s="986">
        <f>INT(base[[#This Row],[Data de liquidação]])</f>
        <v>46208</v>
      </c>
      <c r="M3088" s="983">
        <f>base[[#This Row],[L/P Bruto]]-base[[#This Row],[L/P Líquido]]</f>
        <v>8.0550000000000122E-2</v>
      </c>
      <c r="N3088" s="983">
        <f>base[[#This Row],[L/P Líquido]]/base[[#This Row],[Stake/Responsabilidade]]</f>
        <v>0.85472499999999996</v>
      </c>
      <c r="O3088" s="982">
        <f>IF(base[[#This Row],[L/P Líquido]]&gt;0,1,0)</f>
        <v>1</v>
      </c>
      <c r="P3088" s="982"/>
      <c r="Q3088" s="982" t="str">
        <f>LEFT(base[[#This Row],[Evento / Mercado]],FIND("vs",base[[#This Row],[Evento / Mercado]])-2)</f>
        <v>Qingdao Hainiu</v>
      </c>
      <c r="R308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4" t="str">
        <f>LEFT(base[[#This Row],[Evento / Mercado]],FIND("/",base[[#This Row],[Evento / Mercado]])-2)</f>
        <v>Qingdao Hainiu vs Chengdu Rongcheng</v>
      </c>
      <c r="T3088" s="142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84" t="s">
        <v>3700</v>
      </c>
      <c r="C3089" s="935" t="s">
        <v>3556</v>
      </c>
      <c r="D3089" s="1385">
        <v>46208.432604166665</v>
      </c>
      <c r="E3089" s="985">
        <v>-0.69</v>
      </c>
      <c r="F3089" s="654">
        <v>4.4999999999999998E-2</v>
      </c>
      <c r="G3089" s="983">
        <f t="shared" si="66"/>
        <v>-0.69</v>
      </c>
      <c r="H3089" s="983" t="s">
        <v>1666</v>
      </c>
      <c r="I3089" s="981" t="s">
        <v>1558</v>
      </c>
      <c r="J3089" s="983">
        <v>6.8</v>
      </c>
      <c r="K3089" s="983">
        <v>15</v>
      </c>
      <c r="L3089" s="986">
        <f>INT(base[[#This Row],[Data de liquidação]])</f>
        <v>46208</v>
      </c>
      <c r="M3089" s="983">
        <f>base[[#This Row],[L/P Bruto]]-base[[#This Row],[L/P Líquido]]</f>
        <v>0</v>
      </c>
      <c r="N3089" s="983">
        <f>base[[#This Row],[L/P Líquido]]/base[[#This Row],[Stake/Responsabilidade]]</f>
        <v>-4.5999999999999999E-2</v>
      </c>
      <c r="O3089" s="982">
        <f>IF(base[[#This Row],[L/P Líquido]]&gt;0,1,0)</f>
        <v>0</v>
      </c>
      <c r="P3089" s="982"/>
      <c r="Q3089" s="982" t="str">
        <f>LEFT(base[[#This Row],[Evento / Mercado]],FIND("vs",base[[#This Row],[Evento / Mercado]])-2)</f>
        <v>Kalmar FF</v>
      </c>
      <c r="R308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4" t="str">
        <f>LEFT(base[[#This Row],[Evento / Mercado]],FIND("/",base[[#This Row],[Evento / Mercado]])-2)</f>
        <v>Kalmar FF vs Örgryte IS</v>
      </c>
      <c r="T3089" s="1420">
        <f>base[[#This Row],[Data de liquidação]]</f>
        <v>46208.432604166665</v>
      </c>
    </row>
    <row r="3090" spans="2:20" ht="15" customHeight="1">
      <c r="B3090" s="984" t="s">
        <v>3699</v>
      </c>
      <c r="C3090" s="935" t="s">
        <v>3556</v>
      </c>
      <c r="D3090" s="1385">
        <v>46208.454467592594</v>
      </c>
      <c r="E3090" s="985">
        <v>6.82</v>
      </c>
      <c r="F3090" s="654">
        <v>4.4999999999999998E-2</v>
      </c>
      <c r="G3090" s="983">
        <f t="shared" si="66"/>
        <v>7.1413612565445028</v>
      </c>
      <c r="H3090" s="983" t="s">
        <v>1666</v>
      </c>
      <c r="I3090" s="981" t="s">
        <v>1715</v>
      </c>
      <c r="J3090" s="983">
        <v>22</v>
      </c>
      <c r="K3090" s="983">
        <v>149.94</v>
      </c>
      <c r="L3090" s="986">
        <f>INT(base[[#This Row],[Data de liquidação]])</f>
        <v>46208</v>
      </c>
      <c r="M3090" s="983">
        <f>base[[#This Row],[L/P Bruto]]-base[[#This Row],[L/P Líquido]]</f>
        <v>0.32136125654450254</v>
      </c>
      <c r="N3090" s="983">
        <f>base[[#This Row],[L/P Líquido]]/base[[#This Row],[Stake/Responsabilidade]]</f>
        <v>4.5484860610911032E-2</v>
      </c>
      <c r="O3090" s="982">
        <f>IF(base[[#This Row],[L/P Líquido]]&gt;0,1,0)</f>
        <v>1</v>
      </c>
      <c r="P3090" s="982"/>
      <c r="Q3090" s="982" t="str">
        <f>LEFT(base[[#This Row],[Evento / Mercado]],FIND("vs",base[[#This Row],[Evento / Mercado]])-2)</f>
        <v>IFK Göteborg</v>
      </c>
      <c r="R309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4" t="str">
        <f>LEFT(base[[#This Row],[Evento / Mercado]],FIND("/",base[[#This Row],[Evento / Mercado]])-2)</f>
        <v>IFK Göteborg vs AIK</v>
      </c>
      <c r="T3090" s="1420">
        <f>base[[#This Row],[Data de liquidação]]</f>
        <v>46208.454467592594</v>
      </c>
    </row>
    <row r="3091" spans="2:20" ht="15" customHeight="1">
      <c r="B3091" s="984" t="s">
        <v>3698</v>
      </c>
      <c r="C3091" s="935" t="s">
        <v>3556</v>
      </c>
      <c r="D3091" s="1385">
        <v>46208.454606481479</v>
      </c>
      <c r="E3091" s="985">
        <v>0.35</v>
      </c>
      <c r="F3091" s="654">
        <v>4.4999999999999998E-2</v>
      </c>
      <c r="G3091" s="983">
        <f t="shared" si="66"/>
        <v>0.36649214659685864</v>
      </c>
      <c r="H3091" s="983" t="s">
        <v>1666</v>
      </c>
      <c r="I3091" s="981" t="s">
        <v>2952</v>
      </c>
      <c r="J3091" s="983">
        <v>1.2</v>
      </c>
      <c r="K3091" s="983">
        <v>5</v>
      </c>
      <c r="L3091" s="986">
        <f>INT(base[[#This Row],[Data de liquidação]])</f>
        <v>46208</v>
      </c>
      <c r="M3091" s="983">
        <f>base[[#This Row],[L/P Bruto]]-base[[#This Row],[L/P Líquido]]</f>
        <v>1.6492146596858659E-2</v>
      </c>
      <c r="N3091" s="983">
        <f>base[[#This Row],[L/P Líquido]]/base[[#This Row],[Stake/Responsabilidade]]</f>
        <v>6.9999999999999993E-2</v>
      </c>
      <c r="O3091" s="982">
        <f>IF(base[[#This Row],[L/P Líquido]]&gt;0,1,0)</f>
        <v>1</v>
      </c>
      <c r="P3091" s="982"/>
      <c r="Q3091" s="982" t="str">
        <f>LEFT(base[[#This Row],[Evento / Mercado]],FIND("vs",base[[#This Row],[Evento / Mercado]])-2)</f>
        <v>IFK Göteborg</v>
      </c>
      <c r="R309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4" t="str">
        <f>LEFT(base[[#This Row],[Evento / Mercado]],FIND("/",base[[#This Row],[Evento / Mercado]])-2)</f>
        <v>IFK Göteborg vs AIK</v>
      </c>
      <c r="T3091" s="1420">
        <f>base[[#This Row],[Data de liquidação]]</f>
        <v>46208.454606481479</v>
      </c>
    </row>
    <row r="3092" spans="2:20" ht="15" customHeight="1">
      <c r="B3092" s="984" t="s">
        <v>3697</v>
      </c>
      <c r="C3092" s="935" t="s">
        <v>3556</v>
      </c>
      <c r="D3092" s="1385">
        <v>46208.465567129628</v>
      </c>
      <c r="E3092" s="985">
        <v>2.0099999999999998</v>
      </c>
      <c r="F3092" s="654">
        <v>4.4999999999999998E-2</v>
      </c>
      <c r="G3092" s="983">
        <f t="shared" si="66"/>
        <v>2.1047120418848166</v>
      </c>
      <c r="H3092" s="983" t="s">
        <v>1666</v>
      </c>
      <c r="I3092" s="981" t="s">
        <v>2331</v>
      </c>
      <c r="J3092" s="983">
        <v>1.03</v>
      </c>
      <c r="K3092" s="983">
        <v>70</v>
      </c>
      <c r="L3092" s="986">
        <f>INT(base[[#This Row],[Data de liquidação]])</f>
        <v>46208</v>
      </c>
      <c r="M3092" s="983">
        <f>base[[#This Row],[L/P Bruto]]-base[[#This Row],[L/P Líquido]]</f>
        <v>9.4712041884816855E-2</v>
      </c>
      <c r="N3092" s="983">
        <f>base[[#This Row],[L/P Líquido]]/base[[#This Row],[Stake/Responsabilidade]]</f>
        <v>2.871428571428571E-2</v>
      </c>
      <c r="O3092" s="982">
        <f>IF(base[[#This Row],[L/P Líquido]]&gt;0,1,0)</f>
        <v>1</v>
      </c>
      <c r="P3092" s="982"/>
      <c r="Q3092" s="982" t="str">
        <f>LEFT(base[[#This Row],[Evento / Mercado]],FIND("vs",base[[#This Row],[Evento / Mercado]])-2)</f>
        <v>Kalmar FF</v>
      </c>
      <c r="R309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4" t="str">
        <f>LEFT(base[[#This Row],[Evento / Mercado]],FIND("/",base[[#This Row],[Evento / Mercado]])-2)</f>
        <v>Kalmar FF vs Örgryte IS</v>
      </c>
      <c r="T3092" s="1420">
        <f>base[[#This Row],[Data de liquidação]]</f>
        <v>46208.465567129628</v>
      </c>
    </row>
    <row r="3093" spans="2:20" ht="15" customHeight="1">
      <c r="B3093" s="984" t="s">
        <v>3696</v>
      </c>
      <c r="C3093" s="935" t="s">
        <v>3556</v>
      </c>
      <c r="D3093" s="1385">
        <v>46208.794502314813</v>
      </c>
      <c r="E3093" s="985">
        <v>17.36</v>
      </c>
      <c r="F3093" s="654">
        <v>4.4999999999999998E-2</v>
      </c>
      <c r="G3093" s="983">
        <f t="shared" si="66"/>
        <v>18.178010471204189</v>
      </c>
      <c r="H3093" s="983" t="s">
        <v>3334</v>
      </c>
      <c r="I3093" s="981" t="s">
        <v>627</v>
      </c>
      <c r="J3093" s="983">
        <v>23</v>
      </c>
      <c r="K3093" s="983">
        <v>399.96</v>
      </c>
      <c r="L3093" s="986">
        <f>INT(base[[#This Row],[Data de liquidação]])</f>
        <v>46208</v>
      </c>
      <c r="M3093" s="983">
        <f>base[[#This Row],[L/P Bruto]]-base[[#This Row],[L/P Líquido]]</f>
        <v>0.81801047120418957</v>
      </c>
      <c r="N3093" s="983">
        <f>base[[#This Row],[L/P Líquido]]/base[[#This Row],[Stake/Responsabilidade]]</f>
        <v>4.3404340434043405E-2</v>
      </c>
      <c r="O3093" s="982">
        <f>IF(base[[#This Row],[L/P Líquido]]&gt;0,1,0)</f>
        <v>1</v>
      </c>
      <c r="P3093" s="982"/>
      <c r="Q3093" s="982" t="str">
        <f>LEFT(base[[#This Row],[Evento / Mercado]],FIND("vs",base[[#This Row],[Evento / Mercado]])-2)</f>
        <v>Brazil</v>
      </c>
      <c r="R309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4" t="str">
        <f>LEFT(base[[#This Row],[Evento / Mercado]],FIND("/",base[[#This Row],[Evento / Mercado]])-2)</f>
        <v>Brazil vs Norway</v>
      </c>
      <c r="T3093" s="1420">
        <f>base[[#This Row],[Data de liquidação]]</f>
        <v>46208.794502314813</v>
      </c>
    </row>
    <row r="3094" spans="2:20" ht="15" customHeight="1">
      <c r="B3094" s="984" t="s">
        <v>3695</v>
      </c>
      <c r="C3094" s="935" t="s">
        <v>3556</v>
      </c>
      <c r="D3094" s="1385">
        <v>46208.795092592591</v>
      </c>
      <c r="E3094" s="985">
        <v>-400</v>
      </c>
      <c r="F3094" s="654">
        <v>4.4999999999999998E-2</v>
      </c>
      <c r="G3094" s="983">
        <f t="shared" si="66"/>
        <v>-400</v>
      </c>
      <c r="H3094" s="983" t="s">
        <v>179</v>
      </c>
      <c r="I3094" s="981" t="s">
        <v>3393</v>
      </c>
      <c r="J3094" s="983">
        <v>5.0999999999999996</v>
      </c>
      <c r="K3094" s="983">
        <v>400</v>
      </c>
      <c r="L3094" s="986">
        <f>INT(base[[#This Row],[Data de liquidação]])</f>
        <v>46208</v>
      </c>
      <c r="M3094" s="983">
        <f>base[[#This Row],[L/P Bruto]]-base[[#This Row],[L/P Líquido]]</f>
        <v>0</v>
      </c>
      <c r="N3094" s="983">
        <f>base[[#This Row],[L/P Líquido]]/base[[#This Row],[Stake/Responsabilidade]]</f>
        <v>-1</v>
      </c>
      <c r="O3094" s="982">
        <f>IF(base[[#This Row],[L/P Líquido]]&gt;0,1,0)</f>
        <v>0</v>
      </c>
      <c r="P3094" s="982" t="s">
        <v>3331</v>
      </c>
      <c r="Q3094" s="982" t="str">
        <f>LEFT(base[[#This Row],[Evento / Mercado]],FIND("vs",base[[#This Row],[Evento / Mercado]])-2)</f>
        <v>Brazil</v>
      </c>
      <c r="R309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4" t="str">
        <f>LEFT(base[[#This Row],[Evento / Mercado]],FIND("/",base[[#This Row],[Evento / Mercado]])-2)</f>
        <v>Brazil vs Norway</v>
      </c>
      <c r="T3094" s="1420">
        <f>base[[#This Row],[Data de liquidação]]</f>
        <v>46208.795092592591</v>
      </c>
    </row>
    <row r="3095" spans="2:20" ht="15" customHeight="1">
      <c r="B3095" s="989" t="s">
        <v>3726</v>
      </c>
      <c r="C3095" s="935" t="s">
        <v>3556</v>
      </c>
      <c r="D3095" s="1386">
        <v>46209.75105324074</v>
      </c>
      <c r="E3095" s="991">
        <v>23.31</v>
      </c>
      <c r="F3095" s="654">
        <v>4.4999999999999998E-2</v>
      </c>
      <c r="G3095" s="992">
        <f t="shared" ref="G3095:G3098" si="68">IF(E3095&gt;0,E3095/(1-F3095),E3095)</f>
        <v>24.408376963350786</v>
      </c>
      <c r="H3095" s="992" t="s">
        <v>3334</v>
      </c>
      <c r="I3095" s="993" t="s">
        <v>694</v>
      </c>
      <c r="J3095" s="992">
        <v>18</v>
      </c>
      <c r="K3095" s="992">
        <v>414.97</v>
      </c>
      <c r="L3095" s="990">
        <f>INT(base[[#This Row],[Data de liquidação]])</f>
        <v>46209</v>
      </c>
      <c r="M3095" s="992">
        <f>base[[#This Row],[L/P Bruto]]-base[[#This Row],[L/P Líquido]]</f>
        <v>1.0983769633507876</v>
      </c>
      <c r="N3095" s="992">
        <f>base[[#This Row],[L/P Líquido]]/base[[#This Row],[Stake/Responsabilidade]]</f>
        <v>5.6172735378461083E-2</v>
      </c>
      <c r="O3095" s="994">
        <f>IF(base[[#This Row],[L/P Líquido]]&gt;0,1,0)</f>
        <v>1</v>
      </c>
      <c r="P3095" s="994"/>
      <c r="Q3095" s="994" t="str">
        <f>LEFT(base[[#This Row],[Evento / Mercado]],FIND("vs",base[[#This Row],[Evento / Mercado]])-2)</f>
        <v>Portugal</v>
      </c>
      <c r="R30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4" t="str">
        <f>LEFT(base[[#This Row],[Evento / Mercado]],FIND("/",base[[#This Row],[Evento / Mercado]])-2)</f>
        <v>Portugal vs Spain</v>
      </c>
      <c r="T3095" s="1420">
        <f>base[[#This Row],[Data de liquidação]]</f>
        <v>46209.75105324074</v>
      </c>
    </row>
    <row r="3096" spans="2:20" ht="15" customHeight="1">
      <c r="B3096" s="989" t="s">
        <v>3727</v>
      </c>
      <c r="C3096" s="947" t="s">
        <v>3555</v>
      </c>
      <c r="D3096" s="1386">
        <v>46209.869976851849</v>
      </c>
      <c r="E3096" s="991">
        <v>-45.45</v>
      </c>
      <c r="F3096" s="654">
        <v>4.4999999999999998E-2</v>
      </c>
      <c r="G3096" s="992">
        <f t="shared" si="68"/>
        <v>-45.45</v>
      </c>
      <c r="H3096" s="938" t="s">
        <v>3253</v>
      </c>
      <c r="I3096" s="939" t="s">
        <v>3254</v>
      </c>
      <c r="J3096" s="992">
        <v>7.6</v>
      </c>
      <c r="K3096" s="992">
        <v>45.45</v>
      </c>
      <c r="L3096" s="990">
        <f>INT(base[[#This Row],[Data de liquidação]])</f>
        <v>46209</v>
      </c>
      <c r="M3096" s="992">
        <f>base[[#This Row],[L/P Bruto]]-base[[#This Row],[L/P Líquido]]</f>
        <v>0</v>
      </c>
      <c r="N3096" s="992">
        <f>base[[#This Row],[L/P Líquido]]/base[[#This Row],[Stake/Responsabilidade]]</f>
        <v>-1</v>
      </c>
      <c r="O3096" s="994">
        <f>IF(base[[#This Row],[L/P Líquido]]&gt;0,1,0)</f>
        <v>0</v>
      </c>
      <c r="P3096" s="994"/>
      <c r="Q3096" s="994" t="str">
        <f>LEFT(base[[#This Row],[Evento / Mercado]],FIND("vs",base[[#This Row],[Evento / Mercado]])-2)</f>
        <v>Botafogo SP</v>
      </c>
      <c r="R30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4" t="str">
        <f>LEFT(base[[#This Row],[Evento / Mercado]],FIND("/",base[[#This Row],[Evento / Mercado]])-2)</f>
        <v>Botafogo SP vs Avaí FC</v>
      </c>
      <c r="T3096" s="1420">
        <f>base[[#This Row],[Data de liquidação]]</f>
        <v>46209.869976851849</v>
      </c>
    </row>
    <row r="3097" spans="2:20" ht="15" customHeight="1">
      <c r="B3097" s="989" t="s">
        <v>3725</v>
      </c>
      <c r="C3097" s="935" t="s">
        <v>3556</v>
      </c>
      <c r="D3097" s="1386">
        <v>46209.870081018518</v>
      </c>
      <c r="E3097" s="991">
        <v>8.5500000000000007</v>
      </c>
      <c r="F3097" s="654">
        <v>4.4999999999999998E-2</v>
      </c>
      <c r="G3097" s="992">
        <f t="shared" si="68"/>
        <v>8.9528795811518336</v>
      </c>
      <c r="H3097" s="992" t="s">
        <v>3330</v>
      </c>
      <c r="I3097" s="1248" t="s">
        <v>4368</v>
      </c>
      <c r="J3097" s="992">
        <v>6.4</v>
      </c>
      <c r="K3097" s="992">
        <v>75.010000000000005</v>
      </c>
      <c r="L3097" s="990">
        <f>INT(base[[#This Row],[Data de liquidação]])</f>
        <v>46209</v>
      </c>
      <c r="M3097" s="992">
        <f>base[[#This Row],[L/P Bruto]]-base[[#This Row],[L/P Líquido]]</f>
        <v>0.40287958115183287</v>
      </c>
      <c r="N3097" s="992">
        <f>base[[#This Row],[L/P Líquido]]/base[[#This Row],[Stake/Responsabilidade]]</f>
        <v>0.11398480202639648</v>
      </c>
      <c r="O3097" s="994">
        <f>IF(base[[#This Row],[L/P Líquido]]&gt;0,1,0)</f>
        <v>1</v>
      </c>
      <c r="P3097" s="994"/>
      <c r="Q3097" s="994" t="str">
        <f>LEFT(base[[#This Row],[Evento / Mercado]],FIND("vs",base[[#This Row],[Evento / Mercado]])-2)</f>
        <v>Botafogo SP</v>
      </c>
      <c r="R30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4" t="str">
        <f>LEFT(base[[#This Row],[Evento / Mercado]],FIND("/",base[[#This Row],[Evento / Mercado]])-2)</f>
        <v>Botafogo SP vs Avaí FC</v>
      </c>
      <c r="T3097" s="1420">
        <f>base[[#This Row],[Data de liquidação]]</f>
        <v>46209.870081018518</v>
      </c>
    </row>
    <row r="3098" spans="2:20" ht="15" customHeight="1">
      <c r="B3098" s="989" t="s">
        <v>3725</v>
      </c>
      <c r="C3098" s="947" t="s">
        <v>3555</v>
      </c>
      <c r="D3098" s="1386">
        <v>46209.870081018518</v>
      </c>
      <c r="E3098" s="991">
        <v>96.19</v>
      </c>
      <c r="F3098" s="654">
        <v>4.4999999999999998E-2</v>
      </c>
      <c r="G3098" s="992">
        <f t="shared" si="68"/>
        <v>100.72251308900523</v>
      </c>
      <c r="H3098" s="938" t="s">
        <v>3253</v>
      </c>
      <c r="I3098" s="939" t="s">
        <v>1555</v>
      </c>
      <c r="J3098" s="992">
        <v>3.65</v>
      </c>
      <c r="K3098" s="992">
        <v>300.01</v>
      </c>
      <c r="L3098" s="990">
        <f>INT(base[[#This Row],[Data de liquidação]])</f>
        <v>46209</v>
      </c>
      <c r="M3098" s="992">
        <f>base[[#This Row],[L/P Bruto]]-base[[#This Row],[L/P Líquido]]</f>
        <v>4.532513089005235</v>
      </c>
      <c r="N3098" s="992">
        <f>base[[#This Row],[L/P Líquido]]/base[[#This Row],[Stake/Responsabilidade]]</f>
        <v>0.32062264591180295</v>
      </c>
      <c r="O3098" s="994">
        <f>IF(base[[#This Row],[L/P Líquido]]&gt;0,1,0)</f>
        <v>1</v>
      </c>
      <c r="P3098" s="994"/>
      <c r="Q3098" s="994" t="str">
        <f>LEFT(base[[#This Row],[Evento / Mercado]],FIND("vs",base[[#This Row],[Evento / Mercado]])-2)</f>
        <v>Botafogo SP</v>
      </c>
      <c r="R30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4" t="str">
        <f>LEFT(base[[#This Row],[Evento / Mercado]],FIND("/",base[[#This Row],[Evento / Mercado]])-2)</f>
        <v>Botafogo SP vs Avaí FC</v>
      </c>
      <c r="T3098" s="1420">
        <f>base[[#This Row],[Data de liquidação]]</f>
        <v>46209.870081018518</v>
      </c>
    </row>
    <row r="3099" spans="2:20" ht="15" customHeight="1">
      <c r="B3099" s="995" t="s">
        <v>3730</v>
      </c>
      <c r="C3099" s="995" t="s">
        <v>3554</v>
      </c>
      <c r="D3099" s="1387">
        <v>46210.628472222219</v>
      </c>
      <c r="E3099" s="997">
        <v>-31.58</v>
      </c>
      <c r="F3099" s="654">
        <v>4.4999999999999998E-2</v>
      </c>
      <c r="G3099" s="998">
        <f t="shared" ref="G3099:G3103" si="69">IF(E3099&gt;0,E3099/(1-F3099),E3099)</f>
        <v>-31.58</v>
      </c>
      <c r="H3099" s="938" t="s">
        <v>3253</v>
      </c>
      <c r="I3099" s="939" t="s">
        <v>3254</v>
      </c>
      <c r="J3099" s="998">
        <v>10.5</v>
      </c>
      <c r="K3099" s="998">
        <v>31.58</v>
      </c>
      <c r="L3099" s="996">
        <f>INT(base[[#This Row],[Data de liquidação]])</f>
        <v>46210</v>
      </c>
      <c r="M3099" s="998">
        <f>base[[#This Row],[L/P Bruto]]-base[[#This Row],[L/P Líquido]]</f>
        <v>0</v>
      </c>
      <c r="N3099" s="998">
        <f>base[[#This Row],[L/P Líquido]]/base[[#This Row],[Stake/Responsabilidade]]</f>
        <v>-1</v>
      </c>
      <c r="O3099" s="1000">
        <f>IF(base[[#This Row],[L/P Líquido]]&gt;0,1,0)</f>
        <v>0</v>
      </c>
      <c r="P3099" s="1000"/>
      <c r="Q3099" s="1000" t="str">
        <f>LEFT(base[[#This Row],[Evento / Mercado]],FIND("vs",base[[#This Row],[Evento / Mercado]])-2)</f>
        <v>Argentina</v>
      </c>
      <c r="R3099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4" t="str">
        <f>LEFT(base[[#This Row],[Evento / Mercado]],FIND("/",base[[#This Row],[Evento / Mercado]])-2)</f>
        <v>Argentina vs Egypt</v>
      </c>
      <c r="T3099" s="1420">
        <f>base[[#This Row],[Data de liquidação]]</f>
        <v>46210.628472222219</v>
      </c>
    </row>
    <row r="3100" spans="2:20" ht="15" customHeight="1">
      <c r="B3100" s="995" t="s">
        <v>3729</v>
      </c>
      <c r="C3100" s="935" t="s">
        <v>3556</v>
      </c>
      <c r="D3100" s="1387">
        <v>46210.636921296296</v>
      </c>
      <c r="E3100" s="997">
        <v>22.88</v>
      </c>
      <c r="F3100" s="654">
        <v>4.4999999999999998E-2</v>
      </c>
      <c r="G3100" s="998">
        <f t="shared" si="69"/>
        <v>23.958115183246072</v>
      </c>
      <c r="H3100" s="998" t="s">
        <v>3333</v>
      </c>
      <c r="I3100" s="1026" t="s">
        <v>13</v>
      </c>
      <c r="J3100" s="998">
        <v>2</v>
      </c>
      <c r="K3100" s="998">
        <v>50</v>
      </c>
      <c r="L3100" s="996">
        <f>INT(base[[#This Row],[Data de liquidação]])</f>
        <v>46210</v>
      </c>
      <c r="M3100" s="998">
        <f>base[[#This Row],[L/P Bruto]]-base[[#This Row],[L/P Líquido]]</f>
        <v>1.0781151832460729</v>
      </c>
      <c r="N3100" s="998">
        <f>base[[#This Row],[L/P Líquido]]/base[[#This Row],[Stake/Responsabilidade]]</f>
        <v>0.45760000000000001</v>
      </c>
      <c r="O3100" s="1000">
        <f>IF(base[[#This Row],[L/P Líquido]]&gt;0,1,0)</f>
        <v>1</v>
      </c>
      <c r="P3100" s="1000"/>
      <c r="Q3100" s="1000" t="str">
        <f>LEFT(base[[#This Row],[Evento / Mercado]],FIND("vs",base[[#This Row],[Evento / Mercado]])-2)</f>
        <v>Argentina</v>
      </c>
      <c r="R3100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4" t="str">
        <f>LEFT(base[[#This Row],[Evento / Mercado]],FIND("/",base[[#This Row],[Evento / Mercado]])-2)</f>
        <v>Argentina vs Egypt</v>
      </c>
      <c r="T3100" s="1420">
        <f>base[[#This Row],[Data de liquidação]]</f>
        <v>46210.636921296296</v>
      </c>
    </row>
    <row r="3101" spans="2:20" ht="15" customHeight="1">
      <c r="B3101" s="995" t="s">
        <v>3728</v>
      </c>
      <c r="C3101" s="995" t="s">
        <v>3554</v>
      </c>
      <c r="D3101" s="1387">
        <v>46210.663194444445</v>
      </c>
      <c r="E3101" s="997">
        <v>10.49</v>
      </c>
      <c r="F3101" s="654">
        <v>4.4999999999999998E-2</v>
      </c>
      <c r="G3101" s="998">
        <f t="shared" si="69"/>
        <v>10.984293193717278</v>
      </c>
      <c r="H3101" s="938" t="s">
        <v>3253</v>
      </c>
      <c r="I3101" s="939" t="s">
        <v>1555</v>
      </c>
      <c r="J3101" s="998">
        <v>5.0999999999999996</v>
      </c>
      <c r="K3101" s="998">
        <v>300</v>
      </c>
      <c r="L3101" s="996">
        <f>INT(base[[#This Row],[Data de liquidação]])</f>
        <v>46210</v>
      </c>
      <c r="M3101" s="998">
        <f>base[[#This Row],[L/P Bruto]]-base[[#This Row],[L/P Líquido]]</f>
        <v>0.49429319371727765</v>
      </c>
      <c r="N3101" s="998">
        <f>base[[#This Row],[L/P Líquido]]/base[[#This Row],[Stake/Responsabilidade]]</f>
        <v>3.4966666666666667E-2</v>
      </c>
      <c r="O3101" s="1000">
        <f>IF(base[[#This Row],[L/P Líquido]]&gt;0,1,0)</f>
        <v>1</v>
      </c>
      <c r="P3101" s="1000"/>
      <c r="Q3101" s="1000" t="str">
        <f>LEFT(base[[#This Row],[Evento / Mercado]],FIND("vs",base[[#This Row],[Evento / Mercado]])-2)</f>
        <v>Argentina</v>
      </c>
      <c r="R3101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4" t="str">
        <f>LEFT(base[[#This Row],[Evento / Mercado]],FIND("/",base[[#This Row],[Evento / Mercado]])-2)</f>
        <v>Argentina vs Egypt</v>
      </c>
      <c r="T3101" s="1420">
        <f>base[[#This Row],[Data de liquidação]]</f>
        <v>46210.663194444445</v>
      </c>
    </row>
    <row r="3102" spans="2:20" ht="15" customHeight="1">
      <c r="B3102" s="995" t="s">
        <v>3728</v>
      </c>
      <c r="C3102" s="935" t="s">
        <v>3556</v>
      </c>
      <c r="D3102" s="1387">
        <v>46210.663402777776</v>
      </c>
      <c r="E3102" s="997">
        <v>31.83</v>
      </c>
      <c r="F3102" s="654">
        <v>4.4999999999999998E-2</v>
      </c>
      <c r="G3102" s="998">
        <f t="shared" si="69"/>
        <v>33.329842931937172</v>
      </c>
      <c r="H3102" s="998" t="s">
        <v>179</v>
      </c>
      <c r="I3102" s="999" t="s">
        <v>3393</v>
      </c>
      <c r="J3102" s="998">
        <v>13</v>
      </c>
      <c r="K3102" s="998">
        <v>399.96</v>
      </c>
      <c r="L3102" s="996">
        <f>INT(base[[#This Row],[Data de liquidação]])</f>
        <v>46210</v>
      </c>
      <c r="M3102" s="998">
        <f>base[[#This Row],[L/P Bruto]]-base[[#This Row],[L/P Líquido]]</f>
        <v>1.4998429319371738</v>
      </c>
      <c r="N3102" s="998">
        <f>base[[#This Row],[L/P Líquido]]/base[[#This Row],[Stake/Responsabilidade]]</f>
        <v>7.9582958295829578E-2</v>
      </c>
      <c r="O3102" s="1000">
        <f>IF(base[[#This Row],[L/P Líquido]]&gt;0,1,0)</f>
        <v>1</v>
      </c>
      <c r="P3102" s="1000" t="s">
        <v>3331</v>
      </c>
      <c r="Q3102" s="1000" t="str">
        <f>LEFT(base[[#This Row],[Evento / Mercado]],FIND("vs",base[[#This Row],[Evento / Mercado]])-2)</f>
        <v>Argentina</v>
      </c>
      <c r="R3102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4" t="str">
        <f>LEFT(base[[#This Row],[Evento / Mercado]],FIND("/",base[[#This Row],[Evento / Mercado]])-2)</f>
        <v>Argentina vs Egypt</v>
      </c>
      <c r="T3102" s="1420">
        <f>base[[#This Row],[Data de liquidação]]</f>
        <v>46210.663402777776</v>
      </c>
    </row>
    <row r="3103" spans="2:20" ht="15" customHeight="1">
      <c r="B3103" s="995" t="s">
        <v>3728</v>
      </c>
      <c r="C3103" s="947" t="s">
        <v>3555</v>
      </c>
      <c r="D3103" s="1387">
        <v>46210.663402777776</v>
      </c>
      <c r="E3103" s="997">
        <v>17.73</v>
      </c>
      <c r="F3103" s="654">
        <v>4.4999999999999998E-2</v>
      </c>
      <c r="G3103" s="998">
        <f t="shared" si="69"/>
        <v>18.565445026178011</v>
      </c>
      <c r="H3103" s="998" t="s">
        <v>3330</v>
      </c>
      <c r="I3103" s="999" t="s">
        <v>3566</v>
      </c>
      <c r="J3103" s="998">
        <f>(14*99.97+4.5*97.23)/base[[#This Row],[Stake/Responsabilidade]]</f>
        <v>9.3159989858012171</v>
      </c>
      <c r="K3103" s="998">
        <f>99.97+97.23</f>
        <v>197.2</v>
      </c>
      <c r="L3103" s="996">
        <f>INT(base[[#This Row],[Data de liquidação]])</f>
        <v>46210</v>
      </c>
      <c r="M3103" s="998">
        <f>base[[#This Row],[L/P Bruto]]-base[[#This Row],[L/P Líquido]]</f>
        <v>0.83544502617801086</v>
      </c>
      <c r="N3103" s="998">
        <f>base[[#This Row],[L/P Líquido]]/base[[#This Row],[Stake/Responsabilidade]]</f>
        <v>8.9908722109533476E-2</v>
      </c>
      <c r="O3103" s="1000">
        <f>IF(base[[#This Row],[L/P Líquido]]&gt;0,1,0)</f>
        <v>1</v>
      </c>
      <c r="P3103" s="1000"/>
      <c r="Q3103" s="1000" t="str">
        <f>LEFT(base[[#This Row],[Evento / Mercado]],FIND("vs",base[[#This Row],[Evento / Mercado]])-2)</f>
        <v>Argentina</v>
      </c>
      <c r="R3103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4" t="str">
        <f>LEFT(base[[#This Row],[Evento / Mercado]],FIND("/",base[[#This Row],[Evento / Mercado]])-2)</f>
        <v>Argentina vs Egypt</v>
      </c>
      <c r="T3103" s="1420">
        <f>base[[#This Row],[Data de liquidação]]</f>
        <v>46210.663402777776</v>
      </c>
    </row>
    <row r="3104" spans="2:20" ht="15" customHeight="1">
      <c r="B3104" s="1005" t="s">
        <v>3733</v>
      </c>
      <c r="C3104" s="935" t="s">
        <v>3556</v>
      </c>
      <c r="D3104" s="1388">
        <v>46211.846585648149</v>
      </c>
      <c r="E3104" s="1007">
        <v>-10</v>
      </c>
      <c r="F3104" s="654">
        <v>4.4999999999999998E-2</v>
      </c>
      <c r="G3104" s="1008">
        <f t="shared" ref="G3104:G3106" si="70">IF(E3104&gt;0,E3104/(1-F3104),E3104)</f>
        <v>-10</v>
      </c>
      <c r="H3104" s="983" t="s">
        <v>1666</v>
      </c>
      <c r="I3104" s="1009" t="s">
        <v>1665</v>
      </c>
      <c r="J3104" s="1008">
        <v>2.35</v>
      </c>
      <c r="K3104" s="1008">
        <v>10</v>
      </c>
      <c r="L3104" s="1006">
        <f>INT(base[[#This Row],[Data de liquidação]])</f>
        <v>46211</v>
      </c>
      <c r="M3104" s="1008">
        <f>base[[#This Row],[L/P Bruto]]-base[[#This Row],[L/P Líquido]]</f>
        <v>0</v>
      </c>
      <c r="N3104" s="1008">
        <f>base[[#This Row],[L/P Líquido]]/base[[#This Row],[Stake/Responsabilidade]]</f>
        <v>-1</v>
      </c>
      <c r="O3104" s="1010">
        <f>IF(base[[#This Row],[L/P Líquido]]&gt;0,1,0)</f>
        <v>0</v>
      </c>
      <c r="P3104" s="1010"/>
      <c r="Q3104" s="1010" t="str">
        <f>LEFT(base[[#This Row],[Evento / Mercado]],FIND("vs",base[[#This Row],[Evento / Mercado]])-2)</f>
        <v>CDT Real Oruro</v>
      </c>
      <c r="R310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4" t="str">
        <f>LEFT(base[[#This Row],[Evento / Mercado]],FIND("/",base[[#This Row],[Evento / Mercado]])-2)</f>
        <v>CDT Real Oruro vs Universitario de Vinto</v>
      </c>
      <c r="T3104" s="1420">
        <f>base[[#This Row],[Data de liquidação]]</f>
        <v>46211.846585648149</v>
      </c>
    </row>
    <row r="3105" spans="2:20" ht="15" customHeight="1">
      <c r="B3105" s="1005" t="s">
        <v>3732</v>
      </c>
      <c r="C3105" s="935" t="s">
        <v>3556</v>
      </c>
      <c r="D3105" s="1388">
        <v>46211.873703703706</v>
      </c>
      <c r="E3105" s="1007">
        <v>-150</v>
      </c>
      <c r="F3105" s="654">
        <v>4.4999999999999998E-2</v>
      </c>
      <c r="G3105" s="1008">
        <f t="shared" si="70"/>
        <v>-150</v>
      </c>
      <c r="H3105" s="983" t="s">
        <v>1666</v>
      </c>
      <c r="I3105" s="981" t="s">
        <v>1715</v>
      </c>
      <c r="J3105" s="1008">
        <v>21</v>
      </c>
      <c r="K3105" s="1008">
        <v>150</v>
      </c>
      <c r="L3105" s="1006">
        <f>INT(base[[#This Row],[Data de liquidação]])</f>
        <v>46211</v>
      </c>
      <c r="M3105" s="1008">
        <f>base[[#This Row],[L/P Bruto]]-base[[#This Row],[L/P Líquido]]</f>
        <v>0</v>
      </c>
      <c r="N3105" s="1008">
        <f>base[[#This Row],[L/P Líquido]]/base[[#This Row],[Stake/Responsabilidade]]</f>
        <v>-1</v>
      </c>
      <c r="O3105" s="1010">
        <f>IF(base[[#This Row],[L/P Líquido]]&gt;0,1,0)</f>
        <v>0</v>
      </c>
      <c r="P3105" s="1010"/>
      <c r="Q3105" s="1010" t="str">
        <f>LEFT(base[[#This Row],[Evento / Mercado]],FIND("vs",base[[#This Row],[Evento / Mercado]])-2)</f>
        <v>CDT Real Oruro</v>
      </c>
      <c r="R310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4" t="str">
        <f>LEFT(base[[#This Row],[Evento / Mercado]],FIND("/",base[[#This Row],[Evento / Mercado]])-2)</f>
        <v>CDT Real Oruro vs Universitario de Vinto</v>
      </c>
      <c r="T3105" s="1420">
        <f>base[[#This Row],[Data de liquidação]]</f>
        <v>46211.873703703706</v>
      </c>
    </row>
    <row r="3106" spans="2:20" ht="15" customHeight="1">
      <c r="B3106" s="1005" t="s">
        <v>3731</v>
      </c>
      <c r="C3106" s="935" t="s">
        <v>3556</v>
      </c>
      <c r="D3106" s="1388">
        <v>46211.923090277778</v>
      </c>
      <c r="E3106" s="1007">
        <v>6.23</v>
      </c>
      <c r="F3106" s="654">
        <v>4.4999999999999998E-2</v>
      </c>
      <c r="G3106" s="1008">
        <f t="shared" si="70"/>
        <v>6.5235602094240841</v>
      </c>
      <c r="H3106" s="983" t="s">
        <v>1666</v>
      </c>
      <c r="I3106" s="981" t="s">
        <v>1715</v>
      </c>
      <c r="J3106" s="1008">
        <v>24</v>
      </c>
      <c r="K3106" s="1008">
        <v>149.96</v>
      </c>
      <c r="L3106" s="1006">
        <f>INT(base[[#This Row],[Data de liquidação]])</f>
        <v>46211</v>
      </c>
      <c r="M3106" s="1008">
        <f>base[[#This Row],[L/P Bruto]]-base[[#This Row],[L/P Líquido]]</f>
        <v>0.29356020942408367</v>
      </c>
      <c r="N3106" s="1008">
        <f>base[[#This Row],[L/P Líquido]]/base[[#This Row],[Stake/Responsabilidade]]</f>
        <v>4.1544411843158179E-2</v>
      </c>
      <c r="O3106" s="1010">
        <f>IF(base[[#This Row],[L/P Líquido]]&gt;0,1,0)</f>
        <v>1</v>
      </c>
      <c r="P3106" s="1010"/>
      <c r="Q3106" s="1010" t="str">
        <f>LEFT(base[[#This Row],[Evento / Mercado]],FIND("vs",base[[#This Row],[Evento / Mercado]])-2)</f>
        <v>Hartford Athletic FC</v>
      </c>
      <c r="R310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4" t="str">
        <f>LEFT(base[[#This Row],[Evento / Mercado]],FIND("/",base[[#This Row],[Evento / Mercado]])-2)</f>
        <v>Hartford Athletic FC vs Orange County SC</v>
      </c>
      <c r="T3106" s="1420">
        <f>base[[#This Row],[Data de liquidação]]</f>
        <v>46211.923090277778</v>
      </c>
    </row>
    <row r="3107" spans="2:20" ht="15" customHeight="1">
      <c r="B3107" s="1016" t="s">
        <v>3738</v>
      </c>
      <c r="C3107" s="935" t="s">
        <v>3556</v>
      </c>
      <c r="D3107" s="1389">
        <v>46212.663217592592</v>
      </c>
      <c r="E3107" s="1018">
        <v>-30.6</v>
      </c>
      <c r="F3107" s="654">
        <v>4.4999999999999998E-2</v>
      </c>
      <c r="G3107" s="1019">
        <f t="shared" ref="G3107:G3113" si="71">IF(E3107&gt;0,E3107/(1-F3107),E3107)</f>
        <v>-30.6</v>
      </c>
      <c r="H3107" s="983" t="s">
        <v>1666</v>
      </c>
      <c r="I3107" s="1020" t="s">
        <v>1777</v>
      </c>
      <c r="J3107" s="1019">
        <v>2.02</v>
      </c>
      <c r="K3107" s="1019">
        <v>30.6</v>
      </c>
      <c r="L3107" s="1017">
        <f>INT(base[[#This Row],[Data de liquidação]])</f>
        <v>46212</v>
      </c>
      <c r="M3107" s="1019">
        <f>base[[#This Row],[L/P Bruto]]-base[[#This Row],[L/P Líquido]]</f>
        <v>0</v>
      </c>
      <c r="N3107" s="1019">
        <f>base[[#This Row],[L/P Líquido]]/base[[#This Row],[Stake/Responsabilidade]]</f>
        <v>-1</v>
      </c>
      <c r="O3107" s="1021">
        <f>IF(base[[#This Row],[L/P Líquido]]&gt;0,1,0)</f>
        <v>0</v>
      </c>
      <c r="P3107" s="1021"/>
      <c r="Q3107" s="1021" t="str">
        <f>LEFT(base[[#This Row],[Evento / Mercado]],FIND("vs",base[[#This Row],[Evento / Mercado]])-2)</f>
        <v>Dinamo Minsk</v>
      </c>
      <c r="R3107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4" t="str">
        <f>LEFT(base[[#This Row],[Evento / Mercado]],FIND("/",base[[#This Row],[Evento / Mercado]])-2)</f>
        <v>Dinamo Minsk vs FK Sileks</v>
      </c>
      <c r="T3107" s="1420">
        <f>base[[#This Row],[Data de liquidação]]</f>
        <v>46212.663217592592</v>
      </c>
    </row>
    <row r="3108" spans="2:20" ht="15" customHeight="1">
      <c r="B3108" s="1016" t="s">
        <v>3737</v>
      </c>
      <c r="C3108" s="935" t="s">
        <v>3556</v>
      </c>
      <c r="D3108" s="1389">
        <v>46212.792164351849</v>
      </c>
      <c r="E3108" s="1018">
        <v>19.78</v>
      </c>
      <c r="F3108" s="654">
        <v>4.4999999999999998E-2</v>
      </c>
      <c r="G3108" s="1019">
        <f t="shared" si="71"/>
        <v>20.712041884816756</v>
      </c>
      <c r="H3108" s="1019" t="s">
        <v>3334</v>
      </c>
      <c r="I3108" s="1020" t="s">
        <v>627</v>
      </c>
      <c r="J3108" s="1019">
        <v>22</v>
      </c>
      <c r="K3108" s="1019">
        <v>434.91</v>
      </c>
      <c r="L3108" s="1017">
        <f>INT(base[[#This Row],[Data de liquidação]])</f>
        <v>46212</v>
      </c>
      <c r="M3108" s="1019">
        <f>base[[#This Row],[L/P Bruto]]-base[[#This Row],[L/P Líquido]]</f>
        <v>0.93204188481675487</v>
      </c>
      <c r="N3108" s="1019">
        <f>base[[#This Row],[L/P Líquido]]/base[[#This Row],[Stake/Responsabilidade]]</f>
        <v>4.5480674162470397E-2</v>
      </c>
      <c r="O3108" s="1021">
        <f>IF(base[[#This Row],[L/P Líquido]]&gt;0,1,0)</f>
        <v>1</v>
      </c>
      <c r="P3108" s="1021"/>
      <c r="Q3108" s="1021" t="str">
        <f>LEFT(base[[#This Row],[Evento / Mercado]],FIND("vs",base[[#This Row],[Evento / Mercado]])-2)</f>
        <v>France</v>
      </c>
      <c r="R3108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4" t="str">
        <f>LEFT(base[[#This Row],[Evento / Mercado]],FIND("/",base[[#This Row],[Evento / Mercado]])-2)</f>
        <v>France vs Morocco</v>
      </c>
      <c r="T3108" s="1420">
        <f>base[[#This Row],[Data de liquidação]]</f>
        <v>46212.792164351849</v>
      </c>
    </row>
    <row r="3109" spans="2:20" ht="15" customHeight="1">
      <c r="B3109" s="1016" t="s">
        <v>3737</v>
      </c>
      <c r="C3109" s="947" t="s">
        <v>3555</v>
      </c>
      <c r="D3109" s="1389">
        <v>46212.792164351849</v>
      </c>
      <c r="E3109" s="1018">
        <v>-39.47</v>
      </c>
      <c r="F3109" s="654">
        <v>4.4999999999999998E-2</v>
      </c>
      <c r="G3109" s="1019">
        <f t="shared" si="71"/>
        <v>-39.47</v>
      </c>
      <c r="H3109" s="938" t="s">
        <v>3253</v>
      </c>
      <c r="I3109" s="939" t="s">
        <v>3254</v>
      </c>
      <c r="J3109" s="1019">
        <v>8.6</v>
      </c>
      <c r="K3109" s="1019">
        <v>39.47</v>
      </c>
      <c r="L3109" s="1017">
        <f>INT(base[[#This Row],[Data de liquidação]])</f>
        <v>46212</v>
      </c>
      <c r="M3109" s="1019">
        <f>base[[#This Row],[L/P Bruto]]-base[[#This Row],[L/P Líquido]]</f>
        <v>0</v>
      </c>
      <c r="N3109" s="1019">
        <f>base[[#This Row],[L/P Líquido]]/base[[#This Row],[Stake/Responsabilidade]]</f>
        <v>-1</v>
      </c>
      <c r="O3109" s="1021">
        <f>IF(base[[#This Row],[L/P Líquido]]&gt;0,1,0)</f>
        <v>0</v>
      </c>
      <c r="P3109" s="1021"/>
      <c r="Q3109" s="1021" t="str">
        <f>LEFT(base[[#This Row],[Evento / Mercado]],FIND("vs",base[[#This Row],[Evento / Mercado]])-2)</f>
        <v>France</v>
      </c>
      <c r="R3109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4" t="str">
        <f>LEFT(base[[#This Row],[Evento / Mercado]],FIND("/",base[[#This Row],[Evento / Mercado]])-2)</f>
        <v>France vs Morocco</v>
      </c>
      <c r="T3109" s="1420">
        <f>base[[#This Row],[Data de liquidação]]</f>
        <v>46212.792164351849</v>
      </c>
    </row>
    <row r="3110" spans="2:20" ht="15" customHeight="1">
      <c r="B3110" s="1016" t="s">
        <v>3736</v>
      </c>
      <c r="C3110" s="947" t="s">
        <v>3555</v>
      </c>
      <c r="D3110" s="1389">
        <v>46212.792500000003</v>
      </c>
      <c r="E3110" s="1018">
        <v>88.74</v>
      </c>
      <c r="F3110" s="654">
        <v>4.4999999999999998E-2</v>
      </c>
      <c r="G3110" s="1019">
        <f t="shared" si="71"/>
        <v>92.921465968586389</v>
      </c>
      <c r="H3110" s="938" t="s">
        <v>3253</v>
      </c>
      <c r="I3110" s="939" t="s">
        <v>1555</v>
      </c>
      <c r="J3110" s="1019">
        <v>4</v>
      </c>
      <c r="K3110" s="1019">
        <v>300</v>
      </c>
      <c r="L3110" s="1017">
        <f>INT(base[[#This Row],[Data de liquidação]])</f>
        <v>46212</v>
      </c>
      <c r="M3110" s="1019">
        <f>base[[#This Row],[L/P Bruto]]-base[[#This Row],[L/P Líquido]]</f>
        <v>4.1814659685863944</v>
      </c>
      <c r="N3110" s="1019">
        <f>base[[#This Row],[L/P Líquido]]/base[[#This Row],[Stake/Responsabilidade]]</f>
        <v>0.29580000000000001</v>
      </c>
      <c r="O3110" s="1021">
        <f>IF(base[[#This Row],[L/P Líquido]]&gt;0,1,0)</f>
        <v>1</v>
      </c>
      <c r="P3110" s="1021"/>
      <c r="Q3110" s="1021" t="str">
        <f>LEFT(base[[#This Row],[Evento / Mercado]],FIND("vs",base[[#This Row],[Evento / Mercado]])-2)</f>
        <v>France</v>
      </c>
      <c r="R3110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4" t="str">
        <f>LEFT(base[[#This Row],[Evento / Mercado]],FIND("/",base[[#This Row],[Evento / Mercado]])-2)</f>
        <v>France vs Morocco</v>
      </c>
      <c r="T3110" s="1420">
        <f>base[[#This Row],[Data de liquidação]]</f>
        <v>46212.792500000003</v>
      </c>
    </row>
    <row r="3111" spans="2:20" ht="15" customHeight="1">
      <c r="B3111" s="1016" t="s">
        <v>3736</v>
      </c>
      <c r="C3111" s="935" t="s">
        <v>3556</v>
      </c>
      <c r="D3111" s="1389">
        <v>46212.792511574073</v>
      </c>
      <c r="E3111" s="1018">
        <v>12.63</v>
      </c>
      <c r="F3111" s="654">
        <v>4.4999999999999998E-2</v>
      </c>
      <c r="G3111" s="1019">
        <f t="shared" si="71"/>
        <v>13.225130890052357</v>
      </c>
      <c r="H3111" s="1019" t="s">
        <v>3330</v>
      </c>
      <c r="I3111" s="1020" t="s">
        <v>3566</v>
      </c>
      <c r="J3111" s="1019">
        <v>7.4</v>
      </c>
      <c r="K3111" s="1019">
        <v>100.03</v>
      </c>
      <c r="L3111" s="1017">
        <f>INT(base[[#This Row],[Data de liquidação]])</f>
        <v>46212</v>
      </c>
      <c r="M3111" s="1019">
        <f>base[[#This Row],[L/P Bruto]]-base[[#This Row],[L/P Líquido]]</f>
        <v>0.59513089005235642</v>
      </c>
      <c r="N3111" s="1019">
        <f>base[[#This Row],[L/P Líquido]]/base[[#This Row],[Stake/Responsabilidade]]</f>
        <v>0.12626212136359094</v>
      </c>
      <c r="O3111" s="1021">
        <f>IF(base[[#This Row],[L/P Líquido]]&gt;0,1,0)</f>
        <v>1</v>
      </c>
      <c r="P3111" s="1021"/>
      <c r="Q3111" s="1021" t="str">
        <f>LEFT(base[[#This Row],[Evento / Mercado]],FIND("vs",base[[#This Row],[Evento / Mercado]])-2)</f>
        <v>France</v>
      </c>
      <c r="R3111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4" t="str">
        <f>LEFT(base[[#This Row],[Evento / Mercado]],FIND("/",base[[#This Row],[Evento / Mercado]])-2)</f>
        <v>France vs Morocco</v>
      </c>
      <c r="T3111" s="1420">
        <f>base[[#This Row],[Data de liquidação]]</f>
        <v>46212.792511574073</v>
      </c>
    </row>
    <row r="3112" spans="2:20" ht="15" customHeight="1">
      <c r="B3112" s="1016" t="s">
        <v>3735</v>
      </c>
      <c r="C3112" s="935" t="s">
        <v>3556</v>
      </c>
      <c r="D3112" s="1389">
        <v>46212.795856481483</v>
      </c>
      <c r="E3112" s="1018">
        <v>47.75</v>
      </c>
      <c r="F3112" s="654">
        <v>4.4999999999999998E-2</v>
      </c>
      <c r="G3112" s="1019">
        <f t="shared" si="71"/>
        <v>50</v>
      </c>
      <c r="H3112" s="1019" t="s">
        <v>3581</v>
      </c>
      <c r="I3112" s="1020" t="s">
        <v>1781</v>
      </c>
      <c r="J3112" s="1019">
        <v>1.3</v>
      </c>
      <c r="K3112" s="1019">
        <v>50</v>
      </c>
      <c r="L3112" s="1017">
        <f>INT(base[[#This Row],[Data de liquidação]])</f>
        <v>46212</v>
      </c>
      <c r="M3112" s="1019">
        <f>base[[#This Row],[L/P Bruto]]-base[[#This Row],[L/P Líquido]]</f>
        <v>2.25</v>
      </c>
      <c r="N3112" s="1019">
        <f>base[[#This Row],[L/P Líquido]]/base[[#This Row],[Stake/Responsabilidade]]</f>
        <v>0.95499999999999996</v>
      </c>
      <c r="O3112" s="1021">
        <f>IF(base[[#This Row],[L/P Líquido]]&gt;0,1,0)</f>
        <v>1</v>
      </c>
      <c r="P3112" s="1021"/>
      <c r="Q3112" s="1021" t="str">
        <f>LEFT(base[[#This Row],[Evento / Mercado]],FIND("vs",base[[#This Row],[Evento / Mercado]])-2)</f>
        <v>France</v>
      </c>
      <c r="R3112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4" t="str">
        <f>LEFT(base[[#This Row],[Evento / Mercado]],FIND("/",base[[#This Row],[Evento / Mercado]])-2)</f>
        <v>France vs Morocco</v>
      </c>
      <c r="T3112" s="1420">
        <f>base[[#This Row],[Data de liquidação]]</f>
        <v>46212.795856481483</v>
      </c>
    </row>
    <row r="3113" spans="2:20" ht="15" customHeight="1">
      <c r="B3113" s="1016" t="s">
        <v>3734</v>
      </c>
      <c r="C3113" s="935" t="s">
        <v>3556</v>
      </c>
      <c r="D3113" s="1389">
        <v>46212.956620370373</v>
      </c>
      <c r="E3113" s="1018">
        <v>9.5500000000000007</v>
      </c>
      <c r="F3113" s="654">
        <v>4.4999999999999998E-2</v>
      </c>
      <c r="G3113" s="1019">
        <f t="shared" si="71"/>
        <v>10.000000000000002</v>
      </c>
      <c r="H3113" s="1019" t="s">
        <v>1666</v>
      </c>
      <c r="I3113" s="1020" t="s">
        <v>1759</v>
      </c>
      <c r="J3113" s="1019">
        <v>13.5</v>
      </c>
      <c r="K3113" s="1019">
        <v>125</v>
      </c>
      <c r="L3113" s="1017">
        <f>INT(base[[#This Row],[Data de liquidação]])</f>
        <v>46212</v>
      </c>
      <c r="M3113" s="1019">
        <f>base[[#This Row],[L/P Bruto]]-base[[#This Row],[L/P Líquido]]</f>
        <v>0.45000000000000107</v>
      </c>
      <c r="N3113" s="1019">
        <f>base[[#This Row],[L/P Líquido]]/base[[#This Row],[Stake/Responsabilidade]]</f>
        <v>7.640000000000001E-2</v>
      </c>
      <c r="O3113" s="1021">
        <f>IF(base[[#This Row],[L/P Líquido]]&gt;0,1,0)</f>
        <v>1</v>
      </c>
      <c r="P3113" s="1021"/>
      <c r="Q3113" s="1021" t="str">
        <f>LEFT(base[[#This Row],[Evento / Mercado]],FIND("vs",base[[#This Row],[Evento / Mercado]])-2)</f>
        <v>Nacional Potosi</v>
      </c>
      <c r="R3113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4" t="str">
        <f>LEFT(base[[#This Row],[Evento / Mercado]],FIND("/",base[[#This Row],[Evento / Mercado]])-2)</f>
        <v>Nacional Potosi vs Club Aurora</v>
      </c>
      <c r="T3113" s="1420">
        <f>base[[#This Row],[Data de liquidação]]</f>
        <v>46212.956620370373</v>
      </c>
    </row>
    <row r="3114" spans="2:20" ht="15" customHeight="1">
      <c r="B3114" s="1022" t="s">
        <v>3764</v>
      </c>
      <c r="C3114" s="947" t="s">
        <v>3555</v>
      </c>
      <c r="D3114" s="1390">
        <v>46213.623622685183</v>
      </c>
      <c r="E3114" s="1024">
        <v>-38.46</v>
      </c>
      <c r="F3114" s="654">
        <v>4.4999999999999998E-2</v>
      </c>
      <c r="G3114" s="1025">
        <f t="shared" ref="G3114:G3130" si="72">IF(E3114&gt;0,E3114/(1-F3114),E3114)</f>
        <v>-38.46</v>
      </c>
      <c r="H3114" s="938" t="s">
        <v>3253</v>
      </c>
      <c r="I3114" s="939" t="s">
        <v>3254</v>
      </c>
      <c r="J3114" s="1025">
        <v>8.8000000000000007</v>
      </c>
      <c r="K3114" s="1025">
        <v>38.46</v>
      </c>
      <c r="L3114" s="1023">
        <f>INT(base[[#This Row],[Data de liquidação]])</f>
        <v>46213</v>
      </c>
      <c r="M3114" s="1025">
        <f>base[[#This Row],[L/P Bruto]]-base[[#This Row],[L/P Líquido]]</f>
        <v>0</v>
      </c>
      <c r="N3114" s="1025">
        <f>base[[#This Row],[L/P Líquido]]/base[[#This Row],[Stake/Responsabilidade]]</f>
        <v>-1</v>
      </c>
      <c r="O3114" s="1027">
        <f>IF(base[[#This Row],[L/P Líquido]]&gt;0,1,0)</f>
        <v>0</v>
      </c>
      <c r="P3114" s="1027"/>
      <c r="Q3114" s="1027" t="str">
        <f>LEFT(base[[#This Row],[Evento / Mercado]],FIND("vs",base[[#This Row],[Evento / Mercado]])-2)</f>
        <v>VPS</v>
      </c>
      <c r="R311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4" t="str">
        <f>LEFT(base[[#This Row],[Evento / Mercado]],FIND("/",base[[#This Row],[Evento / Mercado]])-2)</f>
        <v>VPS vs SJK</v>
      </c>
      <c r="T3114" s="1420">
        <f>base[[#This Row],[Data de liquidação]]</f>
        <v>46213.623622685183</v>
      </c>
    </row>
    <row r="3115" spans="2:20" ht="15" customHeight="1">
      <c r="B3115" s="1022" t="s">
        <v>3762</v>
      </c>
      <c r="C3115" s="935" t="s">
        <v>3556</v>
      </c>
      <c r="D3115" s="1390">
        <v>46213.623773148145</v>
      </c>
      <c r="E3115" s="1024">
        <v>20.64</v>
      </c>
      <c r="F3115" s="654">
        <v>4.4999999999999998E-2</v>
      </c>
      <c r="G3115" s="1025">
        <f t="shared" si="72"/>
        <v>21.612565445026181</v>
      </c>
      <c r="H3115" s="1025" t="s">
        <v>3330</v>
      </c>
      <c r="I3115" s="1248" t="s">
        <v>4368</v>
      </c>
      <c r="J3115" s="1025">
        <v>4.3</v>
      </c>
      <c r="K3115" s="1025">
        <v>99.99</v>
      </c>
      <c r="L3115" s="1023">
        <f>INT(base[[#This Row],[Data de liquidação]])</f>
        <v>46213</v>
      </c>
      <c r="M3115" s="1025">
        <f>base[[#This Row],[L/P Bruto]]-base[[#This Row],[L/P Líquido]]</f>
        <v>0.9725654450261807</v>
      </c>
      <c r="N3115" s="1025">
        <f>base[[#This Row],[L/P Líquido]]/base[[#This Row],[Stake/Responsabilidade]]</f>
        <v>0.20642064206420643</v>
      </c>
      <c r="O3115" s="1027">
        <f>IF(base[[#This Row],[L/P Líquido]]&gt;0,1,0)</f>
        <v>1</v>
      </c>
      <c r="P3115" s="1027"/>
      <c r="Q3115" s="1027" t="str">
        <f>LEFT(base[[#This Row],[Evento / Mercado]],FIND("vs",base[[#This Row],[Evento / Mercado]])-2)</f>
        <v>VPS</v>
      </c>
      <c r="R311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4" t="str">
        <f>LEFT(base[[#This Row],[Evento / Mercado]],FIND("/",base[[#This Row],[Evento / Mercado]])-2)</f>
        <v>VPS vs SJK</v>
      </c>
      <c r="T3115" s="1420">
        <f>base[[#This Row],[Data de liquidação]]</f>
        <v>46213.623773148145</v>
      </c>
    </row>
    <row r="3116" spans="2:20" ht="15" customHeight="1">
      <c r="B3116" s="1022" t="s">
        <v>3762</v>
      </c>
      <c r="C3116" s="947" t="s">
        <v>3555</v>
      </c>
      <c r="D3116" s="1390">
        <v>46213.623773148145</v>
      </c>
      <c r="E3116" s="1024">
        <v>88.36</v>
      </c>
      <c r="F3116" s="654">
        <v>4.4999999999999998E-2</v>
      </c>
      <c r="G3116" s="1025">
        <f t="shared" si="72"/>
        <v>92.52356020942409</v>
      </c>
      <c r="H3116" s="938" t="s">
        <v>3253</v>
      </c>
      <c r="I3116" s="939" t="s">
        <v>1555</v>
      </c>
      <c r="J3116" s="1025">
        <v>4.3</v>
      </c>
      <c r="K3116" s="1025">
        <v>300</v>
      </c>
      <c r="L3116" s="1023">
        <f>INT(base[[#This Row],[Data de liquidação]])</f>
        <v>46213</v>
      </c>
      <c r="M3116" s="1025">
        <f>base[[#This Row],[L/P Bruto]]-base[[#This Row],[L/P Líquido]]</f>
        <v>4.1635602094240909</v>
      </c>
      <c r="N3116" s="1025">
        <f>base[[#This Row],[L/P Líquido]]/base[[#This Row],[Stake/Responsabilidade]]</f>
        <v>0.29453333333333331</v>
      </c>
      <c r="O3116" s="1027">
        <f>IF(base[[#This Row],[L/P Líquido]]&gt;0,1,0)</f>
        <v>1</v>
      </c>
      <c r="P3116" s="1027"/>
      <c r="Q3116" s="1027" t="str">
        <f>LEFT(base[[#This Row],[Evento / Mercado]],FIND("vs",base[[#This Row],[Evento / Mercado]])-2)</f>
        <v>VPS</v>
      </c>
      <c r="R311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4" t="str">
        <f>LEFT(base[[#This Row],[Evento / Mercado]],FIND("/",base[[#This Row],[Evento / Mercado]])-2)</f>
        <v>VPS vs SJK</v>
      </c>
      <c r="T3116" s="1420">
        <f>base[[#This Row],[Data de liquidação]]</f>
        <v>46213.623773148145</v>
      </c>
    </row>
    <row r="3117" spans="2:20" ht="15" customHeight="1">
      <c r="B3117" s="1022" t="s">
        <v>3761</v>
      </c>
      <c r="C3117" s="935" t="s">
        <v>3556</v>
      </c>
      <c r="D3117" s="1390">
        <v>46213.696423611109</v>
      </c>
      <c r="E3117" s="1024">
        <v>0.48</v>
      </c>
      <c r="F3117" s="654">
        <v>4.4999999999999998E-2</v>
      </c>
      <c r="G3117" s="1025">
        <f t="shared" si="72"/>
        <v>0.50261780104712039</v>
      </c>
      <c r="H3117" s="1025" t="s">
        <v>1666</v>
      </c>
      <c r="I3117" s="1026" t="s">
        <v>2362</v>
      </c>
      <c r="J3117" s="1025">
        <v>1.05</v>
      </c>
      <c r="K3117" s="1025">
        <v>10</v>
      </c>
      <c r="L3117" s="1023">
        <f>INT(base[[#This Row],[Data de liquidação]])</f>
        <v>46213</v>
      </c>
      <c r="M3117" s="1025">
        <f>base[[#This Row],[L/P Bruto]]-base[[#This Row],[L/P Líquido]]</f>
        <v>2.2617801047120412E-2</v>
      </c>
      <c r="N3117" s="1025">
        <f>base[[#This Row],[L/P Líquido]]/base[[#This Row],[Stake/Responsabilidade]]</f>
        <v>4.8000000000000001E-2</v>
      </c>
      <c r="O3117" s="1027">
        <f>IF(base[[#This Row],[L/P Líquido]]&gt;0,1,0)</f>
        <v>1</v>
      </c>
      <c r="P3117" s="1027"/>
      <c r="Q3117" s="1027" t="str">
        <f>LEFT(base[[#This Row],[Evento / Mercado]],FIND("vs",base[[#This Row],[Evento / Mercado]])-2)</f>
        <v>Waterford FC</v>
      </c>
      <c r="R311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4" t="str">
        <f>LEFT(base[[#This Row],[Evento / Mercado]],FIND("/",base[[#This Row],[Evento / Mercado]])-2)</f>
        <v>Waterford FC vs St. Patrick's Athletic</v>
      </c>
      <c r="T3117" s="1420">
        <f>base[[#This Row],[Data de liquidação]]</f>
        <v>46213.696423611109</v>
      </c>
    </row>
    <row r="3118" spans="2:20" ht="15" customHeight="1">
      <c r="B3118" s="1022" t="s">
        <v>3760</v>
      </c>
      <c r="C3118" s="935" t="s">
        <v>3556</v>
      </c>
      <c r="D3118" s="1390">
        <v>46213.736446759256</v>
      </c>
      <c r="E3118" s="1024">
        <v>25.76</v>
      </c>
      <c r="F3118" s="654">
        <v>4.4999999999999998E-2</v>
      </c>
      <c r="G3118" s="1025">
        <f t="shared" si="72"/>
        <v>26.973821989528798</v>
      </c>
      <c r="H3118" s="1025" t="s">
        <v>3271</v>
      </c>
      <c r="I3118" s="1026" t="s">
        <v>627</v>
      </c>
      <c r="J3118" s="1025">
        <v>17.5</v>
      </c>
      <c r="K3118" s="1025">
        <v>445.01</v>
      </c>
      <c r="L3118" s="1023">
        <f>INT(base[[#This Row],[Data de liquidação]])</f>
        <v>46213</v>
      </c>
      <c r="M3118" s="1025">
        <f>base[[#This Row],[L/P Bruto]]-base[[#This Row],[L/P Líquido]]</f>
        <v>1.2138219895287961</v>
      </c>
      <c r="N3118" s="1025">
        <f>base[[#This Row],[L/P Líquido]]/base[[#This Row],[Stake/Responsabilidade]]</f>
        <v>5.7886339632817245E-2</v>
      </c>
      <c r="O3118" s="1027">
        <f>IF(base[[#This Row],[L/P Líquido]]&gt;0,1,0)</f>
        <v>1</v>
      </c>
      <c r="P3118" s="1027"/>
      <c r="Q3118" s="1027" t="str">
        <f>LEFT(base[[#This Row],[Evento / Mercado]],FIND("vs",base[[#This Row],[Evento / Mercado]])-2)</f>
        <v>Dundalk</v>
      </c>
      <c r="R311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4" t="str">
        <f>LEFT(base[[#This Row],[Evento / Mercado]],FIND("/",base[[#This Row],[Evento / Mercado]])-2)</f>
        <v>Dundalk vs Drogheda United</v>
      </c>
      <c r="T3118" s="1420">
        <f>base[[#This Row],[Data de liquidação]]</f>
        <v>46213.736446759256</v>
      </c>
    </row>
    <row r="3119" spans="2:20" ht="15" customHeight="1">
      <c r="B3119" s="1022" t="s">
        <v>3760</v>
      </c>
      <c r="C3119" s="947" t="s">
        <v>3555</v>
      </c>
      <c r="D3119" s="1390">
        <v>46213.736446759256</v>
      </c>
      <c r="E3119" s="1024">
        <v>-39.47</v>
      </c>
      <c r="F3119" s="654">
        <v>4.4999999999999998E-2</v>
      </c>
      <c r="G3119" s="1025">
        <f t="shared" si="72"/>
        <v>-39.47</v>
      </c>
      <c r="H3119" s="938" t="s">
        <v>3253</v>
      </c>
      <c r="I3119" s="939" t="s">
        <v>3254</v>
      </c>
      <c r="J3119" s="1025">
        <v>8.6</v>
      </c>
      <c r="K3119" s="1025">
        <v>39.47</v>
      </c>
      <c r="L3119" s="1023">
        <f>INT(base[[#This Row],[Data de liquidação]])</f>
        <v>46213</v>
      </c>
      <c r="M3119" s="1025">
        <f>base[[#This Row],[L/P Bruto]]-base[[#This Row],[L/P Líquido]]</f>
        <v>0</v>
      </c>
      <c r="N3119" s="1025">
        <f>base[[#This Row],[L/P Líquido]]/base[[#This Row],[Stake/Responsabilidade]]</f>
        <v>-1</v>
      </c>
      <c r="O3119" s="1027">
        <f>IF(base[[#This Row],[L/P Líquido]]&gt;0,1,0)</f>
        <v>0</v>
      </c>
      <c r="P3119" s="1027"/>
      <c r="Q3119" s="1027" t="str">
        <f>LEFT(base[[#This Row],[Evento / Mercado]],FIND("vs",base[[#This Row],[Evento / Mercado]])-2)</f>
        <v>Dundalk</v>
      </c>
      <c r="R311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4" t="str">
        <f>LEFT(base[[#This Row],[Evento / Mercado]],FIND("/",base[[#This Row],[Evento / Mercado]])-2)</f>
        <v>Dundalk vs Drogheda United</v>
      </c>
      <c r="T3119" s="1420">
        <f>base[[#This Row],[Data de liquidação]]</f>
        <v>46213.736446759256</v>
      </c>
    </row>
    <row r="3120" spans="2:20" ht="15" customHeight="1">
      <c r="B3120" s="1022" t="s">
        <v>3759</v>
      </c>
      <c r="C3120" s="935" t="s">
        <v>3556</v>
      </c>
      <c r="D3120" s="1390">
        <v>46213.736527777779</v>
      </c>
      <c r="E3120" s="1024">
        <v>13.1</v>
      </c>
      <c r="F3120" s="654">
        <v>4.4999999999999998E-2</v>
      </c>
      <c r="G3120" s="1025">
        <f t="shared" si="72"/>
        <v>13.717277486910994</v>
      </c>
      <c r="H3120" s="1025" t="s">
        <v>3330</v>
      </c>
      <c r="I3120" s="1248" t="s">
        <v>4368</v>
      </c>
      <c r="J3120" s="1025">
        <v>5.9</v>
      </c>
      <c r="K3120" s="1025">
        <v>100.01</v>
      </c>
      <c r="L3120" s="1023">
        <f>INT(base[[#This Row],[Data de liquidação]])</f>
        <v>46213</v>
      </c>
      <c r="M3120" s="1025">
        <f>base[[#This Row],[L/P Bruto]]-base[[#This Row],[L/P Líquido]]</f>
        <v>0.61727748691099471</v>
      </c>
      <c r="N3120" s="1025">
        <f>base[[#This Row],[L/P Líquido]]/base[[#This Row],[Stake/Responsabilidade]]</f>
        <v>0.13098690130986901</v>
      </c>
      <c r="O3120" s="1027">
        <f>IF(base[[#This Row],[L/P Líquido]]&gt;0,1,0)</f>
        <v>1</v>
      </c>
      <c r="P3120" s="1027"/>
      <c r="Q3120" s="1027" t="str">
        <f>LEFT(base[[#This Row],[Evento / Mercado]],FIND("vs",base[[#This Row],[Evento / Mercado]])-2)</f>
        <v>Dundalk</v>
      </c>
      <c r="R312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4" t="str">
        <f>LEFT(base[[#This Row],[Evento / Mercado]],FIND("/",base[[#This Row],[Evento / Mercado]])-2)</f>
        <v>Dundalk vs Drogheda United</v>
      </c>
      <c r="T3120" s="1420">
        <f>base[[#This Row],[Data de liquidação]]</f>
        <v>46213.736527777779</v>
      </c>
    </row>
    <row r="3121" spans="2:20" ht="15" customHeight="1">
      <c r="B3121" s="1022" t="s">
        <v>3759</v>
      </c>
      <c r="C3121" s="947" t="s">
        <v>3555</v>
      </c>
      <c r="D3121" s="1390">
        <v>46213.736527777779</v>
      </c>
      <c r="E3121" s="1024">
        <v>23.94</v>
      </c>
      <c r="F3121" s="654">
        <v>4.4999999999999998E-2</v>
      </c>
      <c r="G3121" s="1025">
        <f t="shared" si="72"/>
        <v>25.068062827225134</v>
      </c>
      <c r="H3121" s="938" t="s">
        <v>3253</v>
      </c>
      <c r="I3121" s="939" t="s">
        <v>1555</v>
      </c>
      <c r="J3121" s="1025">
        <v>4.0999999999999996</v>
      </c>
      <c r="K3121" s="1025">
        <v>299.99</v>
      </c>
      <c r="L3121" s="1023">
        <f>INT(base[[#This Row],[Data de liquidação]])</f>
        <v>46213</v>
      </c>
      <c r="M3121" s="1025">
        <f>base[[#This Row],[L/P Bruto]]-base[[#This Row],[L/P Líquido]]</f>
        <v>1.1280628272251327</v>
      </c>
      <c r="N3121" s="1025">
        <f>base[[#This Row],[L/P Líquido]]/base[[#This Row],[Stake/Responsabilidade]]</f>
        <v>7.9802660088669625E-2</v>
      </c>
      <c r="O3121" s="1027">
        <f>IF(base[[#This Row],[L/P Líquido]]&gt;0,1,0)</f>
        <v>1</v>
      </c>
      <c r="P3121" s="1027"/>
      <c r="Q3121" s="1027" t="str">
        <f>LEFT(base[[#This Row],[Evento / Mercado]],FIND("vs",base[[#This Row],[Evento / Mercado]])-2)</f>
        <v>Dundalk</v>
      </c>
      <c r="R312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4" t="str">
        <f>LEFT(base[[#This Row],[Evento / Mercado]],FIND("/",base[[#This Row],[Evento / Mercado]])-2)</f>
        <v>Dundalk vs Drogheda United</v>
      </c>
      <c r="T3121" s="1420">
        <f>base[[#This Row],[Data de liquidação]]</f>
        <v>46213.736527777779</v>
      </c>
    </row>
    <row r="3122" spans="2:20" ht="15" customHeight="1">
      <c r="B3122" s="1022" t="s">
        <v>3758</v>
      </c>
      <c r="C3122" s="935" t="s">
        <v>3556</v>
      </c>
      <c r="D3122" s="1390">
        <v>46213.743993055556</v>
      </c>
      <c r="E3122" s="1024">
        <v>47.75</v>
      </c>
      <c r="F3122" s="654">
        <v>4.4999999999999998E-2</v>
      </c>
      <c r="G3122" s="1025">
        <f t="shared" si="72"/>
        <v>50</v>
      </c>
      <c r="H3122" s="1025" t="s">
        <v>3581</v>
      </c>
      <c r="I3122" s="1026" t="s">
        <v>315</v>
      </c>
      <c r="J3122" s="1025">
        <v>1.3</v>
      </c>
      <c r="K3122" s="1025">
        <v>50</v>
      </c>
      <c r="L3122" s="1023">
        <f>INT(base[[#This Row],[Data de liquidação]])</f>
        <v>46213</v>
      </c>
      <c r="M3122" s="1025">
        <f>base[[#This Row],[L/P Bruto]]-base[[#This Row],[L/P Líquido]]</f>
        <v>2.25</v>
      </c>
      <c r="N3122" s="1025">
        <f>base[[#This Row],[L/P Líquido]]/base[[#This Row],[Stake/Responsabilidade]]</f>
        <v>0.95499999999999996</v>
      </c>
      <c r="O3122" s="1027">
        <f>IF(base[[#This Row],[L/P Líquido]]&gt;0,1,0)</f>
        <v>1</v>
      </c>
      <c r="P3122" s="1027"/>
      <c r="Q3122" s="1027" t="str">
        <f>LEFT(base[[#This Row],[Evento / Mercado]],FIND("vs",base[[#This Row],[Evento / Mercado]])-2)</f>
        <v>Spain</v>
      </c>
      <c r="R312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4" t="str">
        <f>LEFT(base[[#This Row],[Evento / Mercado]],FIND("/",base[[#This Row],[Evento / Mercado]])-2)</f>
        <v>Spain vs Belgium</v>
      </c>
      <c r="T3122" s="1420">
        <f>base[[#This Row],[Data de liquidação]]</f>
        <v>46213.743993055556</v>
      </c>
    </row>
    <row r="3123" spans="2:20" ht="15" customHeight="1">
      <c r="B3123" s="1022" t="s">
        <v>3757</v>
      </c>
      <c r="C3123" s="935" t="s">
        <v>3556</v>
      </c>
      <c r="D3123" s="1390">
        <v>46213.748449074075</v>
      </c>
      <c r="E3123" s="1024">
        <v>-115.75</v>
      </c>
      <c r="F3123" s="654">
        <v>4.4999999999999998E-2</v>
      </c>
      <c r="G3123" s="1025">
        <f t="shared" si="72"/>
        <v>-115.75</v>
      </c>
      <c r="H3123" s="1025" t="s">
        <v>3581</v>
      </c>
      <c r="I3123" s="1026" t="s">
        <v>411</v>
      </c>
      <c r="J3123" s="1025">
        <v>1.25</v>
      </c>
      <c r="K3123" s="1025">
        <v>50</v>
      </c>
      <c r="L3123" s="1023">
        <f>INT(base[[#This Row],[Data de liquidação]])</f>
        <v>46213</v>
      </c>
      <c r="M3123" s="1025">
        <f>base[[#This Row],[L/P Bruto]]-base[[#This Row],[L/P Líquido]]</f>
        <v>0</v>
      </c>
      <c r="N3123" s="1025">
        <f>base[[#This Row],[L/P Líquido]]/base[[#This Row],[Stake/Responsabilidade]]</f>
        <v>-2.3149999999999999</v>
      </c>
      <c r="O3123" s="1027">
        <f>IF(base[[#This Row],[L/P Líquido]]&gt;0,1,0)</f>
        <v>0</v>
      </c>
      <c r="P3123" s="1027"/>
      <c r="Q3123" s="1027" t="str">
        <f>LEFT(base[[#This Row],[Evento / Mercado]],FIND("vs",base[[#This Row],[Evento / Mercado]])-2)</f>
        <v>Waterford FC</v>
      </c>
      <c r="R312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4" t="str">
        <f>LEFT(base[[#This Row],[Evento / Mercado]],FIND("/",base[[#This Row],[Evento / Mercado]])-2)</f>
        <v>Waterford FC vs St. Patrick's Athletic</v>
      </c>
      <c r="T3123" s="1420">
        <f>base[[#This Row],[Data de liquidação]]</f>
        <v>46213.748449074075</v>
      </c>
    </row>
    <row r="3124" spans="2:20" ht="15" customHeight="1">
      <c r="B3124" s="1022" t="s">
        <v>3756</v>
      </c>
      <c r="C3124" s="935" t="s">
        <v>3556</v>
      </c>
      <c r="D3124" s="1390">
        <v>46213.749606481484</v>
      </c>
      <c r="E3124" s="1024">
        <v>20.69</v>
      </c>
      <c r="F3124" s="654">
        <v>4.4999999999999998E-2</v>
      </c>
      <c r="G3124" s="1025">
        <f t="shared" si="72"/>
        <v>21.66492146596859</v>
      </c>
      <c r="H3124" s="1025" t="s">
        <v>3334</v>
      </c>
      <c r="I3124" s="1026" t="s">
        <v>627</v>
      </c>
      <c r="J3124" s="1025">
        <v>22</v>
      </c>
      <c r="K3124" s="1025">
        <v>455.07</v>
      </c>
      <c r="L3124" s="1023">
        <f>INT(base[[#This Row],[Data de liquidação]])</f>
        <v>46213</v>
      </c>
      <c r="M3124" s="1025">
        <f>base[[#This Row],[L/P Bruto]]-base[[#This Row],[L/P Líquido]]</f>
        <v>0.97492146596858831</v>
      </c>
      <c r="N3124" s="1025">
        <f>base[[#This Row],[L/P Líquido]]/base[[#This Row],[Stake/Responsabilidade]]</f>
        <v>4.5465532775177446E-2</v>
      </c>
      <c r="O3124" s="1027">
        <f>IF(base[[#This Row],[L/P Líquido]]&gt;0,1,0)</f>
        <v>1</v>
      </c>
      <c r="P3124" s="1027"/>
      <c r="Q3124" s="1027" t="str">
        <f>LEFT(base[[#This Row],[Evento / Mercado]],FIND("vs",base[[#This Row],[Evento / Mercado]])-2)</f>
        <v>Spain</v>
      </c>
      <c r="R312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4" t="str">
        <f>LEFT(base[[#This Row],[Evento / Mercado]],FIND("/",base[[#This Row],[Evento / Mercado]])-2)</f>
        <v>Spain vs Belgium</v>
      </c>
      <c r="T3124" s="1420">
        <f>base[[#This Row],[Data de liquidação]]</f>
        <v>46213.749606481484</v>
      </c>
    </row>
    <row r="3125" spans="2:20" ht="15" customHeight="1">
      <c r="B3125" s="1022" t="s">
        <v>3755</v>
      </c>
      <c r="C3125" s="935" t="s">
        <v>3556</v>
      </c>
      <c r="D3125" s="1390">
        <v>46213.872499999998</v>
      </c>
      <c r="E3125" s="1024">
        <v>-100</v>
      </c>
      <c r="F3125" s="654">
        <v>4.4999999999999998E-2</v>
      </c>
      <c r="G3125" s="1025">
        <f t="shared" si="72"/>
        <v>-100</v>
      </c>
      <c r="H3125" s="1025" t="s">
        <v>3581</v>
      </c>
      <c r="I3125" s="1026" t="s">
        <v>411</v>
      </c>
      <c r="J3125" s="1025">
        <v>1.5</v>
      </c>
      <c r="K3125" s="1025">
        <v>50</v>
      </c>
      <c r="L3125" s="1023">
        <f>INT(base[[#This Row],[Data de liquidação]])</f>
        <v>46213</v>
      </c>
      <c r="M3125" s="1025">
        <f>base[[#This Row],[L/P Bruto]]-base[[#This Row],[L/P Líquido]]</f>
        <v>0</v>
      </c>
      <c r="N3125" s="1025">
        <f>base[[#This Row],[L/P Líquido]]/base[[#This Row],[Stake/Responsabilidade]]</f>
        <v>-2</v>
      </c>
      <c r="O3125" s="1027">
        <f>IF(base[[#This Row],[L/P Líquido]]&gt;0,1,0)</f>
        <v>0</v>
      </c>
      <c r="P3125" s="1027"/>
      <c r="Q3125" s="1027" t="str">
        <f>LEFT(base[[#This Row],[Evento / Mercado]],FIND("vs",base[[#This Row],[Evento / Mercado]])-2)</f>
        <v>EC Juventude</v>
      </c>
      <c r="R312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4" t="str">
        <f>LEFT(base[[#This Row],[Evento / Mercado]],FIND("/",base[[#This Row],[Evento / Mercado]])-2)</f>
        <v>EC Juventude vs Vila Nova FC</v>
      </c>
      <c r="T3125" s="1420">
        <f>base[[#This Row],[Data de liquidação]]</f>
        <v>46213.872499999998</v>
      </c>
    </row>
    <row r="3126" spans="2:20" ht="15" customHeight="1">
      <c r="B3126" s="1022" t="s">
        <v>3754</v>
      </c>
      <c r="C3126" s="935" t="s">
        <v>3556</v>
      </c>
      <c r="D3126" s="1390">
        <v>46213.876712962963</v>
      </c>
      <c r="E3126" s="1024">
        <v>7.91</v>
      </c>
      <c r="F3126" s="654">
        <v>4.4999999999999998E-2</v>
      </c>
      <c r="G3126" s="1025">
        <f t="shared" si="72"/>
        <v>8.2827225130890056</v>
      </c>
      <c r="H3126" s="1025" t="s">
        <v>1666</v>
      </c>
      <c r="I3126" s="1026" t="s">
        <v>1759</v>
      </c>
      <c r="J3126" s="1025">
        <v>14.5</v>
      </c>
      <c r="K3126" s="1025">
        <v>111.78</v>
      </c>
      <c r="L3126" s="1023">
        <f>INT(base[[#This Row],[Data de liquidação]])</f>
        <v>46213</v>
      </c>
      <c r="M3126" s="1025">
        <f>base[[#This Row],[L/P Bruto]]-base[[#This Row],[L/P Líquido]]</f>
        <v>0.3727225130890055</v>
      </c>
      <c r="N3126" s="1025">
        <f>base[[#This Row],[L/P Líquido]]/base[[#This Row],[Stake/Responsabilidade]]</f>
        <v>7.0764000715691541E-2</v>
      </c>
      <c r="O3126" s="1027">
        <f>IF(base[[#This Row],[L/P Líquido]]&gt;0,1,0)</f>
        <v>1</v>
      </c>
      <c r="P3126" s="1027"/>
      <c r="Q3126" s="1027" t="str">
        <f>LEFT(base[[#This Row],[Evento / Mercado]],FIND("vs",base[[#This Row],[Evento / Mercado]])-2)</f>
        <v>Leones del Norte</v>
      </c>
      <c r="R312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4" t="str">
        <f>LEFT(base[[#This Row],[Evento / Mercado]],FIND("/",base[[#This Row],[Evento / Mercado]])-2)</f>
        <v>Leones del Norte vs Universidad Católica del Ecuador</v>
      </c>
      <c r="T3126" s="1420">
        <f>base[[#This Row],[Data de liquidação]]</f>
        <v>46213.876712962963</v>
      </c>
    </row>
    <row r="3127" spans="2:20" ht="15" customHeight="1">
      <c r="B3127" s="1022" t="s">
        <v>3753</v>
      </c>
      <c r="C3127" s="935" t="s">
        <v>3556</v>
      </c>
      <c r="D3127" s="1390">
        <v>46213.896006944444</v>
      </c>
      <c r="E3127" s="1024">
        <v>48.61</v>
      </c>
      <c r="F3127" s="654">
        <v>4.4999999999999998E-2</v>
      </c>
      <c r="G3127" s="1025">
        <f t="shared" si="72"/>
        <v>50.900523560209429</v>
      </c>
      <c r="H3127" s="1025" t="s">
        <v>3333</v>
      </c>
      <c r="I3127" s="1026" t="s">
        <v>3388</v>
      </c>
      <c r="J3127" s="1025">
        <v>2.35</v>
      </c>
      <c r="K3127" s="1025">
        <v>50</v>
      </c>
      <c r="L3127" s="1023">
        <f>INT(base[[#This Row],[Data de liquidação]])</f>
        <v>46213</v>
      </c>
      <c r="M3127" s="1025">
        <f>base[[#This Row],[L/P Bruto]]-base[[#This Row],[L/P Líquido]]</f>
        <v>2.2905235602094294</v>
      </c>
      <c r="N3127" s="1025">
        <f>base[[#This Row],[L/P Líquido]]/base[[#This Row],[Stake/Responsabilidade]]</f>
        <v>0.97219999999999995</v>
      </c>
      <c r="O3127" s="1027">
        <f>IF(base[[#This Row],[L/P Líquido]]&gt;0,1,0)</f>
        <v>1</v>
      </c>
      <c r="P3127" s="1027"/>
      <c r="Q3127" s="1027" t="str">
        <f>LEFT(base[[#This Row],[Evento / Mercado]],FIND("vs",base[[#This Row],[Evento / Mercado]])-2)</f>
        <v>Sport Club do Recife</v>
      </c>
      <c r="R312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4" t="str">
        <f>LEFT(base[[#This Row],[Evento / Mercado]],FIND("/",base[[#This Row],[Evento / Mercado]])-2)</f>
        <v>Sport Club do Recife vs Botafogo SP</v>
      </c>
      <c r="T3127" s="1420">
        <f>base[[#This Row],[Data de liquidação]]</f>
        <v>46213.896006944444</v>
      </c>
    </row>
    <row r="3128" spans="2:20" ht="15" customHeight="1">
      <c r="B3128" s="1022" t="s">
        <v>3763</v>
      </c>
      <c r="C3128" s="947" t="s">
        <v>3555</v>
      </c>
      <c r="D3128" s="1390">
        <v>46213.921793981484</v>
      </c>
      <c r="E3128" s="1024">
        <v>-51.72</v>
      </c>
      <c r="F3128" s="654">
        <v>4.4999999999999998E-2</v>
      </c>
      <c r="G3128" s="1025">
        <f t="shared" si="72"/>
        <v>-51.72</v>
      </c>
      <c r="H3128" s="938" t="s">
        <v>3253</v>
      </c>
      <c r="I3128" s="939" t="s">
        <v>3254</v>
      </c>
      <c r="J3128" s="1025">
        <v>6.8</v>
      </c>
      <c r="K3128" s="1025">
        <v>51.72</v>
      </c>
      <c r="L3128" s="1023">
        <f>INT(base[[#This Row],[Data de liquidação]])</f>
        <v>46213</v>
      </c>
      <c r="M3128" s="1025">
        <f>base[[#This Row],[L/P Bruto]]-base[[#This Row],[L/P Líquido]]</f>
        <v>0</v>
      </c>
      <c r="N3128" s="1025">
        <f>base[[#This Row],[L/P Líquido]]/base[[#This Row],[Stake/Responsabilidade]]</f>
        <v>-1</v>
      </c>
      <c r="O3128" s="1027">
        <f>IF(base[[#This Row],[L/P Líquido]]&gt;0,1,0)</f>
        <v>0</v>
      </c>
      <c r="P3128" s="1027"/>
      <c r="Q3128" s="1027" t="str">
        <f>LEFT(base[[#This Row],[Evento / Mercado]],FIND("vs",base[[#This Row],[Evento / Mercado]])-2)</f>
        <v>Sport Club do Recife</v>
      </c>
      <c r="R312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4" t="str">
        <f>LEFT(base[[#This Row],[Evento / Mercado]],FIND("/",base[[#This Row],[Evento / Mercado]])-2)</f>
        <v>Sport Club do Recife vs Botafogo SP</v>
      </c>
      <c r="T3128" s="1420">
        <f>base[[#This Row],[Data de liquidação]]</f>
        <v>46213.921793981484</v>
      </c>
    </row>
    <row r="3129" spans="2:20" ht="15" customHeight="1">
      <c r="B3129" s="1022" t="s">
        <v>3752</v>
      </c>
      <c r="C3129" s="935" t="s">
        <v>3556</v>
      </c>
      <c r="D3129" s="1390">
        <v>46213.921898148146</v>
      </c>
      <c r="E3129" s="1024">
        <v>71.25</v>
      </c>
      <c r="F3129" s="654">
        <v>4.4999999999999998E-2</v>
      </c>
      <c r="G3129" s="1025">
        <f t="shared" si="72"/>
        <v>74.607329842931946</v>
      </c>
      <c r="H3129" s="1025" t="s">
        <v>3330</v>
      </c>
      <c r="I3129" s="1248" t="s">
        <v>4367</v>
      </c>
      <c r="J3129" s="1025">
        <f>(1.95*100+4.6*100.01)/base[[#This Row],[Stake/Responsabilidade]]</f>
        <v>3.2750662466876661</v>
      </c>
      <c r="K3129" s="1025">
        <v>200.01</v>
      </c>
      <c r="L3129" s="1023">
        <f>INT(base[[#This Row],[Data de liquidação]])</f>
        <v>46213</v>
      </c>
      <c r="M3129" s="1025">
        <f>base[[#This Row],[L/P Bruto]]-base[[#This Row],[L/P Líquido]]</f>
        <v>3.3573298429319465</v>
      </c>
      <c r="N3129" s="1025">
        <f>base[[#This Row],[L/P Líquido]]/base[[#This Row],[Stake/Responsabilidade]]</f>
        <v>0.35623218839058046</v>
      </c>
      <c r="O3129" s="1027">
        <f>IF(base[[#This Row],[L/P Líquido]]&gt;0,1,0)</f>
        <v>1</v>
      </c>
      <c r="P3129" s="1027"/>
      <c r="Q3129" s="1027" t="str">
        <f>LEFT(base[[#This Row],[Evento / Mercado]],FIND("vs",base[[#This Row],[Evento / Mercado]])-2)</f>
        <v>Sport Club do Recife</v>
      </c>
      <c r="R312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4" t="str">
        <f>LEFT(base[[#This Row],[Evento / Mercado]],FIND("/",base[[#This Row],[Evento / Mercado]])-2)</f>
        <v>Sport Club do Recife vs Botafogo SP</v>
      </c>
      <c r="T3129" s="1420">
        <f>base[[#This Row],[Data de liquidação]]</f>
        <v>46213.921898148146</v>
      </c>
    </row>
    <row r="3130" spans="2:20" ht="15" customHeight="1">
      <c r="B3130" s="1022" t="s">
        <v>3752</v>
      </c>
      <c r="C3130" s="947" t="s">
        <v>3555</v>
      </c>
      <c r="D3130" s="1390">
        <v>46213.921898148146</v>
      </c>
      <c r="E3130" s="1024">
        <v>62.95</v>
      </c>
      <c r="F3130" s="654">
        <v>4.4999999999999998E-2</v>
      </c>
      <c r="G3130" s="1025">
        <f t="shared" si="72"/>
        <v>65.916230366492158</v>
      </c>
      <c r="H3130" s="938" t="s">
        <v>3253</v>
      </c>
      <c r="I3130" s="939" t="s">
        <v>1555</v>
      </c>
      <c r="J3130" s="1025">
        <v>3.35</v>
      </c>
      <c r="K3130" s="1025">
        <f>200.01+99.99</f>
        <v>300</v>
      </c>
      <c r="L3130" s="1023">
        <f>INT(base[[#This Row],[Data de liquidação]])</f>
        <v>46213</v>
      </c>
      <c r="M3130" s="1025">
        <f>base[[#This Row],[L/P Bruto]]-base[[#This Row],[L/P Líquido]]</f>
        <v>2.9662303664921552</v>
      </c>
      <c r="N3130" s="1025">
        <f>base[[#This Row],[L/P Líquido]]/base[[#This Row],[Stake/Responsabilidade]]</f>
        <v>0.20983333333333334</v>
      </c>
      <c r="O3130" s="1027">
        <f>IF(base[[#This Row],[L/P Líquido]]&gt;0,1,0)</f>
        <v>1</v>
      </c>
      <c r="P3130" s="1027"/>
      <c r="Q3130" s="1027" t="str">
        <f>LEFT(base[[#This Row],[Evento / Mercado]],FIND("vs",base[[#This Row],[Evento / Mercado]])-2)</f>
        <v>Sport Club do Recife</v>
      </c>
      <c r="R313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4" t="str">
        <f>LEFT(base[[#This Row],[Evento / Mercado]],FIND("/",base[[#This Row],[Evento / Mercado]])-2)</f>
        <v>Sport Club do Recife vs Botafogo SP</v>
      </c>
      <c r="T3130" s="1420">
        <f>base[[#This Row],[Data de liquidação]]</f>
        <v>46213.921898148146</v>
      </c>
    </row>
    <row r="3131" spans="2:20" ht="15" customHeight="1">
      <c r="B3131" s="1022" t="s">
        <v>3751</v>
      </c>
      <c r="C3131" s="935" t="s">
        <v>3556</v>
      </c>
      <c r="D3131" s="1390">
        <v>46214.388692129629</v>
      </c>
      <c r="E3131" s="1024">
        <v>14.33</v>
      </c>
      <c r="F3131" s="654">
        <v>4.4999999999999998E-2</v>
      </c>
      <c r="G3131" s="1025">
        <f t="shared" ref="G3131:G3150" si="73">IF(E3131&gt;0,E3131/(1-F3131),E3131)</f>
        <v>15.005235602094242</v>
      </c>
      <c r="H3131" s="1025" t="s">
        <v>1666</v>
      </c>
      <c r="I3131" s="1026" t="s">
        <v>1558</v>
      </c>
      <c r="J3131" s="1025">
        <v>8.1999999999999993</v>
      </c>
      <c r="K3131" s="1025">
        <v>15</v>
      </c>
      <c r="L3131" s="1023">
        <f>INT(base[[#This Row],[Data de liquidação]])</f>
        <v>46214</v>
      </c>
      <c r="M3131" s="1025">
        <f>base[[#This Row],[L/P Bruto]]-base[[#This Row],[L/P Líquido]]</f>
        <v>0.67523560209424183</v>
      </c>
      <c r="N3131" s="1025">
        <f>base[[#This Row],[L/P Líquido]]/base[[#This Row],[Stake/Responsabilidade]]</f>
        <v>0.95533333333333337</v>
      </c>
      <c r="O3131" s="1027">
        <f>IF(base[[#This Row],[L/P Líquido]]&gt;0,1,0)</f>
        <v>1</v>
      </c>
      <c r="P3131" s="1027"/>
      <c r="Q3131" s="1027" t="str">
        <f>LEFT(base[[#This Row],[Evento / Mercado]],FIND("vs",base[[#This Row],[Evento / Mercado]])-2)</f>
        <v>Shenzhen Peng City</v>
      </c>
      <c r="R313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4" t="str">
        <f>LEFT(base[[#This Row],[Evento / Mercado]],FIND("/",base[[#This Row],[Evento / Mercado]])-2)</f>
        <v>Shenzhen Peng City vs Qingdao West Coast</v>
      </c>
      <c r="T3131" s="1420">
        <f>base[[#This Row],[Data de liquidação]]</f>
        <v>46214.388692129629</v>
      </c>
    </row>
    <row r="3132" spans="2:20" ht="15" customHeight="1">
      <c r="B3132" s="1022" t="s">
        <v>3750</v>
      </c>
      <c r="C3132" s="935" t="s">
        <v>3556</v>
      </c>
      <c r="D3132" s="1390">
        <v>46214.439016203702</v>
      </c>
      <c r="E3132" s="1024">
        <v>-5</v>
      </c>
      <c r="F3132" s="654">
        <v>4.4999999999999998E-2</v>
      </c>
      <c r="G3132" s="1025">
        <f t="shared" si="73"/>
        <v>-5</v>
      </c>
      <c r="H3132" s="1025" t="s">
        <v>1666</v>
      </c>
      <c r="I3132" s="1026" t="s">
        <v>2883</v>
      </c>
      <c r="J3132" s="1025">
        <v>1.57</v>
      </c>
      <c r="K3132" s="1025">
        <v>5</v>
      </c>
      <c r="L3132" s="1023">
        <f>INT(base[[#This Row],[Data de liquidação]])</f>
        <v>46214</v>
      </c>
      <c r="M3132" s="1025">
        <f>base[[#This Row],[L/P Bruto]]-base[[#This Row],[L/P Líquido]]</f>
        <v>0</v>
      </c>
      <c r="N3132" s="1025">
        <f>base[[#This Row],[L/P Líquido]]/base[[#This Row],[Stake/Responsabilidade]]</f>
        <v>-1</v>
      </c>
      <c r="O3132" s="1027">
        <f>IF(base[[#This Row],[L/P Líquido]]&gt;0,1,0)</f>
        <v>0</v>
      </c>
      <c r="P3132" s="1027"/>
      <c r="Q3132" s="1027" t="str">
        <f>LEFT(base[[#This Row],[Evento / Mercado]],FIND("vs",base[[#This Row],[Evento / Mercado]])-2)</f>
        <v>Shenzhen Peng City</v>
      </c>
      <c r="R313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4" t="str">
        <f>LEFT(base[[#This Row],[Evento / Mercado]],FIND("/",base[[#This Row],[Evento / Mercado]])-2)</f>
        <v>Shenzhen Peng City vs Qingdao West Coast</v>
      </c>
      <c r="T3132" s="1420">
        <f>base[[#This Row],[Data de liquidação]]</f>
        <v>46214.439016203702</v>
      </c>
    </row>
    <row r="3133" spans="2:20" ht="15" customHeight="1">
      <c r="B3133" s="1022" t="s">
        <v>3749</v>
      </c>
      <c r="C3133" s="935" t="s">
        <v>3556</v>
      </c>
      <c r="D3133" s="1390">
        <v>46214.494641203702</v>
      </c>
      <c r="E3133" s="1024">
        <v>34.520000000000003</v>
      </c>
      <c r="F3133" s="654">
        <v>4.4999999999999998E-2</v>
      </c>
      <c r="G3133" s="1025">
        <f t="shared" si="73"/>
        <v>36.146596858638745</v>
      </c>
      <c r="H3133" s="1025" t="s">
        <v>3271</v>
      </c>
      <c r="I3133" s="1026" t="s">
        <v>627</v>
      </c>
      <c r="J3133" s="1025">
        <v>14</v>
      </c>
      <c r="K3133" s="1025">
        <v>469.95</v>
      </c>
      <c r="L3133" s="1023">
        <f>INT(base[[#This Row],[Data de liquidação]])</f>
        <v>46214</v>
      </c>
      <c r="M3133" s="1025">
        <f>base[[#This Row],[L/P Bruto]]-base[[#This Row],[L/P Líquido]]</f>
        <v>1.6265968586387416</v>
      </c>
      <c r="N3133" s="1025">
        <f>base[[#This Row],[L/P Líquido]]/base[[#This Row],[Stake/Responsabilidade]]</f>
        <v>7.3454622832216196E-2</v>
      </c>
      <c r="O3133" s="1027">
        <f>IF(base[[#This Row],[L/P Líquido]]&gt;0,1,0)</f>
        <v>1</v>
      </c>
      <c r="P3133" s="1027"/>
      <c r="Q3133" s="1027" t="str">
        <f>LEFT(base[[#This Row],[Evento / Mercado]],FIND("vs",base[[#This Row],[Evento / Mercado]])-2)</f>
        <v>Mjällby AIF</v>
      </c>
      <c r="R313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4" t="str">
        <f>LEFT(base[[#This Row],[Evento / Mercado]],FIND("/",base[[#This Row],[Evento / Mercado]])-2)</f>
        <v>Mjällby AIF vs AIK</v>
      </c>
      <c r="T3133" s="1420">
        <f>base[[#This Row],[Data de liquidação]]</f>
        <v>46214.494641203702</v>
      </c>
    </row>
    <row r="3134" spans="2:20" ht="15" customHeight="1">
      <c r="B3134" s="1022" t="s">
        <v>3748</v>
      </c>
      <c r="C3134" s="935" t="s">
        <v>3556</v>
      </c>
      <c r="D3134" s="1390">
        <v>46214.529976851853</v>
      </c>
      <c r="E3134" s="1024">
        <v>18.62</v>
      </c>
      <c r="F3134" s="654">
        <v>4.4999999999999998E-2</v>
      </c>
      <c r="G3134" s="1025">
        <f t="shared" si="73"/>
        <v>19.497382198952881</v>
      </c>
      <c r="H3134" s="1025" t="s">
        <v>3333</v>
      </c>
      <c r="I3134" s="1026" t="s">
        <v>13</v>
      </c>
      <c r="J3134" s="1025">
        <f>(1.81+2.2)/2</f>
        <v>2.0049999999999999</v>
      </c>
      <c r="K3134" s="1025">
        <v>100</v>
      </c>
      <c r="L3134" s="1023">
        <f>INT(base[[#This Row],[Data de liquidação]])</f>
        <v>46214</v>
      </c>
      <c r="M3134" s="1025">
        <f>base[[#This Row],[L/P Bruto]]-base[[#This Row],[L/P Líquido]]</f>
        <v>0.87738219895287983</v>
      </c>
      <c r="N3134" s="1025">
        <f>base[[#This Row],[L/P Líquido]]/base[[#This Row],[Stake/Responsabilidade]]</f>
        <v>0.1862</v>
      </c>
      <c r="O3134" s="1027">
        <f>IF(base[[#This Row],[L/P Líquido]]&gt;0,1,0)</f>
        <v>1</v>
      </c>
      <c r="P3134" s="1027"/>
      <c r="Q3134" s="1027" t="str">
        <f>LEFT(base[[#This Row],[Evento / Mercado]],FIND("vs",base[[#This Row],[Evento / Mercado]])-2)</f>
        <v>FC Nõmme United</v>
      </c>
      <c r="R313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4" t="str">
        <f>LEFT(base[[#This Row],[Evento / Mercado]],FIND("/",base[[#This Row],[Evento / Mercado]])-2)</f>
        <v>FC Nõmme United vs FC Kuressaare</v>
      </c>
      <c r="T3134" s="1420">
        <f>base[[#This Row],[Data de liquidação]]</f>
        <v>46214.529976851853</v>
      </c>
    </row>
    <row r="3135" spans="2:20" ht="15" customHeight="1">
      <c r="B3135" s="1022" t="s">
        <v>3766</v>
      </c>
      <c r="C3135" s="947" t="s">
        <v>3555</v>
      </c>
      <c r="D3135" s="1390">
        <v>46214.53943287037</v>
      </c>
      <c r="E3135" s="1024">
        <v>-27.27</v>
      </c>
      <c r="F3135" s="654">
        <v>4.4999999999999998E-2</v>
      </c>
      <c r="G3135" s="1025">
        <f t="shared" si="73"/>
        <v>-27.27</v>
      </c>
      <c r="H3135" s="938" t="s">
        <v>3253</v>
      </c>
      <c r="I3135" s="939" t="s">
        <v>3254</v>
      </c>
      <c r="J3135" s="1025">
        <v>12</v>
      </c>
      <c r="K3135" s="1025">
        <v>27.27</v>
      </c>
      <c r="L3135" s="1023">
        <f>INT(base[[#This Row],[Data de liquidação]])</f>
        <v>46214</v>
      </c>
      <c r="M3135" s="1025">
        <f>base[[#This Row],[L/P Bruto]]-base[[#This Row],[L/P Líquido]]</f>
        <v>0</v>
      </c>
      <c r="N3135" s="1025">
        <f>base[[#This Row],[L/P Líquido]]/base[[#This Row],[Stake/Responsabilidade]]</f>
        <v>-1</v>
      </c>
      <c r="O3135" s="1027">
        <f>IF(base[[#This Row],[L/P Líquido]]&gt;0,1,0)</f>
        <v>0</v>
      </c>
      <c r="P3135" s="1027"/>
      <c r="Q3135" s="1027" t="str">
        <f>LEFT(base[[#This Row],[Evento / Mercado]],FIND("vs",base[[#This Row],[Evento / Mercado]])-2)</f>
        <v>IF Gnistan</v>
      </c>
      <c r="R313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4" t="str">
        <f>LEFT(base[[#This Row],[Evento / Mercado]],FIND("/",base[[#This Row],[Evento / Mercado]])-2)</f>
        <v>IF Gnistan vs IFK Mariehamn</v>
      </c>
      <c r="T3135" s="1420">
        <f>base[[#This Row],[Data de liquidação]]</f>
        <v>46214.53943287037</v>
      </c>
    </row>
    <row r="3136" spans="2:20" ht="15" customHeight="1">
      <c r="B3136" s="1022" t="s">
        <v>3747</v>
      </c>
      <c r="C3136" s="935" t="s">
        <v>3556</v>
      </c>
      <c r="D3136" s="1390">
        <v>46214.539594907408</v>
      </c>
      <c r="E3136" s="1024">
        <v>7.76</v>
      </c>
      <c r="F3136" s="654">
        <v>4.4999999999999998E-2</v>
      </c>
      <c r="G3136" s="1025">
        <f t="shared" si="73"/>
        <v>8.1256544502617807</v>
      </c>
      <c r="H3136" s="1025" t="s">
        <v>3330</v>
      </c>
      <c r="I3136" s="1026" t="s">
        <v>3566</v>
      </c>
      <c r="J3136" s="1025">
        <v>10.5</v>
      </c>
      <c r="K3136" s="1025">
        <v>100.04</v>
      </c>
      <c r="L3136" s="1023">
        <f>INT(base[[#This Row],[Data de liquidação]])</f>
        <v>46214</v>
      </c>
      <c r="M3136" s="1025">
        <f>base[[#This Row],[L/P Bruto]]-base[[#This Row],[L/P Líquido]]</f>
        <v>0.36565445026178089</v>
      </c>
      <c r="N3136" s="1025">
        <f>base[[#This Row],[L/P Líquido]]/base[[#This Row],[Stake/Responsabilidade]]</f>
        <v>7.756897241103558E-2</v>
      </c>
      <c r="O3136" s="1027">
        <f>IF(base[[#This Row],[L/P Líquido]]&gt;0,1,0)</f>
        <v>1</v>
      </c>
      <c r="P3136" s="1027"/>
      <c r="Q3136" s="1027" t="str">
        <f>LEFT(base[[#This Row],[Evento / Mercado]],FIND("vs",base[[#This Row],[Evento / Mercado]])-2)</f>
        <v>IF Gnistan</v>
      </c>
      <c r="R313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4" t="str">
        <f>LEFT(base[[#This Row],[Evento / Mercado]],FIND("/",base[[#This Row],[Evento / Mercado]])-2)</f>
        <v>IF Gnistan vs IFK Mariehamn</v>
      </c>
      <c r="T3136" s="1420">
        <f>base[[#This Row],[Data de liquidação]]</f>
        <v>46214.539594907408</v>
      </c>
    </row>
    <row r="3137" spans="2:20" ht="15" customHeight="1">
      <c r="B3137" s="1022" t="s">
        <v>3747</v>
      </c>
      <c r="C3137" s="947" t="s">
        <v>3555</v>
      </c>
      <c r="D3137" s="1390">
        <v>46214.539594907408</v>
      </c>
      <c r="E3137" s="1024">
        <v>16.559999999999999</v>
      </c>
      <c r="F3137" s="654">
        <v>4.4999999999999998E-2</v>
      </c>
      <c r="G3137" s="1025">
        <f t="shared" si="73"/>
        <v>17.340314136125652</v>
      </c>
      <c r="H3137" s="938" t="s">
        <v>3253</v>
      </c>
      <c r="I3137" s="939" t="s">
        <v>1555</v>
      </c>
      <c r="J3137" s="1025">
        <v>6.2</v>
      </c>
      <c r="K3137" s="1025">
        <v>299.99</v>
      </c>
      <c r="L3137" s="1023">
        <f>INT(base[[#This Row],[Data de liquidação]])</f>
        <v>46214</v>
      </c>
      <c r="M3137" s="1025">
        <f>base[[#This Row],[L/P Bruto]]-base[[#This Row],[L/P Líquido]]</f>
        <v>0.78031413612565359</v>
      </c>
      <c r="N3137" s="1025">
        <f>base[[#This Row],[L/P Líquido]]/base[[#This Row],[Stake/Responsabilidade]]</f>
        <v>5.5201840061335369E-2</v>
      </c>
      <c r="O3137" s="1027">
        <f>IF(base[[#This Row],[L/P Líquido]]&gt;0,1,0)</f>
        <v>1</v>
      </c>
      <c r="P3137" s="1027"/>
      <c r="Q3137" s="1027" t="str">
        <f>LEFT(base[[#This Row],[Evento / Mercado]],FIND("vs",base[[#This Row],[Evento / Mercado]])-2)</f>
        <v>IF Gnistan</v>
      </c>
      <c r="R313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4" t="str">
        <f>LEFT(base[[#This Row],[Evento / Mercado]],FIND("/",base[[#This Row],[Evento / Mercado]])-2)</f>
        <v>IF Gnistan vs IFK Mariehamn</v>
      </c>
      <c r="T3137" s="1420">
        <f>base[[#This Row],[Data de liquidação]]</f>
        <v>46214.539594907408</v>
      </c>
    </row>
    <row r="3138" spans="2:20" ht="15" customHeight="1">
      <c r="B3138" s="1022" t="s">
        <v>3746</v>
      </c>
      <c r="C3138" s="935" t="s">
        <v>3556</v>
      </c>
      <c r="D3138" s="1390">
        <v>46214.541273148148</v>
      </c>
      <c r="E3138" s="1024">
        <v>44.21</v>
      </c>
      <c r="F3138" s="654">
        <v>4.4999999999999998E-2</v>
      </c>
      <c r="G3138" s="1025">
        <f t="shared" si="73"/>
        <v>46.293193717277489</v>
      </c>
      <c r="H3138" s="1025" t="s">
        <v>3271</v>
      </c>
      <c r="I3138" s="1026" t="s">
        <v>627</v>
      </c>
      <c r="J3138" s="1025">
        <f>(7.4*33.98+15*399.98+6.8*71.98)/base[[#This Row],[Stake/Responsabilidade]]</f>
        <v>13.322955291141243</v>
      </c>
      <c r="K3138" s="1025">
        <f>33.98+399.98+71.98</f>
        <v>505.94000000000005</v>
      </c>
      <c r="L3138" s="1023">
        <f>INT(base[[#This Row],[Data de liquidação]])</f>
        <v>46214</v>
      </c>
      <c r="M3138" s="1025">
        <f>base[[#This Row],[L/P Bruto]]-base[[#This Row],[L/P Líquido]]</f>
        <v>2.0831937172774886</v>
      </c>
      <c r="N3138" s="1025">
        <f>base[[#This Row],[L/P Líquido]]/base[[#This Row],[Stake/Responsabilidade]]</f>
        <v>8.7381902992449689E-2</v>
      </c>
      <c r="O3138" s="1027">
        <f>IF(base[[#This Row],[L/P Líquido]]&gt;0,1,0)</f>
        <v>1</v>
      </c>
      <c r="P3138" s="1027"/>
      <c r="Q3138" s="1027" t="str">
        <f>LEFT(base[[#This Row],[Evento / Mercado]],FIND("vs",base[[#This Row],[Evento / Mercado]])-2)</f>
        <v>FC Nõmme United</v>
      </c>
      <c r="R313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4" t="str">
        <f>LEFT(base[[#This Row],[Evento / Mercado]],FIND("/",base[[#This Row],[Evento / Mercado]])-2)</f>
        <v>FC Nõmme United vs FC Kuressaare</v>
      </c>
      <c r="T3138" s="1420">
        <f>base[[#This Row],[Data de liquidação]]</f>
        <v>46214.541273148148</v>
      </c>
    </row>
    <row r="3139" spans="2:20" ht="15" customHeight="1">
      <c r="B3139" s="1022" t="s">
        <v>3765</v>
      </c>
      <c r="C3139" s="947" t="s">
        <v>3555</v>
      </c>
      <c r="D3139" s="1390">
        <v>46214.62395833333</v>
      </c>
      <c r="E3139" s="1024">
        <v>-40.54</v>
      </c>
      <c r="F3139" s="654">
        <v>4.4999999999999998E-2</v>
      </c>
      <c r="G3139" s="1025">
        <f t="shared" si="73"/>
        <v>-40.54</v>
      </c>
      <c r="H3139" s="938" t="s">
        <v>3253</v>
      </c>
      <c r="I3139" s="939" t="s">
        <v>3254</v>
      </c>
      <c r="J3139" s="1025">
        <v>8.4</v>
      </c>
      <c r="K3139" s="1025">
        <v>40.54</v>
      </c>
      <c r="L3139" s="1023">
        <f>INT(base[[#This Row],[Data de liquidação]])</f>
        <v>46214</v>
      </c>
      <c r="M3139" s="1025">
        <f>base[[#This Row],[L/P Bruto]]-base[[#This Row],[L/P Líquido]]</f>
        <v>0</v>
      </c>
      <c r="N3139" s="1025">
        <f>base[[#This Row],[L/P Líquido]]/base[[#This Row],[Stake/Responsabilidade]]</f>
        <v>-1</v>
      </c>
      <c r="O3139" s="1027">
        <f>IF(base[[#This Row],[L/P Líquido]]&gt;0,1,0)</f>
        <v>0</v>
      </c>
      <c r="P3139" s="1027"/>
      <c r="Q3139" s="1027" t="str">
        <f>LEFT(base[[#This Row],[Evento / Mercado]],FIND("vs",base[[#This Row],[Evento / Mercado]])-2)</f>
        <v>Tromsø</v>
      </c>
      <c r="R313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4" t="str">
        <f>LEFT(base[[#This Row],[Evento / Mercado]],FIND("/",base[[#This Row],[Evento / Mercado]])-2)</f>
        <v>Tromsø vs Vålerenga</v>
      </c>
      <c r="T3139" s="1420">
        <f>base[[#This Row],[Data de liquidação]]</f>
        <v>46214.62395833333</v>
      </c>
    </row>
    <row r="3140" spans="2:20" ht="15" customHeight="1">
      <c r="B3140" s="1022" t="s">
        <v>3745</v>
      </c>
      <c r="C3140" s="935" t="s">
        <v>3556</v>
      </c>
      <c r="D3140" s="1390">
        <v>46214.624131944445</v>
      </c>
      <c r="E3140" s="1024">
        <v>13.98</v>
      </c>
      <c r="F3140" s="654">
        <v>4.4999999999999998E-2</v>
      </c>
      <c r="G3140" s="1025">
        <f t="shared" si="73"/>
        <v>14.638743455497384</v>
      </c>
      <c r="H3140" s="1025" t="s">
        <v>3330</v>
      </c>
      <c r="I3140" s="1248" t="s">
        <v>4368</v>
      </c>
      <c r="J3140" s="1025">
        <v>5.2</v>
      </c>
      <c r="K3140" s="1025">
        <v>100</v>
      </c>
      <c r="L3140" s="1023">
        <f>INT(base[[#This Row],[Data de liquidação]])</f>
        <v>46214</v>
      </c>
      <c r="M3140" s="1025">
        <f>base[[#This Row],[L/P Bruto]]-base[[#This Row],[L/P Líquido]]</f>
        <v>0.65874345549738322</v>
      </c>
      <c r="N3140" s="1025">
        <f>base[[#This Row],[L/P Líquido]]/base[[#This Row],[Stake/Responsabilidade]]</f>
        <v>0.13980000000000001</v>
      </c>
      <c r="O3140" s="1027">
        <f>IF(base[[#This Row],[L/P Líquido]]&gt;0,1,0)</f>
        <v>1</v>
      </c>
      <c r="P3140" s="1027"/>
      <c r="Q3140" s="1027" t="str">
        <f>LEFT(base[[#This Row],[Evento / Mercado]],FIND("vs",base[[#This Row],[Evento / Mercado]])-2)</f>
        <v>Tromsø</v>
      </c>
      <c r="R314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4" t="str">
        <f>LEFT(base[[#This Row],[Evento / Mercado]],FIND("/",base[[#This Row],[Evento / Mercado]])-2)</f>
        <v>Tromsø vs Vålerenga</v>
      </c>
      <c r="T3140" s="1420">
        <f>base[[#This Row],[Data de liquidação]]</f>
        <v>46214.624131944445</v>
      </c>
    </row>
    <row r="3141" spans="2:20" ht="15" customHeight="1">
      <c r="B3141" s="1022" t="s">
        <v>3745</v>
      </c>
      <c r="C3141" s="947" t="s">
        <v>3555</v>
      </c>
      <c r="D3141" s="1390">
        <v>46214.624131944445</v>
      </c>
      <c r="E3141" s="1024">
        <v>66.44</v>
      </c>
      <c r="F3141" s="654">
        <v>4.4999999999999998E-2</v>
      </c>
      <c r="G3141" s="1025">
        <f t="shared" si="73"/>
        <v>69.570680628272257</v>
      </c>
      <c r="H3141" s="938" t="s">
        <v>3253</v>
      </c>
      <c r="I3141" s="939" t="s">
        <v>1555</v>
      </c>
      <c r="J3141" s="1025">
        <v>4.2</v>
      </c>
      <c r="K3141" s="1025">
        <v>300</v>
      </c>
      <c r="L3141" s="1023">
        <f>INT(base[[#This Row],[Data de liquidação]])</f>
        <v>46214</v>
      </c>
      <c r="M3141" s="1025">
        <f>base[[#This Row],[L/P Bruto]]-base[[#This Row],[L/P Líquido]]</f>
        <v>3.130680628272259</v>
      </c>
      <c r="N3141" s="1025">
        <f>base[[#This Row],[L/P Líquido]]/base[[#This Row],[Stake/Responsabilidade]]</f>
        <v>0.22146666666666667</v>
      </c>
      <c r="O3141" s="1027">
        <f>IF(base[[#This Row],[L/P Líquido]]&gt;0,1,0)</f>
        <v>1</v>
      </c>
      <c r="P3141" s="1027"/>
      <c r="Q3141" s="1027" t="str">
        <f>LEFT(base[[#This Row],[Evento / Mercado]],FIND("vs",base[[#This Row],[Evento / Mercado]])-2)</f>
        <v>Tromsø</v>
      </c>
      <c r="R314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4" t="str">
        <f>LEFT(base[[#This Row],[Evento / Mercado]],FIND("/",base[[#This Row],[Evento / Mercado]])-2)</f>
        <v>Tromsø vs Vålerenga</v>
      </c>
      <c r="T3141" s="1420">
        <f>base[[#This Row],[Data de liquidação]]</f>
        <v>46214.624131944445</v>
      </c>
    </row>
    <row r="3142" spans="2:20" ht="15" customHeight="1">
      <c r="B3142" s="1022" t="s">
        <v>3744</v>
      </c>
      <c r="C3142" s="935" t="s">
        <v>3556</v>
      </c>
      <c r="D3142" s="1390">
        <v>46214.66611111111</v>
      </c>
      <c r="E3142" s="1024">
        <v>-15</v>
      </c>
      <c r="F3142" s="654">
        <v>4.4999999999999998E-2</v>
      </c>
      <c r="G3142" s="1025">
        <f t="shared" si="73"/>
        <v>-15</v>
      </c>
      <c r="H3142" s="1025" t="s">
        <v>1666</v>
      </c>
      <c r="I3142" s="1026" t="s">
        <v>2301</v>
      </c>
      <c r="J3142" s="1025">
        <v>1.5</v>
      </c>
      <c r="K3142" s="1025">
        <v>15</v>
      </c>
      <c r="L3142" s="1023">
        <f>INT(base[[#This Row],[Data de liquidação]])</f>
        <v>46214</v>
      </c>
      <c r="M3142" s="1025">
        <f>base[[#This Row],[L/P Bruto]]-base[[#This Row],[L/P Líquido]]</f>
        <v>0</v>
      </c>
      <c r="N3142" s="1025">
        <f>base[[#This Row],[L/P Líquido]]/base[[#This Row],[Stake/Responsabilidade]]</f>
        <v>-1</v>
      </c>
      <c r="O3142" s="1027">
        <f>IF(base[[#This Row],[L/P Líquido]]&gt;0,1,0)</f>
        <v>0</v>
      </c>
      <c r="P3142" s="1027"/>
      <c r="Q3142" s="1027" t="str">
        <f>LEFT(base[[#This Row],[Evento / Mercado]],FIND("vs",base[[#This Row],[Evento / Mercado]])-2)</f>
        <v>Manta FC</v>
      </c>
      <c r="R314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4" t="str">
        <f>LEFT(base[[#This Row],[Evento / Mercado]],FIND("/",base[[#This Row],[Evento / Mercado]])-2)</f>
        <v>Manta FC vs Orense SC</v>
      </c>
      <c r="T3142" s="1420">
        <f>base[[#This Row],[Data de liquidação]]</f>
        <v>46214.66611111111</v>
      </c>
    </row>
    <row r="3143" spans="2:20" ht="15" customHeight="1">
      <c r="B3143" s="1022" t="s">
        <v>3743</v>
      </c>
      <c r="C3143" s="935" t="s">
        <v>3556</v>
      </c>
      <c r="D3143" s="1390">
        <v>46214.698136574072</v>
      </c>
      <c r="E3143" s="1024">
        <v>14.33</v>
      </c>
      <c r="F3143" s="654">
        <v>4.4999999999999998E-2</v>
      </c>
      <c r="G3143" s="1025">
        <f t="shared" si="73"/>
        <v>15.005235602094242</v>
      </c>
      <c r="H3143" s="1025" t="s">
        <v>1666</v>
      </c>
      <c r="I3143" s="1026" t="s">
        <v>1558</v>
      </c>
      <c r="J3143" s="1025">
        <v>7.4</v>
      </c>
      <c r="K3143" s="1025">
        <v>15</v>
      </c>
      <c r="L3143" s="1023">
        <f>INT(base[[#This Row],[Data de liquidação]])</f>
        <v>46214</v>
      </c>
      <c r="M3143" s="1025">
        <f>base[[#This Row],[L/P Bruto]]-base[[#This Row],[L/P Líquido]]</f>
        <v>0.67523560209424183</v>
      </c>
      <c r="N3143" s="1025">
        <f>base[[#This Row],[L/P Líquido]]/base[[#This Row],[Stake/Responsabilidade]]</f>
        <v>0.95533333333333337</v>
      </c>
      <c r="O3143" s="1027">
        <f>IF(base[[#This Row],[L/P Líquido]]&gt;0,1,0)</f>
        <v>1</v>
      </c>
      <c r="P3143" s="1027"/>
      <c r="Q3143" s="1027" t="str">
        <f>LEFT(base[[#This Row],[Evento / Mercado]],FIND("vs",base[[#This Row],[Evento / Mercado]])-2)</f>
        <v>Mushuc Runa</v>
      </c>
      <c r="R314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4" t="str">
        <f>LEFT(base[[#This Row],[Evento / Mercado]],FIND("/",base[[#This Row],[Evento / Mercado]])-2)</f>
        <v>Mushuc Runa vs Independiente del Valle</v>
      </c>
      <c r="T3143" s="1420">
        <f>base[[#This Row],[Data de liquidação]]</f>
        <v>46214.698136574072</v>
      </c>
    </row>
    <row r="3144" spans="2:20" ht="15" customHeight="1">
      <c r="B3144" s="1022" t="s">
        <v>3742</v>
      </c>
      <c r="C3144" s="935" t="s">
        <v>3556</v>
      </c>
      <c r="D3144" s="1390">
        <v>46214.721516203703</v>
      </c>
      <c r="E3144" s="1024">
        <v>-13.85</v>
      </c>
      <c r="F3144" s="654">
        <v>4.4999999999999998E-2</v>
      </c>
      <c r="G3144" s="1025">
        <f t="shared" si="73"/>
        <v>-13.85</v>
      </c>
      <c r="H3144" s="1025" t="s">
        <v>1666</v>
      </c>
      <c r="I3144" s="1026" t="s">
        <v>1558</v>
      </c>
      <c r="J3144" s="1025">
        <v>10</v>
      </c>
      <c r="K3144" s="1025">
        <v>15</v>
      </c>
      <c r="L3144" s="1023">
        <f>INT(base[[#This Row],[Data de liquidação]])</f>
        <v>46214</v>
      </c>
      <c r="M3144" s="1025">
        <f>base[[#This Row],[L/P Bruto]]-base[[#This Row],[L/P Líquido]]</f>
        <v>0</v>
      </c>
      <c r="N3144" s="1025">
        <f>base[[#This Row],[L/P Líquido]]/base[[#This Row],[Stake/Responsabilidade]]</f>
        <v>-0.92333333333333334</v>
      </c>
      <c r="O3144" s="1027">
        <f>IF(base[[#This Row],[L/P Líquido]]&gt;0,1,0)</f>
        <v>0</v>
      </c>
      <c r="P3144" s="1027"/>
      <c r="Q3144" s="1027" t="str">
        <f>LEFT(base[[#This Row],[Evento / Mercado]],FIND("vs",base[[#This Row],[Evento / Mercado]])-2)</f>
        <v>CDT Real Oruro</v>
      </c>
      <c r="R314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4" t="str">
        <f>LEFT(base[[#This Row],[Evento / Mercado]],FIND("/",base[[#This Row],[Evento / Mercado]])-2)</f>
        <v>CDT Real Oruro vs CD Gualberto Villarroel</v>
      </c>
      <c r="T3144" s="1420">
        <f>base[[#This Row],[Data de liquidação]]</f>
        <v>46214.721516203703</v>
      </c>
    </row>
    <row r="3145" spans="2:20" ht="15" customHeight="1">
      <c r="B3145" s="1022" t="s">
        <v>3740</v>
      </c>
      <c r="C3145" s="1022" t="s">
        <v>3554</v>
      </c>
      <c r="D3145" s="1390">
        <v>46214.834027777775</v>
      </c>
      <c r="E3145" s="1024">
        <v>-133.34</v>
      </c>
      <c r="F3145" s="654">
        <v>4.4999999999999998E-2</v>
      </c>
      <c r="G3145" s="1025">
        <f>IF(E3145&gt;0,E3145/(1-F3145),E3145)</f>
        <v>-133.34</v>
      </c>
      <c r="H3145" s="1025" t="s">
        <v>179</v>
      </c>
      <c r="I3145" s="1026" t="s">
        <v>3393</v>
      </c>
      <c r="J3145" s="1025">
        <v>5.5</v>
      </c>
      <c r="K3145" s="1025">
        <v>400.01</v>
      </c>
      <c r="L3145" s="1023">
        <f>INT(base[[#This Row],[Data de liquidação]])</f>
        <v>46214</v>
      </c>
      <c r="M3145" s="1025">
        <f>base[[#This Row],[L/P Bruto]]-base[[#This Row],[L/P Líquido]]</f>
        <v>0</v>
      </c>
      <c r="N3145" s="1025">
        <f>base[[#This Row],[L/P Líquido]]/base[[#This Row],[Stake/Responsabilidade]]</f>
        <v>-0.33334166645833857</v>
      </c>
      <c r="O3145" s="1027">
        <f>IF(base[[#This Row],[L/P Líquido]]&gt;0,1,0)</f>
        <v>0</v>
      </c>
      <c r="P3145" s="1027" t="s">
        <v>3331</v>
      </c>
      <c r="Q3145" s="1027" t="str">
        <f>LEFT(base[[#This Row],[Evento / Mercado]],FIND("vs",base[[#This Row],[Evento / Mercado]])-2)</f>
        <v>Norway</v>
      </c>
      <c r="R314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4" t="str">
        <f>LEFT(base[[#This Row],[Evento / Mercado]],FIND("/",base[[#This Row],[Evento / Mercado]])-2)</f>
        <v>Norway vs England</v>
      </c>
      <c r="T3145" s="1420">
        <f>base[[#This Row],[Data de liquidação]]</f>
        <v>46214.834027777775</v>
      </c>
    </row>
    <row r="3146" spans="2:20" ht="15" customHeight="1">
      <c r="B3146" s="1022" t="s">
        <v>3741</v>
      </c>
      <c r="C3146" s="1022" t="s">
        <v>3554</v>
      </c>
      <c r="D3146" s="1390">
        <v>46214.834027777775</v>
      </c>
      <c r="E3146" s="1024">
        <v>8.09</v>
      </c>
      <c r="F3146" s="654">
        <v>4.4999999999999998E-2</v>
      </c>
      <c r="G3146" s="1025">
        <f>IF(E3146&gt;0,E3146/(1-F3146),E3146)</f>
        <v>8.4712041884816749</v>
      </c>
      <c r="H3146" s="1025" t="s">
        <v>3661</v>
      </c>
      <c r="I3146" s="1026" t="s">
        <v>3393</v>
      </c>
      <c r="J3146" s="1025">
        <v>60</v>
      </c>
      <c r="K3146" s="1025">
        <v>499.73</v>
      </c>
      <c r="L3146" s="1023">
        <f>INT(base[[#This Row],[Data de liquidação]])</f>
        <v>46214</v>
      </c>
      <c r="M3146" s="1025">
        <f>base[[#This Row],[L/P Bruto]]-base[[#This Row],[L/P Líquido]]</f>
        <v>0.38120418848167503</v>
      </c>
      <c r="N3146" s="1025">
        <f>base[[#This Row],[L/P Líquido]]/base[[#This Row],[Stake/Responsabilidade]]</f>
        <v>1.6188741920637142E-2</v>
      </c>
      <c r="O3146" s="1027">
        <f>IF(base[[#This Row],[L/P Líquido]]&gt;0,1,0)</f>
        <v>1</v>
      </c>
      <c r="P3146" s="1027"/>
      <c r="Q3146" s="1027" t="str">
        <f>LEFT(base[[#This Row],[Evento / Mercado]],FIND("vs",base[[#This Row],[Evento / Mercado]])-2)</f>
        <v>Norway</v>
      </c>
      <c r="R314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4" t="str">
        <f>LEFT(base[[#This Row],[Evento / Mercado]],FIND("/",base[[#This Row],[Evento / Mercado]])-2)</f>
        <v>Norway vs England</v>
      </c>
      <c r="T3146" s="1420">
        <f>base[[#This Row],[Data de liquidação]]</f>
        <v>46214.834027777775</v>
      </c>
    </row>
    <row r="3147" spans="2:20" ht="15" customHeight="1">
      <c r="B3147" s="1022" t="s">
        <v>3741</v>
      </c>
      <c r="C3147" s="947" t="s">
        <v>3555</v>
      </c>
      <c r="D3147" s="1390">
        <v>46214.834120370368</v>
      </c>
      <c r="E3147" s="1024">
        <v>291.60000000000002</v>
      </c>
      <c r="F3147" s="654">
        <v>4.4999999999999998E-2</v>
      </c>
      <c r="G3147" s="1025">
        <f t="shared" si="73"/>
        <v>305.3403141361257</v>
      </c>
      <c r="H3147" s="938" t="s">
        <v>3253</v>
      </c>
      <c r="I3147" s="939" t="s">
        <v>3254</v>
      </c>
      <c r="J3147" s="1025">
        <v>8.4</v>
      </c>
      <c r="K3147" s="1025">
        <v>40.54</v>
      </c>
      <c r="L3147" s="1023">
        <f>INT(base[[#This Row],[Data de liquidação]])</f>
        <v>46214</v>
      </c>
      <c r="M3147" s="1025">
        <f>base[[#This Row],[L/P Bruto]]-base[[#This Row],[L/P Líquido]]</f>
        <v>13.740314136125676</v>
      </c>
      <c r="N3147" s="1025">
        <f>base[[#This Row],[L/P Líquido]]/base[[#This Row],[Stake/Responsabilidade]]</f>
        <v>7.1928959052787373</v>
      </c>
      <c r="O3147" s="1027">
        <f>IF(base[[#This Row],[L/P Líquido]]&gt;0,1,0)</f>
        <v>1</v>
      </c>
      <c r="P3147" s="1027"/>
      <c r="Q3147" s="1027" t="str">
        <f>LEFT(base[[#This Row],[Evento / Mercado]],FIND("vs",base[[#This Row],[Evento / Mercado]])-2)</f>
        <v>Norway</v>
      </c>
      <c r="R314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4" t="str">
        <f>LEFT(base[[#This Row],[Evento / Mercado]],FIND("/",base[[#This Row],[Evento / Mercado]])-2)</f>
        <v>Norway vs England</v>
      </c>
      <c r="T3147" s="1420">
        <f>base[[#This Row],[Data de liquidação]]</f>
        <v>46214.834120370368</v>
      </c>
    </row>
    <row r="3148" spans="2:20" ht="15" customHeight="1">
      <c r="B3148" s="1022" t="s">
        <v>3741</v>
      </c>
      <c r="C3148" s="935" t="s">
        <v>3556</v>
      </c>
      <c r="D3148" s="1390">
        <v>46214.834131944444</v>
      </c>
      <c r="E3148" s="1024">
        <v>26.74</v>
      </c>
      <c r="F3148" s="654">
        <v>4.4999999999999998E-2</v>
      </c>
      <c r="G3148" s="1025">
        <f t="shared" si="73"/>
        <v>28</v>
      </c>
      <c r="H3148" s="1025" t="s">
        <v>3334</v>
      </c>
      <c r="I3148" s="1026" t="s">
        <v>694</v>
      </c>
      <c r="J3148" s="1025">
        <v>18</v>
      </c>
      <c r="K3148" s="1025">
        <v>476</v>
      </c>
      <c r="L3148" s="1023">
        <f>INT(base[[#This Row],[Data de liquidação]])</f>
        <v>46214</v>
      </c>
      <c r="M3148" s="1025">
        <f>base[[#This Row],[L/P Bruto]]-base[[#This Row],[L/P Líquido]]</f>
        <v>1.2600000000000016</v>
      </c>
      <c r="N3148" s="1025">
        <f>base[[#This Row],[L/P Líquido]]/base[[#This Row],[Stake/Responsabilidade]]</f>
        <v>5.6176470588235293E-2</v>
      </c>
      <c r="O3148" s="1027">
        <f>IF(base[[#This Row],[L/P Líquido]]&gt;0,1,0)</f>
        <v>1</v>
      </c>
      <c r="P3148" s="1027"/>
      <c r="Q3148" s="1027" t="str">
        <f>LEFT(base[[#This Row],[Evento / Mercado]],FIND("vs",base[[#This Row],[Evento / Mercado]])-2)</f>
        <v>Norway</v>
      </c>
      <c r="R314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4" t="str">
        <f>LEFT(base[[#This Row],[Evento / Mercado]],FIND("/",base[[#This Row],[Evento / Mercado]])-2)</f>
        <v>Norway vs England</v>
      </c>
      <c r="T3148" s="1420">
        <f>base[[#This Row],[Data de liquidação]]</f>
        <v>46214.834131944444</v>
      </c>
    </row>
    <row r="3149" spans="2:20" ht="15" customHeight="1">
      <c r="B3149" s="1022" t="s">
        <v>3740</v>
      </c>
      <c r="C3149" s="947" t="s">
        <v>3555</v>
      </c>
      <c r="D3149" s="1390">
        <v>46214.834629629629</v>
      </c>
      <c r="E3149" s="1024">
        <v>-299.99</v>
      </c>
      <c r="F3149" s="654">
        <v>4.4999999999999998E-2</v>
      </c>
      <c r="G3149" s="1025">
        <f t="shared" si="73"/>
        <v>-299.99</v>
      </c>
      <c r="H3149" s="938" t="s">
        <v>3253</v>
      </c>
      <c r="I3149" s="939" t="s">
        <v>1555</v>
      </c>
      <c r="J3149" s="1025">
        <v>4.0999999999999996</v>
      </c>
      <c r="K3149" s="1025">
        <v>299.99</v>
      </c>
      <c r="L3149" s="1023">
        <f>INT(base[[#This Row],[Data de liquidação]])</f>
        <v>46214</v>
      </c>
      <c r="M3149" s="1025">
        <f>base[[#This Row],[L/P Bruto]]-base[[#This Row],[L/P Líquido]]</f>
        <v>0</v>
      </c>
      <c r="N3149" s="1025">
        <f>base[[#This Row],[L/P Líquido]]/base[[#This Row],[Stake/Responsabilidade]]</f>
        <v>-1</v>
      </c>
      <c r="O3149" s="1027">
        <f>IF(base[[#This Row],[L/P Líquido]]&gt;0,1,0)</f>
        <v>0</v>
      </c>
      <c r="P3149" s="1027"/>
      <c r="Q3149" s="1027" t="str">
        <f>LEFT(base[[#This Row],[Evento / Mercado]],FIND("vs",base[[#This Row],[Evento / Mercado]])-2)</f>
        <v>Norway</v>
      </c>
      <c r="R314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4" t="str">
        <f>LEFT(base[[#This Row],[Evento / Mercado]],FIND("/",base[[#This Row],[Evento / Mercado]])-2)</f>
        <v>Norway vs England</v>
      </c>
      <c r="T3149" s="1420">
        <f>base[[#This Row],[Data de liquidação]]</f>
        <v>46214.834629629629</v>
      </c>
    </row>
    <row r="3150" spans="2:20" ht="15" customHeight="1">
      <c r="B3150" s="1022" t="s">
        <v>3740</v>
      </c>
      <c r="C3150" s="935" t="s">
        <v>3556</v>
      </c>
      <c r="D3150" s="1390">
        <v>46214.834641203706</v>
      </c>
      <c r="E3150" s="1024">
        <v>42.36</v>
      </c>
      <c r="F3150" s="654">
        <v>4.4999999999999998E-2</v>
      </c>
      <c r="G3150" s="1025">
        <f t="shared" si="73"/>
        <v>44.356020942408378</v>
      </c>
      <c r="H3150" s="1025" t="s">
        <v>3330</v>
      </c>
      <c r="I3150" s="1248" t="s">
        <v>4367</v>
      </c>
      <c r="J3150" s="1025">
        <f>(4.68*99.6+2.4*100)/base[[#This Row],[Stake/Responsabilidade]]</f>
        <v>3.5377154308617231</v>
      </c>
      <c r="K3150" s="1025">
        <f>100+99.6</f>
        <v>199.6</v>
      </c>
      <c r="L3150" s="1023">
        <f>INT(base[[#This Row],[Data de liquidação]])</f>
        <v>46214</v>
      </c>
      <c r="M3150" s="1025">
        <f>base[[#This Row],[L/P Bruto]]-base[[#This Row],[L/P Líquido]]</f>
        <v>1.9960209424083786</v>
      </c>
      <c r="N3150" s="1025">
        <f>base[[#This Row],[L/P Líquido]]/base[[#This Row],[Stake/Responsabilidade]]</f>
        <v>0.2122244488977956</v>
      </c>
      <c r="O3150" s="1027">
        <f>IF(base[[#This Row],[L/P Líquido]]&gt;0,1,0)</f>
        <v>1</v>
      </c>
      <c r="P3150" s="1027"/>
      <c r="Q3150" s="1027" t="str">
        <f>LEFT(base[[#This Row],[Evento / Mercado]],FIND("vs",base[[#This Row],[Evento / Mercado]])-2)</f>
        <v>Norway</v>
      </c>
      <c r="R315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4" t="str">
        <f>LEFT(base[[#This Row],[Evento / Mercado]],FIND("/",base[[#This Row],[Evento / Mercado]])-2)</f>
        <v>Norway vs England</v>
      </c>
      <c r="T3150" s="1420">
        <f>base[[#This Row],[Data de liquidação]]</f>
        <v>46214.834641203706</v>
      </c>
    </row>
    <row r="3151" spans="2:20" ht="15" customHeight="1">
      <c r="B3151" s="1033" t="s">
        <v>3781</v>
      </c>
      <c r="C3151" s="947" t="s">
        <v>3555</v>
      </c>
      <c r="D3151" s="1391">
        <v>46215.000543981485</v>
      </c>
      <c r="E3151" s="1035">
        <v>292.02</v>
      </c>
      <c r="F3151" s="654">
        <v>4.4999999999999998E-2</v>
      </c>
      <c r="G3151" s="1036">
        <f t="shared" ref="G3151:G3174" si="74">IF(E3151&gt;0,E3151/(1-F3151),E3151)</f>
        <v>305.78010471204186</v>
      </c>
      <c r="H3151" s="938" t="s">
        <v>3253</v>
      </c>
      <c r="I3151" s="939" t="s">
        <v>3254</v>
      </c>
      <c r="J3151" s="1036">
        <v>7.6</v>
      </c>
      <c r="K3151" s="1036">
        <v>46.88</v>
      </c>
      <c r="L3151" s="1034">
        <f>INT(base[[#This Row],[Data de liquidação]])</f>
        <v>46215</v>
      </c>
      <c r="M3151" s="1036">
        <f>base[[#This Row],[L/P Bruto]]-base[[#This Row],[L/P Líquido]]</f>
        <v>13.76010471204188</v>
      </c>
      <c r="N3151" s="1036">
        <f>base[[#This Row],[L/P Líquido]]/base[[#This Row],[Stake/Responsabilidade]]</f>
        <v>6.2290955631399312</v>
      </c>
      <c r="O3151" s="1038">
        <f>IF(base[[#This Row],[L/P Líquido]]&gt;0,1,0)</f>
        <v>1</v>
      </c>
      <c r="P3151" s="1038"/>
      <c r="Q3151" s="1038" t="str">
        <f>LEFT(base[[#This Row],[Evento / Mercado]],FIND("vs",base[[#This Row],[Evento / Mercado]])-2)</f>
        <v>Argentina</v>
      </c>
      <c r="R315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4" t="str">
        <f>LEFT(base[[#This Row],[Evento / Mercado]],FIND("/",base[[#This Row],[Evento / Mercado]])-2)</f>
        <v>Argentina vs Switzerland</v>
      </c>
      <c r="T3151" s="1420">
        <f>base[[#This Row],[Data de liquidação]]</f>
        <v>46215.000543981485</v>
      </c>
    </row>
    <row r="3152" spans="2:20" ht="15" customHeight="1">
      <c r="B3152" s="1033" t="s">
        <v>3781</v>
      </c>
      <c r="C3152" s="935" t="s">
        <v>3556</v>
      </c>
      <c r="D3152" s="1391">
        <v>46215.000543981485</v>
      </c>
      <c r="E3152" s="1035">
        <v>30.08</v>
      </c>
      <c r="F3152" s="654">
        <v>4.4999999999999998E-2</v>
      </c>
      <c r="G3152" s="1036">
        <f t="shared" si="74"/>
        <v>31.497382198952881</v>
      </c>
      <c r="H3152" s="1036" t="s">
        <v>3334</v>
      </c>
      <c r="I3152" s="1037" t="s">
        <v>627</v>
      </c>
      <c r="J3152" s="1036">
        <v>17</v>
      </c>
      <c r="K3152" s="1036">
        <v>504</v>
      </c>
      <c r="L3152" s="1034">
        <f>INT(base[[#This Row],[Data de liquidação]])</f>
        <v>46215</v>
      </c>
      <c r="M3152" s="1036">
        <f>base[[#This Row],[L/P Bruto]]-base[[#This Row],[L/P Líquido]]</f>
        <v>1.4173821989528825</v>
      </c>
      <c r="N3152" s="1036">
        <f>base[[#This Row],[L/P Líquido]]/base[[#This Row],[Stake/Responsabilidade]]</f>
        <v>5.9682539682539677E-2</v>
      </c>
      <c r="O3152" s="1038">
        <f>IF(base[[#This Row],[L/P Líquido]]&gt;0,1,0)</f>
        <v>1</v>
      </c>
      <c r="P3152" s="1038"/>
      <c r="Q3152" s="1038" t="str">
        <f>LEFT(base[[#This Row],[Evento / Mercado]],FIND("vs",base[[#This Row],[Evento / Mercado]])-2)</f>
        <v>Argentina</v>
      </c>
      <c r="R315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4" t="str">
        <f>LEFT(base[[#This Row],[Evento / Mercado]],FIND("/",base[[#This Row],[Evento / Mercado]])-2)</f>
        <v>Argentina vs Switzerland</v>
      </c>
      <c r="T3152" s="1420">
        <f>base[[#This Row],[Data de liquidação]]</f>
        <v>46215.000543981485</v>
      </c>
    </row>
    <row r="3153" spans="2:20" ht="15" customHeight="1">
      <c r="B3153" s="1033" t="s">
        <v>3790</v>
      </c>
      <c r="C3153" s="935" t="s">
        <v>3556</v>
      </c>
      <c r="D3153" s="1391">
        <v>46215.000960648147</v>
      </c>
      <c r="E3153" s="1035">
        <v>28.3</v>
      </c>
      <c r="F3153" s="654">
        <v>4.4999999999999998E-2</v>
      </c>
      <c r="G3153" s="1036">
        <f t="shared" si="74"/>
        <v>29.633507853403142</v>
      </c>
      <c r="H3153" s="1036" t="s">
        <v>179</v>
      </c>
      <c r="I3153" s="1037" t="s">
        <v>3792</v>
      </c>
      <c r="J3153" s="1036">
        <v>14.5</v>
      </c>
      <c r="K3153" s="1036">
        <v>400.01</v>
      </c>
      <c r="L3153" s="1034">
        <f>INT(base[[#This Row],[Data de liquidação]])</f>
        <v>46215</v>
      </c>
      <c r="M3153" s="1036">
        <f>base[[#This Row],[L/P Bruto]]-base[[#This Row],[L/P Líquido]]</f>
        <v>1.333507853403141</v>
      </c>
      <c r="N3153" s="1036">
        <f>base[[#This Row],[L/P Líquido]]/base[[#This Row],[Stake/Responsabilidade]]</f>
        <v>7.0748231294217645E-2</v>
      </c>
      <c r="O3153" s="1038">
        <f>IF(base[[#This Row],[L/P Líquido]]&gt;0,1,0)</f>
        <v>1</v>
      </c>
      <c r="P3153" s="1038"/>
      <c r="Q3153" s="1038" t="str">
        <f>LEFT(base[[#This Row],[Evento / Mercado]],FIND("vs",base[[#This Row],[Evento / Mercado]])-2)</f>
        <v>Argentina</v>
      </c>
      <c r="R315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4" t="str">
        <f>LEFT(base[[#This Row],[Evento / Mercado]],FIND("/",base[[#This Row],[Evento / Mercado]])-2)</f>
        <v>Argentina vs Switzerland</v>
      </c>
      <c r="T3153" s="1420">
        <f>base[[#This Row],[Data de liquidação]]</f>
        <v>46215.000960648147</v>
      </c>
    </row>
    <row r="3154" spans="2:20" ht="15" customHeight="1">
      <c r="B3154" s="1033" t="s">
        <v>3780</v>
      </c>
      <c r="C3154" s="947" t="s">
        <v>3555</v>
      </c>
      <c r="D3154" s="1391">
        <v>46215.001018518517</v>
      </c>
      <c r="E3154" s="1035">
        <v>-300.02</v>
      </c>
      <c r="F3154" s="654">
        <v>4.4999999999999998E-2</v>
      </c>
      <c r="G3154" s="1036">
        <f t="shared" si="74"/>
        <v>-300.02</v>
      </c>
      <c r="H3154" s="938" t="s">
        <v>3253</v>
      </c>
      <c r="I3154" s="939" t="s">
        <v>1555</v>
      </c>
      <c r="J3154" s="1036">
        <f>(3.65*5.01+3.61*295.01)/base[[#This Row],[Stake/Responsabilidade]]</f>
        <v>3.6106679554696348</v>
      </c>
      <c r="K3154" s="1036">
        <f>295.01+5.01</f>
        <v>300.02</v>
      </c>
      <c r="L3154" s="1034">
        <f>INT(base[[#This Row],[Data de liquidação]])</f>
        <v>46215</v>
      </c>
      <c r="M3154" s="1036">
        <f>base[[#This Row],[L/P Bruto]]-base[[#This Row],[L/P Líquido]]</f>
        <v>0</v>
      </c>
      <c r="N3154" s="1036">
        <f>base[[#This Row],[L/P Líquido]]/base[[#This Row],[Stake/Responsabilidade]]</f>
        <v>-1</v>
      </c>
      <c r="O3154" s="1038">
        <f>IF(base[[#This Row],[L/P Líquido]]&gt;0,1,0)</f>
        <v>0</v>
      </c>
      <c r="P3154" s="1038"/>
      <c r="Q3154" s="1038" t="str">
        <f>LEFT(base[[#This Row],[Evento / Mercado]],FIND("vs",base[[#This Row],[Evento / Mercado]])-2)</f>
        <v>Argentina</v>
      </c>
      <c r="R315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4" t="str">
        <f>LEFT(base[[#This Row],[Evento / Mercado]],FIND("/",base[[#This Row],[Evento / Mercado]])-2)</f>
        <v>Argentina vs Switzerland</v>
      </c>
      <c r="T3154" s="1420">
        <f>base[[#This Row],[Data de liquidação]]</f>
        <v>46215.001018518517</v>
      </c>
    </row>
    <row r="3155" spans="2:20" ht="15" customHeight="1">
      <c r="B3155" s="1033" t="s">
        <v>3780</v>
      </c>
      <c r="C3155" s="935" t="s">
        <v>3556</v>
      </c>
      <c r="D3155" s="1391">
        <v>46215.001018518517</v>
      </c>
      <c r="E3155" s="1035">
        <v>9.5500000000000007</v>
      </c>
      <c r="F3155" s="654">
        <v>4.4999999999999998E-2</v>
      </c>
      <c r="G3155" s="1036">
        <f t="shared" si="74"/>
        <v>10.000000000000002</v>
      </c>
      <c r="H3155" s="1036" t="s">
        <v>3330</v>
      </c>
      <c r="I3155" s="1037" t="s">
        <v>3566</v>
      </c>
      <c r="J3155" s="1036">
        <v>6.6</v>
      </c>
      <c r="K3155" s="1036">
        <v>100.02</v>
      </c>
      <c r="L3155" s="1034">
        <f>INT(base[[#This Row],[Data de liquidação]])</f>
        <v>46215</v>
      </c>
      <c r="M3155" s="1036">
        <f>base[[#This Row],[L/P Bruto]]-base[[#This Row],[L/P Líquido]]</f>
        <v>0.45000000000000107</v>
      </c>
      <c r="N3155" s="1036">
        <f>base[[#This Row],[L/P Líquido]]/base[[#This Row],[Stake/Responsabilidade]]</f>
        <v>9.5480903819236157E-2</v>
      </c>
      <c r="O3155" s="1038">
        <f>IF(base[[#This Row],[L/P Líquido]]&gt;0,1,0)</f>
        <v>1</v>
      </c>
      <c r="P3155" s="1038"/>
      <c r="Q3155" s="1038" t="str">
        <f>LEFT(base[[#This Row],[Evento / Mercado]],FIND("vs",base[[#This Row],[Evento / Mercado]])-2)</f>
        <v>Argentina</v>
      </c>
      <c r="R315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4" t="str">
        <f>LEFT(base[[#This Row],[Evento / Mercado]],FIND("/",base[[#This Row],[Evento / Mercado]])-2)</f>
        <v>Argentina vs Switzerland</v>
      </c>
      <c r="T3155" s="1420">
        <f>base[[#This Row],[Data de liquidação]]</f>
        <v>46215.001018518517</v>
      </c>
    </row>
    <row r="3156" spans="2:20" ht="15" customHeight="1">
      <c r="B3156" s="1033" t="s">
        <v>3779</v>
      </c>
      <c r="C3156" s="947" t="s">
        <v>3555</v>
      </c>
      <c r="D3156" s="1391">
        <v>46215.452685185184</v>
      </c>
      <c r="E3156" s="1035">
        <v>-28.57</v>
      </c>
      <c r="F3156" s="654">
        <v>4.4999999999999998E-2</v>
      </c>
      <c r="G3156" s="1036">
        <f t="shared" si="74"/>
        <v>-28.57</v>
      </c>
      <c r="H3156" s="938" t="s">
        <v>3253</v>
      </c>
      <c r="I3156" s="939" t="s">
        <v>3254</v>
      </c>
      <c r="J3156" s="1036">
        <v>11.5</v>
      </c>
      <c r="K3156" s="1036">
        <v>28.57</v>
      </c>
      <c r="L3156" s="1034">
        <f>INT(base[[#This Row],[Data de liquidação]])</f>
        <v>46215</v>
      </c>
      <c r="M3156" s="1036">
        <f>base[[#This Row],[L/P Bruto]]-base[[#This Row],[L/P Líquido]]</f>
        <v>0</v>
      </c>
      <c r="N3156" s="1036">
        <f>base[[#This Row],[L/P Líquido]]/base[[#This Row],[Stake/Responsabilidade]]</f>
        <v>-1</v>
      </c>
      <c r="O3156" s="1038">
        <f>IF(base[[#This Row],[L/P Líquido]]&gt;0,1,0)</f>
        <v>0</v>
      </c>
      <c r="P3156" s="1038"/>
      <c r="Q3156" s="1038" t="str">
        <f>LEFT(base[[#This Row],[Evento / Mercado]],FIND("vs",base[[#This Row],[Evento / Mercado]])-2)</f>
        <v>Hammarby IF</v>
      </c>
      <c r="R315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4" t="str">
        <f>LEFT(base[[#This Row],[Evento / Mercado]],FIND("/",base[[#This Row],[Evento / Mercado]])-2)</f>
        <v>Hammarby IF vs Kalmar FF</v>
      </c>
      <c r="T3156" s="1420">
        <f>base[[#This Row],[Data de liquidação]]</f>
        <v>46215.452685185184</v>
      </c>
    </row>
    <row r="3157" spans="2:20" ht="15" customHeight="1">
      <c r="B3157" s="1033" t="s">
        <v>3778</v>
      </c>
      <c r="C3157" s="947" t="s">
        <v>3555</v>
      </c>
      <c r="D3157" s="1391">
        <v>46215.452789351853</v>
      </c>
      <c r="E3157" s="1035">
        <v>47.14</v>
      </c>
      <c r="F3157" s="654">
        <v>4.4999999999999998E-2</v>
      </c>
      <c r="G3157" s="1036">
        <f t="shared" si="74"/>
        <v>49.361256544502623</v>
      </c>
      <c r="H3157" s="938" t="s">
        <v>3253</v>
      </c>
      <c r="I3157" s="939" t="s">
        <v>1555</v>
      </c>
      <c r="J3157" s="1036">
        <v>5.6</v>
      </c>
      <c r="K3157" s="1036">
        <v>287.5</v>
      </c>
      <c r="L3157" s="1034">
        <f>INT(base[[#This Row],[Data de liquidação]])</f>
        <v>46215</v>
      </c>
      <c r="M3157" s="1036">
        <f>base[[#This Row],[L/P Bruto]]-base[[#This Row],[L/P Líquido]]</f>
        <v>2.2212565445026229</v>
      </c>
      <c r="N3157" s="1036">
        <f>base[[#This Row],[L/P Líquido]]/base[[#This Row],[Stake/Responsabilidade]]</f>
        <v>0.16396521739130435</v>
      </c>
      <c r="O3157" s="1038">
        <f>IF(base[[#This Row],[L/P Líquido]]&gt;0,1,0)</f>
        <v>1</v>
      </c>
      <c r="P3157" s="1038"/>
      <c r="Q3157" s="1038" t="str">
        <f>LEFT(base[[#This Row],[Evento / Mercado]],FIND("vs",base[[#This Row],[Evento / Mercado]])-2)</f>
        <v>Hammarby IF</v>
      </c>
      <c r="R31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4" t="str">
        <f>LEFT(base[[#This Row],[Evento / Mercado]],FIND("/",base[[#This Row],[Evento / Mercado]])-2)</f>
        <v>Hammarby IF vs Kalmar FF</v>
      </c>
      <c r="T3157" s="1420">
        <f>base[[#This Row],[Data de liquidação]]</f>
        <v>46215.452789351853</v>
      </c>
    </row>
    <row r="3158" spans="2:20" ht="15" customHeight="1">
      <c r="B3158" s="1033" t="s">
        <v>3778</v>
      </c>
      <c r="C3158" s="935" t="s">
        <v>3556</v>
      </c>
      <c r="D3158" s="1391">
        <v>46215.452789351853</v>
      </c>
      <c r="E3158" s="1035">
        <v>7.23</v>
      </c>
      <c r="F3158" s="654">
        <v>4.4999999999999998E-2</v>
      </c>
      <c r="G3158" s="1036">
        <f t="shared" si="74"/>
        <v>7.5706806282722523</v>
      </c>
      <c r="H3158" s="1036" t="s">
        <v>3330</v>
      </c>
      <c r="I3158" s="1037" t="s">
        <v>3566</v>
      </c>
      <c r="J3158" s="1036">
        <v>8</v>
      </c>
      <c r="K3158" s="1036">
        <v>100.03</v>
      </c>
      <c r="L3158" s="1034">
        <f>INT(base[[#This Row],[Data de liquidação]])</f>
        <v>46215</v>
      </c>
      <c r="M3158" s="1036">
        <f>base[[#This Row],[L/P Bruto]]-base[[#This Row],[L/P Líquido]]</f>
        <v>0.34068062827225187</v>
      </c>
      <c r="N3158" s="1036">
        <f>base[[#This Row],[L/P Líquido]]/base[[#This Row],[Stake/Responsabilidade]]</f>
        <v>7.2278316505048484E-2</v>
      </c>
      <c r="O3158" s="1038">
        <f>IF(base[[#This Row],[L/P Líquido]]&gt;0,1,0)</f>
        <v>1</v>
      </c>
      <c r="P3158" s="1038"/>
      <c r="Q3158" s="1038" t="str">
        <f>LEFT(base[[#This Row],[Evento / Mercado]],FIND("vs",base[[#This Row],[Evento / Mercado]])-2)</f>
        <v>Hammarby IF</v>
      </c>
      <c r="R31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4" t="str">
        <f>LEFT(base[[#This Row],[Evento / Mercado]],FIND("/",base[[#This Row],[Evento / Mercado]])-2)</f>
        <v>Hammarby IF vs Kalmar FF</v>
      </c>
      <c r="T3158" s="1420">
        <f>base[[#This Row],[Data de liquidação]]</f>
        <v>46215.452789351853</v>
      </c>
    </row>
    <row r="3159" spans="2:20" ht="15" customHeight="1">
      <c r="B3159" s="1033" t="s">
        <v>3777</v>
      </c>
      <c r="C3159" s="947" t="s">
        <v>3555</v>
      </c>
      <c r="D3159" s="1391">
        <v>46215.45349537037</v>
      </c>
      <c r="E3159" s="1035">
        <v>-36.590000000000003</v>
      </c>
      <c r="F3159" s="654">
        <v>4.4999999999999998E-2</v>
      </c>
      <c r="G3159" s="1036">
        <f t="shared" si="74"/>
        <v>-36.590000000000003</v>
      </c>
      <c r="H3159" s="938" t="s">
        <v>3253</v>
      </c>
      <c r="I3159" s="939" t="s">
        <v>3254</v>
      </c>
      <c r="J3159" s="1036">
        <v>9.33</v>
      </c>
      <c r="K3159" s="1036">
        <v>36.590000000000003</v>
      </c>
      <c r="L3159" s="1034">
        <f>INT(base[[#This Row],[Data de liquidação]])</f>
        <v>46215</v>
      </c>
      <c r="M3159" s="1036">
        <f>base[[#This Row],[L/P Bruto]]-base[[#This Row],[L/P Líquido]]</f>
        <v>0</v>
      </c>
      <c r="N3159" s="1036">
        <f>base[[#This Row],[L/P Líquido]]/base[[#This Row],[Stake/Responsabilidade]]</f>
        <v>-1</v>
      </c>
      <c r="O3159" s="1038">
        <f>IF(base[[#This Row],[L/P Líquido]]&gt;0,1,0)</f>
        <v>0</v>
      </c>
      <c r="P3159" s="1038"/>
      <c r="Q3159" s="1038" t="str">
        <f>LEFT(base[[#This Row],[Evento / Mercado]],FIND("vs",base[[#This Row],[Evento / Mercado]])-2)</f>
        <v>Malmö FF</v>
      </c>
      <c r="R31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4" t="str">
        <f>LEFT(base[[#This Row],[Evento / Mercado]],FIND("/",base[[#This Row],[Evento / Mercado]])-2)</f>
        <v>Malmö FF vs IFK Göteborg</v>
      </c>
      <c r="T3159" s="1420">
        <f>base[[#This Row],[Data de liquidação]]</f>
        <v>46215.45349537037</v>
      </c>
    </row>
    <row r="3160" spans="2:20" ht="15" customHeight="1">
      <c r="B3160" s="1033" t="s">
        <v>3776</v>
      </c>
      <c r="C3160" s="947" t="s">
        <v>3555</v>
      </c>
      <c r="D3160" s="1391">
        <v>46215.453611111108</v>
      </c>
      <c r="E3160" s="1035">
        <v>50.63</v>
      </c>
      <c r="F3160" s="654">
        <v>4.4999999999999998E-2</v>
      </c>
      <c r="G3160" s="1036">
        <f t="shared" si="74"/>
        <v>53.015706806282729</v>
      </c>
      <c r="H3160" s="938" t="s">
        <v>3253</v>
      </c>
      <c r="I3160" s="939" t="s">
        <v>1555</v>
      </c>
      <c r="J3160" s="1036">
        <v>4.2</v>
      </c>
      <c r="K3160" s="1036">
        <v>300</v>
      </c>
      <c r="L3160" s="1034">
        <f>INT(base[[#This Row],[Data de liquidação]])</f>
        <v>46215</v>
      </c>
      <c r="M3160" s="1036">
        <f>base[[#This Row],[L/P Bruto]]-base[[#This Row],[L/P Líquido]]</f>
        <v>2.3857068062827267</v>
      </c>
      <c r="N3160" s="1036">
        <f>base[[#This Row],[L/P Líquido]]/base[[#This Row],[Stake/Responsabilidade]]</f>
        <v>0.16876666666666668</v>
      </c>
      <c r="O3160" s="1038">
        <f>IF(base[[#This Row],[L/P Líquido]]&gt;0,1,0)</f>
        <v>1</v>
      </c>
      <c r="P3160" s="1038"/>
      <c r="Q3160" s="1038" t="str">
        <f>LEFT(base[[#This Row],[Evento / Mercado]],FIND("vs",base[[#This Row],[Evento / Mercado]])-2)</f>
        <v>Malmö FF</v>
      </c>
      <c r="R31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4" t="str">
        <f>LEFT(base[[#This Row],[Evento / Mercado]],FIND("/",base[[#This Row],[Evento / Mercado]])-2)</f>
        <v>Malmö FF vs IFK Göteborg</v>
      </c>
      <c r="T3160" s="1420">
        <f>base[[#This Row],[Data de liquidação]]</f>
        <v>46215.453611111108</v>
      </c>
    </row>
    <row r="3161" spans="2:20" ht="15" customHeight="1">
      <c r="B3161" s="1033" t="s">
        <v>3776</v>
      </c>
      <c r="C3161" s="935" t="s">
        <v>3556</v>
      </c>
      <c r="D3161" s="1391">
        <v>46215.453611111108</v>
      </c>
      <c r="E3161" s="1035">
        <v>14.58</v>
      </c>
      <c r="F3161" s="654">
        <v>4.4999999999999998E-2</v>
      </c>
      <c r="G3161" s="1036">
        <f t="shared" si="74"/>
        <v>15.267015706806284</v>
      </c>
      <c r="H3161" s="1036" t="s">
        <v>3330</v>
      </c>
      <c r="I3161" s="1248" t="s">
        <v>4368</v>
      </c>
      <c r="J3161" s="1036">
        <v>3.9</v>
      </c>
      <c r="K3161" s="1036">
        <v>99.99</v>
      </c>
      <c r="L3161" s="1034">
        <f>INT(base[[#This Row],[Data de liquidação]])</f>
        <v>46215</v>
      </c>
      <c r="M3161" s="1036">
        <f>base[[#This Row],[L/P Bruto]]-base[[#This Row],[L/P Líquido]]</f>
        <v>0.68701570680628343</v>
      </c>
      <c r="N3161" s="1036">
        <f>base[[#This Row],[L/P Líquido]]/base[[#This Row],[Stake/Responsabilidade]]</f>
        <v>0.14581458145814583</v>
      </c>
      <c r="O3161" s="1038">
        <f>IF(base[[#This Row],[L/P Líquido]]&gt;0,1,0)</f>
        <v>1</v>
      </c>
      <c r="P3161" s="1038"/>
      <c r="Q3161" s="1038" t="str">
        <f>LEFT(base[[#This Row],[Evento / Mercado]],FIND("vs",base[[#This Row],[Evento / Mercado]])-2)</f>
        <v>Malmö FF</v>
      </c>
      <c r="R31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4" t="str">
        <f>LEFT(base[[#This Row],[Evento / Mercado]],FIND("/",base[[#This Row],[Evento / Mercado]])-2)</f>
        <v>Malmö FF vs IFK Göteborg</v>
      </c>
      <c r="T3161" s="1420">
        <f>base[[#This Row],[Data de liquidação]]</f>
        <v>46215.453611111108</v>
      </c>
    </row>
    <row r="3162" spans="2:20" ht="15" customHeight="1">
      <c r="B3162" s="1033" t="s">
        <v>3789</v>
      </c>
      <c r="C3162" s="935" t="s">
        <v>3556</v>
      </c>
      <c r="D3162" s="1391">
        <v>46215.462407407409</v>
      </c>
      <c r="E3162" s="1035">
        <v>-14.46</v>
      </c>
      <c r="F3162" s="654">
        <v>4.4999999999999998E-2</v>
      </c>
      <c r="G3162" s="1036">
        <f t="shared" si="74"/>
        <v>-14.46</v>
      </c>
      <c r="H3162" s="1036" t="s">
        <v>1666</v>
      </c>
      <c r="I3162" s="1037" t="s">
        <v>1558</v>
      </c>
      <c r="J3162" s="1036">
        <v>11</v>
      </c>
      <c r="K3162" s="1036">
        <v>15</v>
      </c>
      <c r="L3162" s="1034">
        <f>INT(base[[#This Row],[Data de liquidação]])</f>
        <v>46215</v>
      </c>
      <c r="M3162" s="1036">
        <f>base[[#This Row],[L/P Bruto]]-base[[#This Row],[L/P Líquido]]</f>
        <v>0</v>
      </c>
      <c r="N3162" s="1036">
        <f>base[[#This Row],[L/P Líquido]]/base[[#This Row],[Stake/Responsabilidade]]</f>
        <v>-0.96400000000000008</v>
      </c>
      <c r="O3162" s="1038">
        <f>IF(base[[#This Row],[L/P Líquido]]&gt;0,1,0)</f>
        <v>0</v>
      </c>
      <c r="P3162" s="1038"/>
      <c r="Q3162" s="1038" t="str">
        <f>LEFT(base[[#This Row],[Evento / Mercado]],FIND("vs",base[[#This Row],[Evento / Mercado]])-2)</f>
        <v>KFUM Oslo</v>
      </c>
      <c r="R31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4" t="str">
        <f>LEFT(base[[#This Row],[Evento / Mercado]],FIND("/",base[[#This Row],[Evento / Mercado]])-2)</f>
        <v>KFUM Oslo vs Bod</v>
      </c>
      <c r="T3162" s="1420">
        <f>base[[#This Row],[Data de liquidação]]</f>
        <v>46215.462407407409</v>
      </c>
    </row>
    <row r="3163" spans="2:20" ht="15" customHeight="1">
      <c r="B3163" s="1033" t="s">
        <v>3788</v>
      </c>
      <c r="C3163" s="935" t="s">
        <v>3556</v>
      </c>
      <c r="D3163" s="1391">
        <v>46215.550208333334</v>
      </c>
      <c r="E3163" s="1035">
        <v>0.64</v>
      </c>
      <c r="F3163" s="654">
        <v>4.4999999999999998E-2</v>
      </c>
      <c r="G3163" s="1036">
        <f t="shared" si="74"/>
        <v>0.67015706806282727</v>
      </c>
      <c r="H3163" s="1036" t="s">
        <v>1666</v>
      </c>
      <c r="I3163" s="1037" t="s">
        <v>2362</v>
      </c>
      <c r="J3163" s="1036">
        <v>1.07</v>
      </c>
      <c r="K3163" s="1036">
        <v>10</v>
      </c>
      <c r="L3163" s="1034">
        <f>INT(base[[#This Row],[Data de liquidação]])</f>
        <v>46215</v>
      </c>
      <c r="M3163" s="1036">
        <f>base[[#This Row],[L/P Bruto]]-base[[#This Row],[L/P Líquido]]</f>
        <v>3.0157068062827252E-2</v>
      </c>
      <c r="N3163" s="1036">
        <f>base[[#This Row],[L/P Líquido]]/base[[#This Row],[Stake/Responsabilidade]]</f>
        <v>6.4000000000000001E-2</v>
      </c>
      <c r="O3163" s="1038">
        <f>IF(base[[#This Row],[L/P Líquido]]&gt;0,1,0)</f>
        <v>1</v>
      </c>
      <c r="P3163" s="1038"/>
      <c r="Q3163" s="1038" t="str">
        <f>LEFT(base[[#This Row],[Evento / Mercado]],FIND("vs",base[[#This Row],[Evento / Mercado]])-2)</f>
        <v>Brann</v>
      </c>
      <c r="R31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4" t="str">
        <f>LEFT(base[[#This Row],[Evento / Mercado]],FIND("/",base[[#This Row],[Evento / Mercado]])-2)</f>
        <v>Brann vs Start</v>
      </c>
      <c r="T3163" s="1420">
        <f>base[[#This Row],[Data de liquidação]]</f>
        <v>46215.550208333334</v>
      </c>
    </row>
    <row r="3164" spans="2:20" ht="15" customHeight="1">
      <c r="B3164" s="1033" t="s">
        <v>3787</v>
      </c>
      <c r="C3164" s="935" t="s">
        <v>3556</v>
      </c>
      <c r="D3164" s="1391">
        <v>46215.555381944447</v>
      </c>
      <c r="E3164" s="1035">
        <v>4.99</v>
      </c>
      <c r="F3164" s="654">
        <v>4.4999999999999998E-2</v>
      </c>
      <c r="G3164" s="1036">
        <f t="shared" si="74"/>
        <v>5.2251308900523563</v>
      </c>
      <c r="H3164" s="1036" t="s">
        <v>1666</v>
      </c>
      <c r="I3164" s="1037" t="s">
        <v>1759</v>
      </c>
      <c r="J3164" s="1036">
        <v>24.22</v>
      </c>
      <c r="K3164" s="1036">
        <v>121.22</v>
      </c>
      <c r="L3164" s="1034">
        <f>INT(base[[#This Row],[Data de liquidação]])</f>
        <v>46215</v>
      </c>
      <c r="M3164" s="1036">
        <f>base[[#This Row],[L/P Bruto]]-base[[#This Row],[L/P Líquido]]</f>
        <v>0.2351308900523561</v>
      </c>
      <c r="N3164" s="1036">
        <f>base[[#This Row],[L/P Líquido]]/base[[#This Row],[Stake/Responsabilidade]]</f>
        <v>4.1164824286421382E-2</v>
      </c>
      <c r="O3164" s="1038">
        <f>IF(base[[#This Row],[L/P Líquido]]&gt;0,1,0)</f>
        <v>1</v>
      </c>
      <c r="P3164" s="1038"/>
      <c r="Q3164" s="1038" t="str">
        <f>LEFT(base[[#This Row],[Evento / Mercado]],FIND("vs",base[[#This Row],[Evento / Mercado]])-2)</f>
        <v>GAIS</v>
      </c>
      <c r="R31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4" t="str">
        <f>LEFT(base[[#This Row],[Evento / Mercado]],FIND("/",base[[#This Row],[Evento / Mercado]])-2)</f>
        <v>GAIS vs IF Elfsborg</v>
      </c>
      <c r="T3164" s="1420">
        <f>base[[#This Row],[Data de liquidação]]</f>
        <v>46215.555381944447</v>
      </c>
    </row>
    <row r="3165" spans="2:20" ht="15" customHeight="1">
      <c r="B3165" s="1033" t="s">
        <v>3786</v>
      </c>
      <c r="C3165" s="935" t="s">
        <v>3556</v>
      </c>
      <c r="D3165" s="1391">
        <v>46215.55641203704</v>
      </c>
      <c r="E3165" s="1035">
        <v>34.22</v>
      </c>
      <c r="F3165" s="654">
        <v>4.4999999999999998E-2</v>
      </c>
      <c r="G3165" s="1036">
        <f t="shared" si="74"/>
        <v>35.832460732984295</v>
      </c>
      <c r="H3165" s="1036" t="s">
        <v>74</v>
      </c>
      <c r="I3165" s="1037" t="s">
        <v>693</v>
      </c>
      <c r="J3165" s="1036">
        <v>13</v>
      </c>
      <c r="K3165" s="1036">
        <v>429.06</v>
      </c>
      <c r="L3165" s="1034">
        <f>INT(base[[#This Row],[Data de liquidação]])</f>
        <v>46215</v>
      </c>
      <c r="M3165" s="1036">
        <f>base[[#This Row],[L/P Bruto]]-base[[#This Row],[L/P Líquido]]</f>
        <v>1.6124607329842959</v>
      </c>
      <c r="N3165" s="1036">
        <f>base[[#This Row],[L/P Líquido]]/base[[#This Row],[Stake/Responsabilidade]]</f>
        <v>7.9755745117233018E-2</v>
      </c>
      <c r="O3165" s="1038">
        <f>IF(base[[#This Row],[L/P Líquido]]&gt;0,1,0)</f>
        <v>1</v>
      </c>
      <c r="P3165" s="1038"/>
      <c r="Q3165" s="1038" t="str">
        <f>LEFT(base[[#This Row],[Evento / Mercado]],FIND("vs",base[[#This Row],[Evento / Mercado]])-2)</f>
        <v>IF Brommapojkarna</v>
      </c>
      <c r="R31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4" t="str">
        <f>LEFT(base[[#This Row],[Evento / Mercado]],FIND("/",base[[#This Row],[Evento / Mercado]])-2)</f>
        <v>IF Brommapojkarna vs IK Sirius</v>
      </c>
      <c r="T3165" s="1420">
        <f>base[[#This Row],[Data de liquidação]]</f>
        <v>46215.55641203704</v>
      </c>
    </row>
    <row r="3166" spans="2:20" ht="15" customHeight="1">
      <c r="B3166" s="1033" t="s">
        <v>3785</v>
      </c>
      <c r="C3166" s="935" t="s">
        <v>3556</v>
      </c>
      <c r="D3166" s="1391">
        <v>46215.580381944441</v>
      </c>
      <c r="E3166" s="1035">
        <v>47.75</v>
      </c>
      <c r="F3166" s="654">
        <v>4.4999999999999998E-2</v>
      </c>
      <c r="G3166" s="1036">
        <f t="shared" si="74"/>
        <v>50</v>
      </c>
      <c r="H3166" s="1036" t="s">
        <v>3271</v>
      </c>
      <c r="I3166" s="1037" t="s">
        <v>627</v>
      </c>
      <c r="J3166" s="1036">
        <v>12</v>
      </c>
      <c r="K3166" s="1036">
        <v>550</v>
      </c>
      <c r="L3166" s="1034">
        <f>INT(base[[#This Row],[Data de liquidação]])</f>
        <v>46215</v>
      </c>
      <c r="M3166" s="1036">
        <f>base[[#This Row],[L/P Bruto]]-base[[#This Row],[L/P Líquido]]</f>
        <v>2.25</v>
      </c>
      <c r="N3166" s="1036">
        <f>base[[#This Row],[L/P Líquido]]/base[[#This Row],[Stake/Responsabilidade]]</f>
        <v>8.6818181818181822E-2</v>
      </c>
      <c r="O3166" s="1038">
        <f>IF(base[[#This Row],[L/P Líquido]]&gt;0,1,0)</f>
        <v>1</v>
      </c>
      <c r="P3166" s="1038"/>
      <c r="Q3166" s="1038" t="str">
        <f>LEFT(base[[#This Row],[Evento / Mercado]],FIND("vs",base[[#This Row],[Evento / Mercado]])-2)</f>
        <v>Brann</v>
      </c>
      <c r="R31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4" t="str">
        <f>LEFT(base[[#This Row],[Evento / Mercado]],FIND("/",base[[#This Row],[Evento / Mercado]])-2)</f>
        <v>Brann vs Start</v>
      </c>
      <c r="T3166" s="1420">
        <f>base[[#This Row],[Data de liquidação]]</f>
        <v>46215.580381944441</v>
      </c>
    </row>
    <row r="3167" spans="2:20" ht="15" customHeight="1">
      <c r="B3167" s="1033" t="s">
        <v>3784</v>
      </c>
      <c r="C3167" s="935" t="s">
        <v>3556</v>
      </c>
      <c r="D3167" s="1391">
        <v>46215.672256944446</v>
      </c>
      <c r="E3167" s="1035">
        <v>29.46</v>
      </c>
      <c r="F3167" s="654">
        <v>4.4999999999999998E-2</v>
      </c>
      <c r="G3167" s="1036">
        <f t="shared" si="74"/>
        <v>30.848167539267017</v>
      </c>
      <c r="H3167" s="1036" t="s">
        <v>74</v>
      </c>
      <c r="I3167" s="1037" t="s">
        <v>693</v>
      </c>
      <c r="J3167" s="1036">
        <v>16</v>
      </c>
      <c r="K3167" s="1036">
        <v>462.67</v>
      </c>
      <c r="L3167" s="1034">
        <f>INT(base[[#This Row],[Data de liquidação]])</f>
        <v>46215</v>
      </c>
      <c r="M3167" s="1036">
        <f>base[[#This Row],[L/P Bruto]]-base[[#This Row],[L/P Líquido]]</f>
        <v>1.3881675392670161</v>
      </c>
      <c r="N3167" s="1036">
        <f>base[[#This Row],[L/P Líquido]]/base[[#This Row],[Stake/Responsabilidade]]</f>
        <v>6.3673892839388763E-2</v>
      </c>
      <c r="O3167" s="1038">
        <f>IF(base[[#This Row],[L/P Líquido]]&gt;0,1,0)</f>
        <v>1</v>
      </c>
      <c r="P3167" s="1038"/>
      <c r="Q3167" s="1038" t="str">
        <f>LEFT(base[[#This Row],[Evento / Mercado]],FIND("vs",base[[#This Row],[Evento / Mercado]])-2)</f>
        <v>Sarpsborg 08</v>
      </c>
      <c r="R31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4" t="str">
        <f>LEFT(base[[#This Row],[Evento / Mercado]],FIND("/",base[[#This Row],[Evento / Mercado]])-2)</f>
        <v>Sarpsborg 08 vs Viking FK</v>
      </c>
      <c r="T3167" s="1420">
        <f>base[[#This Row],[Data de liquidação]]</f>
        <v>46215.672256944446</v>
      </c>
    </row>
    <row r="3168" spans="2:20" ht="15" customHeight="1">
      <c r="B3168" s="1033" t="s">
        <v>3773</v>
      </c>
      <c r="C3168" s="935" t="s">
        <v>3556</v>
      </c>
      <c r="D3168" s="1391">
        <v>46215.672442129631</v>
      </c>
      <c r="E3168" s="1035">
        <v>-18.600000000000001</v>
      </c>
      <c r="F3168" s="654">
        <v>4.4999999999999998E-2</v>
      </c>
      <c r="G3168" s="1036">
        <f t="shared" si="74"/>
        <v>-18.600000000000001</v>
      </c>
      <c r="H3168" s="1036" t="s">
        <v>1666</v>
      </c>
      <c r="I3168" s="1037" t="s">
        <v>1558</v>
      </c>
      <c r="J3168" s="1036">
        <v>14.5</v>
      </c>
      <c r="K3168" s="1036">
        <v>15</v>
      </c>
      <c r="L3168" s="1034">
        <f>INT(base[[#This Row],[Data de liquidação]])</f>
        <v>46215</v>
      </c>
      <c r="M3168" s="1036">
        <f>base[[#This Row],[L/P Bruto]]-base[[#This Row],[L/P Líquido]]</f>
        <v>0</v>
      </c>
      <c r="N3168" s="1036">
        <f>base[[#This Row],[L/P Líquido]]/base[[#This Row],[Stake/Responsabilidade]]</f>
        <v>-1.24</v>
      </c>
      <c r="O3168" s="1038">
        <f>IF(base[[#This Row],[L/P Líquido]]&gt;0,1,0)</f>
        <v>0</v>
      </c>
      <c r="P3168" s="1038"/>
      <c r="Q3168" s="1038" t="str">
        <f>LEFT(base[[#This Row],[Evento / Mercado]],FIND("vs",base[[#This Row],[Evento / Mercado]])-2)</f>
        <v>Sarpsborg 08</v>
      </c>
      <c r="R31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4" t="str">
        <f>LEFT(base[[#This Row],[Evento / Mercado]],FIND("/",base[[#This Row],[Evento / Mercado]])-2)</f>
        <v>Sarpsborg 08 vs Viking FK</v>
      </c>
      <c r="T3168" s="1420">
        <f>base[[#This Row],[Data de liquidação]]</f>
        <v>46215.672442129631</v>
      </c>
    </row>
    <row r="3169" spans="2:20" ht="15" customHeight="1">
      <c r="B3169" s="1033" t="s">
        <v>3772</v>
      </c>
      <c r="C3169" s="947" t="s">
        <v>3555</v>
      </c>
      <c r="D3169" s="1391">
        <v>46215.703912037039</v>
      </c>
      <c r="E3169" s="1035">
        <v>-20</v>
      </c>
      <c r="F3169" s="654">
        <v>4.4999999999999998E-2</v>
      </c>
      <c r="G3169" s="1036">
        <f t="shared" si="74"/>
        <v>-20</v>
      </c>
      <c r="H3169" s="938" t="s">
        <v>3253</v>
      </c>
      <c r="I3169" s="939" t="s">
        <v>3254</v>
      </c>
      <c r="J3169" s="1036">
        <v>16</v>
      </c>
      <c r="K3169" s="1036">
        <v>20</v>
      </c>
      <c r="L3169" s="1034">
        <f>INT(base[[#This Row],[Data de liquidação]])</f>
        <v>46215</v>
      </c>
      <c r="M3169" s="1036">
        <f>base[[#This Row],[L/P Bruto]]-base[[#This Row],[L/P Líquido]]</f>
        <v>0</v>
      </c>
      <c r="N3169" s="1036">
        <f>base[[#This Row],[L/P Líquido]]/base[[#This Row],[Stake/Responsabilidade]]</f>
        <v>-1</v>
      </c>
      <c r="O3169" s="1038">
        <f>IF(base[[#This Row],[L/P Líquido]]&gt;0,1,0)</f>
        <v>0</v>
      </c>
      <c r="P3169" s="1038"/>
      <c r="Q3169" s="1038" t="str">
        <f>LEFT(base[[#This Row],[Evento / Mercado]],FIND("vs",base[[#This Row],[Evento / Mercado]])-2)</f>
        <v>KR Reykjavik</v>
      </c>
      <c r="R31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4" t="str">
        <f>LEFT(base[[#This Row],[Evento / Mercado]],FIND("/",base[[#This Row],[Evento / Mercado]])-2)</f>
        <v>KR Reykjavik vs ÍB Vestmannaeyja</v>
      </c>
      <c r="T3169" s="1420">
        <f>base[[#This Row],[Data de liquidação]]</f>
        <v>46215.703912037039</v>
      </c>
    </row>
    <row r="3170" spans="2:20" ht="15" customHeight="1">
      <c r="B3170" s="1033" t="s">
        <v>3772</v>
      </c>
      <c r="C3170" s="935" t="s">
        <v>3556</v>
      </c>
      <c r="D3170" s="1391">
        <v>46215.703912037039</v>
      </c>
      <c r="E3170" s="1035">
        <v>35.89</v>
      </c>
      <c r="F3170" s="654">
        <v>4.4999999999999998E-2</v>
      </c>
      <c r="G3170" s="1036">
        <f t="shared" si="74"/>
        <v>37.581151832460733</v>
      </c>
      <c r="H3170" s="1036" t="s">
        <v>3661</v>
      </c>
      <c r="I3170" s="1037" t="s">
        <v>392</v>
      </c>
      <c r="J3170" s="1036">
        <f>(7.8*242.83+7.2*11.59)/base[[#This Row],[Stake/Responsabilidade]]</f>
        <v>7.7726672431412629</v>
      </c>
      <c r="K3170" s="1036">
        <f>242.83+11.59</f>
        <v>254.42000000000002</v>
      </c>
      <c r="L3170" s="1034">
        <f>INT(base[[#This Row],[Data de liquidação]])</f>
        <v>46215</v>
      </c>
      <c r="M3170" s="1036">
        <f>base[[#This Row],[L/P Bruto]]-base[[#This Row],[L/P Líquido]]</f>
        <v>1.6911518324607329</v>
      </c>
      <c r="N3170" s="1036">
        <f>base[[#This Row],[L/P Líquido]]/base[[#This Row],[Stake/Responsabilidade]]</f>
        <v>0.1410659539344391</v>
      </c>
      <c r="O3170" s="1038">
        <f>IF(base[[#This Row],[L/P Líquido]]&gt;0,1,0)</f>
        <v>1</v>
      </c>
      <c r="P3170" s="1038"/>
      <c r="Q3170" s="1038" t="str">
        <f>LEFT(base[[#This Row],[Evento / Mercado]],FIND("vs",base[[#This Row],[Evento / Mercado]])-2)</f>
        <v>KR Reykjavik</v>
      </c>
      <c r="R31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4" t="str">
        <f>LEFT(base[[#This Row],[Evento / Mercado]],FIND("/",base[[#This Row],[Evento / Mercado]])-2)</f>
        <v>KR Reykjavik vs ÍB Vestmannaeyja</v>
      </c>
      <c r="T3170" s="1420">
        <f>base[[#This Row],[Data de liquidação]]</f>
        <v>46215.703912037039</v>
      </c>
    </row>
    <row r="3171" spans="2:20" ht="15" customHeight="1">
      <c r="B3171" s="1033" t="s">
        <v>3771</v>
      </c>
      <c r="C3171" s="947" t="s">
        <v>3555</v>
      </c>
      <c r="D3171" s="1391">
        <v>46215.704074074078</v>
      </c>
      <c r="E3171" s="1035">
        <v>5.7</v>
      </c>
      <c r="F3171" s="654">
        <v>4.4999999999999998E-2</v>
      </c>
      <c r="G3171" s="1036">
        <f t="shared" si="74"/>
        <v>5.9685863874345557</v>
      </c>
      <c r="H3171" s="938" t="s">
        <v>3253</v>
      </c>
      <c r="I3171" s="939" t="s">
        <v>1555</v>
      </c>
      <c r="J3171" s="1036">
        <v>5.8</v>
      </c>
      <c r="K3171" s="1036">
        <v>300</v>
      </c>
      <c r="L3171" s="1034">
        <f>INT(base[[#This Row],[Data de liquidação]])</f>
        <v>46215</v>
      </c>
      <c r="M3171" s="1036">
        <f>base[[#This Row],[L/P Bruto]]-base[[#This Row],[L/P Líquido]]</f>
        <v>0.26858638743455554</v>
      </c>
      <c r="N3171" s="1036">
        <f>base[[#This Row],[L/P Líquido]]/base[[#This Row],[Stake/Responsabilidade]]</f>
        <v>1.9E-2</v>
      </c>
      <c r="O3171" s="1038">
        <f>IF(base[[#This Row],[L/P Líquido]]&gt;0,1,0)</f>
        <v>1</v>
      </c>
      <c r="P3171" s="1038"/>
      <c r="Q3171" s="1038" t="str">
        <f>LEFT(base[[#This Row],[Evento / Mercado]],FIND("vs",base[[#This Row],[Evento / Mercado]])-2)</f>
        <v>KR Reykjavik</v>
      </c>
      <c r="R31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4" t="str">
        <f>LEFT(base[[#This Row],[Evento / Mercado]],FIND("/",base[[#This Row],[Evento / Mercado]])-2)</f>
        <v>KR Reykjavik vs ÍB Vestmannaeyja</v>
      </c>
      <c r="T3171" s="1420">
        <f>base[[#This Row],[Data de liquidação]]</f>
        <v>46215.704074074078</v>
      </c>
    </row>
    <row r="3172" spans="2:20" ht="15" customHeight="1">
      <c r="B3172" s="1033" t="s">
        <v>3771</v>
      </c>
      <c r="C3172" s="935" t="s">
        <v>3556</v>
      </c>
      <c r="D3172" s="1391">
        <v>46215.704074074078</v>
      </c>
      <c r="E3172" s="1035">
        <v>27.83</v>
      </c>
      <c r="F3172" s="654">
        <v>4.4999999999999998E-2</v>
      </c>
      <c r="G3172" s="1036">
        <f t="shared" si="74"/>
        <v>29.141361256544503</v>
      </c>
      <c r="H3172" s="1036" t="s">
        <v>3330</v>
      </c>
      <c r="I3172" s="1037" t="s">
        <v>3569</v>
      </c>
      <c r="J3172" s="1036">
        <f>(5.3*100.02+2.72*100)/base[[#This Row],[Stake/Responsabilidade]]</f>
        <v>4.0101289871012904</v>
      </c>
      <c r="K3172" s="1036">
        <f>100.02+100</f>
        <v>200.01999999999998</v>
      </c>
      <c r="L3172" s="1034">
        <f>INT(base[[#This Row],[Data de liquidação]])</f>
        <v>46215</v>
      </c>
      <c r="M3172" s="1036">
        <f>base[[#This Row],[L/P Bruto]]-base[[#This Row],[L/P Líquido]]</f>
        <v>1.3113612565445045</v>
      </c>
      <c r="N3172" s="1036">
        <f>base[[#This Row],[L/P Líquido]]/base[[#This Row],[Stake/Responsabilidade]]</f>
        <v>0.13913608639136088</v>
      </c>
      <c r="O3172" s="1038">
        <f>IF(base[[#This Row],[L/P Líquido]]&gt;0,1,0)</f>
        <v>1</v>
      </c>
      <c r="P3172" s="1038"/>
      <c r="Q3172" s="1038" t="str">
        <f>LEFT(base[[#This Row],[Evento / Mercado]],FIND("vs",base[[#This Row],[Evento / Mercado]])-2)</f>
        <v>KR Reykjavik</v>
      </c>
      <c r="R31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4" t="str">
        <f>LEFT(base[[#This Row],[Evento / Mercado]],FIND("/",base[[#This Row],[Evento / Mercado]])-2)</f>
        <v>KR Reykjavik vs ÍB Vestmannaeyja</v>
      </c>
      <c r="T3172" s="1420">
        <f>base[[#This Row],[Data de liquidação]]</f>
        <v>46215.704074074078</v>
      </c>
    </row>
    <row r="3173" spans="2:20" ht="15" customHeight="1">
      <c r="B3173" s="1033" t="s">
        <v>3783</v>
      </c>
      <c r="C3173" s="935" t="s">
        <v>3556</v>
      </c>
      <c r="D3173" s="1391">
        <v>46215.751747685186</v>
      </c>
      <c r="E3173" s="1035">
        <v>6.04</v>
      </c>
      <c r="F3173" s="654">
        <v>4.4999999999999998E-2</v>
      </c>
      <c r="G3173" s="1036">
        <f t="shared" si="74"/>
        <v>6.3246073298429319</v>
      </c>
      <c r="H3173" s="1036" t="s">
        <v>1666</v>
      </c>
      <c r="I3173" s="1037" t="s">
        <v>1759</v>
      </c>
      <c r="J3173" s="1036">
        <v>19.18</v>
      </c>
      <c r="K3173" s="1036">
        <v>114.89</v>
      </c>
      <c r="L3173" s="1034">
        <f>INT(base[[#This Row],[Data de liquidação]])</f>
        <v>46215</v>
      </c>
      <c r="M3173" s="1036">
        <f>base[[#This Row],[L/P Bruto]]-base[[#This Row],[L/P Líquido]]</f>
        <v>0.28460732984293191</v>
      </c>
      <c r="N3173" s="1036">
        <f>base[[#This Row],[L/P Líquido]]/base[[#This Row],[Stake/Responsabilidade]]</f>
        <v>5.2572025415614933E-2</v>
      </c>
      <c r="O3173" s="1038">
        <f>IF(base[[#This Row],[L/P Líquido]]&gt;0,1,0)</f>
        <v>1</v>
      </c>
      <c r="P3173" s="1038"/>
      <c r="Q3173" s="1038" t="str">
        <f>LEFT(base[[#This Row],[Evento / Mercado]],FIND("vs",base[[#This Row],[Evento / Mercado]])-2)</f>
        <v>Avaí FC</v>
      </c>
      <c r="R31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4" t="str">
        <f>LEFT(base[[#This Row],[Evento / Mercado]],FIND("/",base[[#This Row],[Evento / Mercado]])-2)</f>
        <v>Avaí FC vs Clube Náutico Capibaribe</v>
      </c>
      <c r="T3173" s="1420">
        <f>base[[#This Row],[Data de liquidação]]</f>
        <v>46215.751747685186</v>
      </c>
    </row>
    <row r="3174" spans="2:20" ht="15" customHeight="1">
      <c r="B3174" s="1033" t="s">
        <v>3782</v>
      </c>
      <c r="C3174" s="935" t="s">
        <v>3556</v>
      </c>
      <c r="D3174" s="1391">
        <v>46215.861180555556</v>
      </c>
      <c r="E3174" s="1035">
        <v>77.83</v>
      </c>
      <c r="F3174" s="654">
        <v>4.4999999999999998E-2</v>
      </c>
      <c r="G3174" s="1036">
        <f t="shared" si="74"/>
        <v>81.497382198952877</v>
      </c>
      <c r="H3174" s="1036" t="s">
        <v>3333</v>
      </c>
      <c r="I3174" s="1037" t="s">
        <v>3388</v>
      </c>
      <c r="J3174" s="1036">
        <v>3.5</v>
      </c>
      <c r="K3174" s="1036">
        <v>50</v>
      </c>
      <c r="L3174" s="1034">
        <f>INT(base[[#This Row],[Data de liquidação]])</f>
        <v>46215</v>
      </c>
      <c r="M3174" s="1036">
        <f>base[[#This Row],[L/P Bruto]]-base[[#This Row],[L/P Líquido]]</f>
        <v>3.667382198952879</v>
      </c>
      <c r="N3174" s="1036">
        <f>base[[#This Row],[L/P Líquido]]/base[[#This Row],[Stake/Responsabilidade]]</f>
        <v>1.5566</v>
      </c>
      <c r="O3174" s="1038">
        <f>IF(base[[#This Row],[L/P Líquido]]&gt;0,1,0)</f>
        <v>1</v>
      </c>
      <c r="P3174" s="1038"/>
      <c r="Q3174" s="1038" t="str">
        <f>LEFT(base[[#This Row],[Evento / Mercado]],FIND("vs",base[[#This Row],[Evento / Mercado]])-2)</f>
        <v>CRB</v>
      </c>
      <c r="R31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4" t="str">
        <f>LEFT(base[[#This Row],[Evento / Mercado]],FIND("/",base[[#This Row],[Evento / Mercado]])-2)</f>
        <v>CRB vs Goiás EC</v>
      </c>
      <c r="T3174" s="1420">
        <f>base[[#This Row],[Data de liquidação]]</f>
        <v>46215.861180555556</v>
      </c>
    </row>
    <row r="3175" spans="2:20" ht="15" customHeight="1">
      <c r="B3175" s="1044" t="s">
        <v>3800</v>
      </c>
      <c r="C3175" s="935" t="s">
        <v>3556</v>
      </c>
      <c r="D3175" s="1392">
        <v>46216.615300925929</v>
      </c>
      <c r="E3175" s="1046">
        <v>14.33</v>
      </c>
      <c r="F3175" s="654">
        <v>4.4999999999999998E-2</v>
      </c>
      <c r="G3175" s="1047">
        <f t="shared" ref="G3175:G3182" si="75">IF(E3175&gt;0,E3175/(1-F3175),E3175)</f>
        <v>15.005235602094242</v>
      </c>
      <c r="H3175" s="1047" t="s">
        <v>1666</v>
      </c>
      <c r="I3175" s="1048" t="s">
        <v>1558</v>
      </c>
      <c r="J3175" s="1047">
        <v>12.5</v>
      </c>
      <c r="K3175" s="1047">
        <v>15</v>
      </c>
      <c r="L3175" s="1045">
        <f>INT(base[[#This Row],[Data de liquidação]])</f>
        <v>46216</v>
      </c>
      <c r="M3175" s="1047">
        <f>base[[#This Row],[L/P Bruto]]-base[[#This Row],[L/P Líquido]]</f>
        <v>0.67523560209424183</v>
      </c>
      <c r="N3175" s="1047">
        <f>base[[#This Row],[L/P Líquido]]/base[[#This Row],[Stake/Responsabilidade]]</f>
        <v>0.95533333333333337</v>
      </c>
      <c r="O3175" s="1049">
        <f>IF(base[[#This Row],[L/P Líquido]]&gt;0,1,0)</f>
        <v>1</v>
      </c>
      <c r="P3175" s="1049"/>
      <c r="Q3175" s="1049" t="str">
        <f>LEFT(base[[#This Row],[Evento / Mercado]],FIND("vs",base[[#This Row],[Evento / Mercado]])-2)</f>
        <v>Djurgårdens IF</v>
      </c>
      <c r="R317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4" t="str">
        <f>LEFT(base[[#This Row],[Evento / Mercado]],FIND("/",base[[#This Row],[Evento / Mercado]])-2)</f>
        <v>Djurgårdens IF vs Halmstads BK</v>
      </c>
      <c r="T3175" s="1420">
        <f>base[[#This Row],[Data de liquidação]]</f>
        <v>46216.615300925929</v>
      </c>
    </row>
    <row r="3176" spans="2:20" ht="15" customHeight="1">
      <c r="B3176" s="1044" t="s">
        <v>3801</v>
      </c>
      <c r="C3176" s="947" t="s">
        <v>3555</v>
      </c>
      <c r="D3176" s="1392">
        <v>46216.661192129628</v>
      </c>
      <c r="E3176" s="1046">
        <v>-18.75</v>
      </c>
      <c r="F3176" s="654">
        <v>4.4999999999999998E-2</v>
      </c>
      <c r="G3176" s="1047">
        <f t="shared" si="75"/>
        <v>-18.75</v>
      </c>
      <c r="H3176" s="938" t="s">
        <v>3253</v>
      </c>
      <c r="I3176" s="939" t="s">
        <v>3254</v>
      </c>
      <c r="J3176" s="1047">
        <v>17</v>
      </c>
      <c r="K3176" s="1047">
        <v>18.75</v>
      </c>
      <c r="L3176" s="1045">
        <f>INT(base[[#This Row],[Data de liquidação]])</f>
        <v>46216</v>
      </c>
      <c r="M3176" s="1047">
        <f>base[[#This Row],[L/P Bruto]]-base[[#This Row],[L/P Líquido]]</f>
        <v>0</v>
      </c>
      <c r="N3176" s="1047">
        <f>base[[#This Row],[L/P Líquido]]/base[[#This Row],[Stake/Responsabilidade]]</f>
        <v>-1</v>
      </c>
      <c r="O3176" s="1049">
        <f>IF(base[[#This Row],[L/P Líquido]]&gt;0,1,0)</f>
        <v>0</v>
      </c>
      <c r="P3176" s="1049"/>
      <c r="Q3176" s="1049" t="str">
        <f>LEFT(base[[#This Row],[Evento / Mercado]],FIND("vs",base[[#This Row],[Evento / Mercado]])-2)</f>
        <v>Djurgårdens IF</v>
      </c>
      <c r="R317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4" t="str">
        <f>LEFT(base[[#This Row],[Evento / Mercado]],FIND("/",base[[#This Row],[Evento / Mercado]])-2)</f>
        <v>Djurgårdens IF vs Halmstads BK</v>
      </c>
      <c r="T3176" s="1420">
        <f>base[[#This Row],[Data de liquidação]]</f>
        <v>46216.661192129628</v>
      </c>
    </row>
    <row r="3177" spans="2:20" ht="15" customHeight="1">
      <c r="B3177" s="1044" t="s">
        <v>3799</v>
      </c>
      <c r="C3177" s="935" t="s">
        <v>3556</v>
      </c>
      <c r="D3177" s="1392">
        <v>46216.661400462966</v>
      </c>
      <c r="E3177" s="1046">
        <v>4.78</v>
      </c>
      <c r="F3177" s="654">
        <v>4.4999999999999998E-2</v>
      </c>
      <c r="G3177" s="1047">
        <f t="shared" si="75"/>
        <v>5.005235602094241</v>
      </c>
      <c r="H3177" s="1047" t="s">
        <v>3330</v>
      </c>
      <c r="I3177" s="1048" t="s">
        <v>3802</v>
      </c>
      <c r="J3177" s="1047">
        <v>13.5</v>
      </c>
      <c r="K3177" s="1047">
        <v>100</v>
      </c>
      <c r="L3177" s="1045">
        <f>INT(base[[#This Row],[Data de liquidação]])</f>
        <v>46216</v>
      </c>
      <c r="M3177" s="1047">
        <f>base[[#This Row],[L/P Bruto]]-base[[#This Row],[L/P Líquido]]</f>
        <v>0.22523560209424076</v>
      </c>
      <c r="N3177" s="1047">
        <f>base[[#This Row],[L/P Líquido]]/base[[#This Row],[Stake/Responsabilidade]]</f>
        <v>4.7800000000000002E-2</v>
      </c>
      <c r="O3177" s="1049">
        <f>IF(base[[#This Row],[L/P Líquido]]&gt;0,1,0)</f>
        <v>1</v>
      </c>
      <c r="P3177" s="1049"/>
      <c r="Q3177" s="1049" t="str">
        <f>LEFT(base[[#This Row],[Evento / Mercado]],FIND("vs",base[[#This Row],[Evento / Mercado]])-2)</f>
        <v>Djurgårdens IF</v>
      </c>
      <c r="R317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4" t="str">
        <f>LEFT(base[[#This Row],[Evento / Mercado]],FIND("/",base[[#This Row],[Evento / Mercado]])-2)</f>
        <v>Djurgårdens IF vs Halmstads BK</v>
      </c>
      <c r="T3177" s="1420">
        <f>base[[#This Row],[Data de liquidação]]</f>
        <v>46216.661400462966</v>
      </c>
    </row>
    <row r="3178" spans="2:20" ht="15" customHeight="1">
      <c r="B3178" s="1044" t="s">
        <v>3799</v>
      </c>
      <c r="C3178" s="947" t="s">
        <v>3555</v>
      </c>
      <c r="D3178" s="1392">
        <v>46216.661400462966</v>
      </c>
      <c r="E3178" s="1046">
        <v>32.44</v>
      </c>
      <c r="F3178" s="654">
        <v>4.4999999999999998E-2</v>
      </c>
      <c r="G3178" s="1047">
        <f t="shared" si="75"/>
        <v>33.968586387434556</v>
      </c>
      <c r="H3178" s="938" t="s">
        <v>3253</v>
      </c>
      <c r="I3178" s="939" t="s">
        <v>1555</v>
      </c>
      <c r="J3178" s="1047">
        <v>7.8</v>
      </c>
      <c r="K3178" s="1047">
        <v>300.02</v>
      </c>
      <c r="L3178" s="1045">
        <f>INT(base[[#This Row],[Data de liquidação]])</f>
        <v>46216</v>
      </c>
      <c r="M3178" s="1047">
        <f>base[[#This Row],[L/P Bruto]]-base[[#This Row],[L/P Líquido]]</f>
        <v>1.528586387434558</v>
      </c>
      <c r="N3178" s="1047">
        <f>base[[#This Row],[L/P Líquido]]/base[[#This Row],[Stake/Responsabilidade]]</f>
        <v>0.10812612492500499</v>
      </c>
      <c r="O3178" s="1049">
        <f>IF(base[[#This Row],[L/P Líquido]]&gt;0,1,0)</f>
        <v>1</v>
      </c>
      <c r="P3178" s="1049"/>
      <c r="Q3178" s="1049" t="str">
        <f>LEFT(base[[#This Row],[Evento / Mercado]],FIND("vs",base[[#This Row],[Evento / Mercado]])-2)</f>
        <v>Djurgårdens IF</v>
      </c>
      <c r="R317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4" t="str">
        <f>LEFT(base[[#This Row],[Evento / Mercado]],FIND("/",base[[#This Row],[Evento / Mercado]])-2)</f>
        <v>Djurgårdens IF vs Halmstads BK</v>
      </c>
      <c r="T3178" s="1420">
        <f>base[[#This Row],[Data de liquidação]]</f>
        <v>46216.661400462966</v>
      </c>
    </row>
    <row r="3179" spans="2:20" ht="15" customHeight="1">
      <c r="B3179" s="1044" t="s">
        <v>3798</v>
      </c>
      <c r="C3179" s="935" t="s">
        <v>3556</v>
      </c>
      <c r="D3179" s="1392">
        <v>46216.750706018516</v>
      </c>
      <c r="E3179" s="1046">
        <v>9.7899999999999991</v>
      </c>
      <c r="F3179" s="654">
        <v>4.4999999999999998E-2</v>
      </c>
      <c r="G3179" s="1047">
        <f t="shared" si="75"/>
        <v>10.25130890052356</v>
      </c>
      <c r="H3179" s="1047" t="s">
        <v>3333</v>
      </c>
      <c r="I3179" s="1048" t="s">
        <v>13</v>
      </c>
      <c r="J3179" s="1047">
        <v>1.65</v>
      </c>
      <c r="K3179" s="1047">
        <v>25</v>
      </c>
      <c r="L3179" s="1045">
        <f>INT(base[[#This Row],[Data de liquidação]])</f>
        <v>46216</v>
      </c>
      <c r="M3179" s="1047">
        <f>base[[#This Row],[L/P Bruto]]-base[[#This Row],[L/P Líquido]]</f>
        <v>0.46130890052356044</v>
      </c>
      <c r="N3179" s="1047">
        <f>base[[#This Row],[L/P Líquido]]/base[[#This Row],[Stake/Responsabilidade]]</f>
        <v>0.39159999999999995</v>
      </c>
      <c r="O3179" s="1049">
        <f>IF(base[[#This Row],[L/P Líquido]]&gt;0,1,0)</f>
        <v>1</v>
      </c>
      <c r="P3179" s="1049"/>
      <c r="Q3179" s="1049" t="str">
        <f>LEFT(base[[#This Row],[Evento / Mercado]],FIND("vs",base[[#This Row],[Evento / Mercado]])-2)</f>
        <v>Breidablik</v>
      </c>
      <c r="R317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4" t="str">
        <f>LEFT(base[[#This Row],[Evento / Mercado]],FIND("/",base[[#This Row],[Evento / Mercado]])-2)</f>
        <v>Breidablik vs Keflavik IF</v>
      </c>
      <c r="T3179" s="1420">
        <f>base[[#This Row],[Data de liquidação]]</f>
        <v>46216.750706018516</v>
      </c>
    </row>
    <row r="3180" spans="2:20" ht="15" customHeight="1">
      <c r="B3180" s="1044" t="s">
        <v>3797</v>
      </c>
      <c r="C3180" s="935" t="s">
        <v>3556</v>
      </c>
      <c r="D3180" s="1392">
        <v>46216.753807870373</v>
      </c>
      <c r="E3180" s="1046">
        <v>13.1</v>
      </c>
      <c r="F3180" s="654">
        <v>4.4999999999999998E-2</v>
      </c>
      <c r="G3180" s="1047">
        <f t="shared" si="75"/>
        <v>13.717277486910994</v>
      </c>
      <c r="H3180" s="1047" t="s">
        <v>3334</v>
      </c>
      <c r="I3180" s="1048" t="s">
        <v>627</v>
      </c>
      <c r="J3180" s="1047">
        <v>40</v>
      </c>
      <c r="K3180" s="1047">
        <v>535.08000000000004</v>
      </c>
      <c r="L3180" s="1045">
        <f>INT(base[[#This Row],[Data de liquidação]])</f>
        <v>46216</v>
      </c>
      <c r="M3180" s="1047">
        <f>base[[#This Row],[L/P Bruto]]-base[[#This Row],[L/P Líquido]]</f>
        <v>0.61727748691099471</v>
      </c>
      <c r="N3180" s="1047">
        <f>base[[#This Row],[L/P Líquido]]/base[[#This Row],[Stake/Responsabilidade]]</f>
        <v>2.4482320400687745E-2</v>
      </c>
      <c r="O3180" s="1049">
        <f>IF(base[[#This Row],[L/P Líquido]]&gt;0,1,0)</f>
        <v>1</v>
      </c>
      <c r="P3180" s="1049"/>
      <c r="Q3180" s="1049" t="str">
        <f>LEFT(base[[#This Row],[Evento / Mercado]],FIND("vs",base[[#This Row],[Evento / Mercado]])-2)</f>
        <v>Breidablik</v>
      </c>
      <c r="R318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4" t="str">
        <f>LEFT(base[[#This Row],[Evento / Mercado]],FIND("/",base[[#This Row],[Evento / Mercado]])-2)</f>
        <v>Breidablik vs Keflavik IF</v>
      </c>
      <c r="T3180" s="1420">
        <f>base[[#This Row],[Data de liquidação]]</f>
        <v>46216.753807870373</v>
      </c>
    </row>
    <row r="3181" spans="2:20" ht="15" customHeight="1">
      <c r="B3181" s="1044" t="s">
        <v>3797</v>
      </c>
      <c r="C3181" s="947" t="s">
        <v>3555</v>
      </c>
      <c r="D3181" s="1392">
        <v>46216.753807870373</v>
      </c>
      <c r="E3181" s="1046">
        <v>15.64</v>
      </c>
      <c r="F3181" s="654">
        <v>4.4999999999999998E-2</v>
      </c>
      <c r="G3181" s="1047">
        <f t="shared" si="75"/>
        <v>16.376963350785342</v>
      </c>
      <c r="H3181" s="1025" t="s">
        <v>3661</v>
      </c>
      <c r="I3181" s="1048" t="s">
        <v>392</v>
      </c>
      <c r="J3181" s="1047">
        <f>(16*20.7+16.5*228.01)/base[[#This Row],[Stake/Responsabilidade]]</f>
        <v>16.458385267982791</v>
      </c>
      <c r="K3181" s="1047">
        <f>20.7+228.01</f>
        <v>248.70999999999998</v>
      </c>
      <c r="L3181" s="1045">
        <f>INT(base[[#This Row],[Data de liquidação]])</f>
        <v>46216</v>
      </c>
      <c r="M3181" s="1047">
        <f>base[[#This Row],[L/P Bruto]]-base[[#This Row],[L/P Líquido]]</f>
        <v>0.73696335078534148</v>
      </c>
      <c r="N3181" s="1047">
        <f>base[[#This Row],[L/P Líquido]]/base[[#This Row],[Stake/Responsabilidade]]</f>
        <v>6.2884483937115529E-2</v>
      </c>
      <c r="O3181" s="1049">
        <f>IF(base[[#This Row],[L/P Líquido]]&gt;0,1,0)</f>
        <v>1</v>
      </c>
      <c r="P3181" s="1049"/>
      <c r="Q3181" s="1049" t="str">
        <f>LEFT(base[[#This Row],[Evento / Mercado]],FIND("vs",base[[#This Row],[Evento / Mercado]])-2)</f>
        <v>Breidablik</v>
      </c>
      <c r="R318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4" t="str">
        <f>LEFT(base[[#This Row],[Evento / Mercado]],FIND("/",base[[#This Row],[Evento / Mercado]])-2)</f>
        <v>Breidablik vs Keflavik IF</v>
      </c>
      <c r="T3181" s="1420">
        <f>base[[#This Row],[Data de liquidação]]</f>
        <v>46216.753807870373</v>
      </c>
    </row>
    <row r="3182" spans="2:20" ht="15" customHeight="1">
      <c r="B3182" s="1044" t="s">
        <v>3796</v>
      </c>
      <c r="C3182" s="935" t="s">
        <v>3556</v>
      </c>
      <c r="D3182" s="1392">
        <v>46216.934374999997</v>
      </c>
      <c r="E3182" s="1046">
        <v>-15</v>
      </c>
      <c r="F3182" s="654">
        <v>4.4999999999999998E-2</v>
      </c>
      <c r="G3182" s="1047">
        <f t="shared" si="75"/>
        <v>-15</v>
      </c>
      <c r="H3182" s="1047" t="s">
        <v>1666</v>
      </c>
      <c r="I3182" s="1048" t="s">
        <v>2301</v>
      </c>
      <c r="J3182" s="1047">
        <v>1.52</v>
      </c>
      <c r="K3182" s="1047">
        <v>15</v>
      </c>
      <c r="L3182" s="1045">
        <f>INT(base[[#This Row],[Data de liquidação]])</f>
        <v>46216</v>
      </c>
      <c r="M3182" s="1047">
        <f>base[[#This Row],[L/P Bruto]]-base[[#This Row],[L/P Líquido]]</f>
        <v>0</v>
      </c>
      <c r="N3182" s="1047">
        <f>base[[#This Row],[L/P Líquido]]/base[[#This Row],[Stake/Responsabilidade]]</f>
        <v>-1</v>
      </c>
      <c r="O3182" s="1049">
        <f>IF(base[[#This Row],[L/P Líquido]]&gt;0,1,0)</f>
        <v>0</v>
      </c>
      <c r="P3182" s="1049"/>
      <c r="Q3182" s="1049" t="str">
        <f>LEFT(base[[#This Row],[Evento / Mercado]],FIND("vs",base[[#This Row],[Evento / Mercado]])-2)</f>
        <v>Ceará SC</v>
      </c>
      <c r="R318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4" t="str">
        <f>LEFT(base[[#This Row],[Evento / Mercado]],FIND("/",base[[#This Row],[Evento / Mercado]])-2)</f>
        <v>Ceará SC vs Athletic Club MG</v>
      </c>
      <c r="T3182" s="1420">
        <f>base[[#This Row],[Data de liquidação]]</f>
        <v>46216.934374999997</v>
      </c>
    </row>
    <row r="3183" spans="2:20" ht="15" customHeight="1">
      <c r="B3183" s="1050" t="s">
        <v>3806</v>
      </c>
      <c r="C3183" s="935" t="s">
        <v>3556</v>
      </c>
      <c r="D3183" s="1393">
        <v>46217.407546296294</v>
      </c>
      <c r="E3183" s="1052">
        <v>14.33</v>
      </c>
      <c r="F3183" s="654">
        <v>4.4999999999999998E-2</v>
      </c>
      <c r="G3183" s="1053">
        <f t="shared" ref="G3183:G3191" si="76">IF(E3183&gt;0,E3183/(1-F3183),E3183)</f>
        <v>15.005235602094242</v>
      </c>
      <c r="H3183" s="1053" t="s">
        <v>1666</v>
      </c>
      <c r="I3183" s="1054" t="s">
        <v>1558</v>
      </c>
      <c r="J3183" s="1053">
        <v>9.6</v>
      </c>
      <c r="K3183" s="1053">
        <v>15</v>
      </c>
      <c r="L3183" s="1051">
        <f>INT(base[[#This Row],[Data de liquidação]])</f>
        <v>46217</v>
      </c>
      <c r="M3183" s="1053">
        <f>base[[#This Row],[L/P Bruto]]-base[[#This Row],[L/P Líquido]]</f>
        <v>0.67523560209424183</v>
      </c>
      <c r="N3183" s="1053">
        <f>base[[#This Row],[L/P Líquido]]/base[[#This Row],[Stake/Responsabilidade]]</f>
        <v>0.95533333333333337</v>
      </c>
      <c r="O3183" s="1055">
        <f>IF(base[[#This Row],[L/P Líquido]]&gt;0,1,0)</f>
        <v>1</v>
      </c>
      <c r="P3183" s="1055"/>
      <c r="Q3183" s="1055" t="str">
        <f>LEFT(base[[#This Row],[Evento / Mercado]],FIND("vs",base[[#This Row],[Evento / Mercado]])-2)</f>
        <v>Zhejiang Professional</v>
      </c>
      <c r="R3183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4" t="str">
        <f>LEFT(base[[#This Row],[Evento / Mercado]],FIND("/",base[[#This Row],[Evento / Mercado]])-2)</f>
        <v>Zhejiang Professional vs Qingdao Hainiu</v>
      </c>
      <c r="T3183" s="1420">
        <f>base[[#This Row],[Data de liquidação]]</f>
        <v>46217.407546296294</v>
      </c>
    </row>
    <row r="3184" spans="2:20" ht="15" customHeight="1">
      <c r="B3184" s="1050" t="s">
        <v>3811</v>
      </c>
      <c r="C3184" s="1050" t="s">
        <v>3555</v>
      </c>
      <c r="D3184" s="1393">
        <v>46217.680231481485</v>
      </c>
      <c r="E3184" s="1052">
        <v>-28.57</v>
      </c>
      <c r="F3184" s="654">
        <v>4.4999999999999998E-2</v>
      </c>
      <c r="G3184" s="1053">
        <f t="shared" si="76"/>
        <v>-28.57</v>
      </c>
      <c r="H3184" s="938" t="s">
        <v>3253</v>
      </c>
      <c r="I3184" s="939" t="s">
        <v>3254</v>
      </c>
      <c r="J3184" s="1053">
        <v>11.5</v>
      </c>
      <c r="K3184" s="1053">
        <v>28.57</v>
      </c>
      <c r="L3184" s="1051">
        <f>INT(base[[#This Row],[Data de liquidação]])</f>
        <v>46217</v>
      </c>
      <c r="M3184" s="1053">
        <f>base[[#This Row],[L/P Bruto]]-base[[#This Row],[L/P Líquido]]</f>
        <v>0</v>
      </c>
      <c r="N3184" s="1053">
        <f>base[[#This Row],[L/P Líquido]]/base[[#This Row],[Stake/Responsabilidade]]</f>
        <v>-1</v>
      </c>
      <c r="O3184" s="1055">
        <f>IF(base[[#This Row],[L/P Líquido]]&gt;0,1,0)</f>
        <v>0</v>
      </c>
      <c r="P3184" s="1055"/>
      <c r="Q3184" s="1055" t="str">
        <f>LEFT(base[[#This Row],[Evento / Mercado]],FIND("vs",base[[#This Row],[Evento / Mercado]])-2)</f>
        <v>L</v>
      </c>
      <c r="R3184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4" t="str">
        <f>LEFT(base[[#This Row],[Evento / Mercado]],FIND("/",base[[#This Row],[Evento / Mercado]])-2)</f>
        <v>Levski Sofia vs FK Borac Banja Luka</v>
      </c>
      <c r="T3184" s="1420">
        <f>base[[#This Row],[Data de liquidação]]</f>
        <v>46217.680231481485</v>
      </c>
    </row>
    <row r="3185" spans="2:20" ht="15" customHeight="1">
      <c r="B3185" s="1050" t="s">
        <v>3805</v>
      </c>
      <c r="C3185" s="935" t="s">
        <v>3556</v>
      </c>
      <c r="D3185" s="1393">
        <v>46217.680393518516</v>
      </c>
      <c r="E3185" s="1052">
        <v>5.8</v>
      </c>
      <c r="F3185" s="654">
        <v>4.4999999999999998E-2</v>
      </c>
      <c r="G3185" s="1053">
        <f t="shared" si="76"/>
        <v>6.0732984293193715</v>
      </c>
      <c r="H3185" s="1053" t="s">
        <v>3330</v>
      </c>
      <c r="I3185" s="1054" t="s">
        <v>3566</v>
      </c>
      <c r="J3185" s="1053">
        <v>13</v>
      </c>
      <c r="K3185" s="1053">
        <v>96.51</v>
      </c>
      <c r="L3185" s="1051">
        <f>INT(base[[#This Row],[Data de liquidação]])</f>
        <v>46217</v>
      </c>
      <c r="M3185" s="1053">
        <f>base[[#This Row],[L/P Bruto]]-base[[#This Row],[L/P Líquido]]</f>
        <v>0.27329842931937165</v>
      </c>
      <c r="N3185" s="1053">
        <f>base[[#This Row],[L/P Líquido]]/base[[#This Row],[Stake/Responsabilidade]]</f>
        <v>6.0097399233240076E-2</v>
      </c>
      <c r="O3185" s="1055">
        <f>IF(base[[#This Row],[L/P Líquido]]&gt;0,1,0)</f>
        <v>1</v>
      </c>
      <c r="P3185" s="1055"/>
      <c r="Q3185" s="1055" t="str">
        <f>LEFT(base[[#This Row],[Evento / Mercado]],FIND("vs",base[[#This Row],[Evento / Mercado]])-2)</f>
        <v>L</v>
      </c>
      <c r="R3185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4" t="str">
        <f>LEFT(base[[#This Row],[Evento / Mercado]],FIND("/",base[[#This Row],[Evento / Mercado]])-2)</f>
        <v>Levski Sofia vs FK Borac Banja Luka</v>
      </c>
      <c r="T3185" s="1420">
        <f>base[[#This Row],[Data de liquidação]]</f>
        <v>46217.680393518516</v>
      </c>
    </row>
    <row r="3186" spans="2:20" ht="15" customHeight="1">
      <c r="B3186" s="1050" t="s">
        <v>3805</v>
      </c>
      <c r="C3186" s="1050" t="s">
        <v>3555</v>
      </c>
      <c r="D3186" s="1393">
        <v>46217.680393518516</v>
      </c>
      <c r="E3186" s="1052">
        <v>60.35</v>
      </c>
      <c r="F3186" s="654">
        <v>4.4999999999999998E-2</v>
      </c>
      <c r="G3186" s="1053">
        <f t="shared" si="76"/>
        <v>63.193717277486918</v>
      </c>
      <c r="H3186" s="938" t="s">
        <v>3253</v>
      </c>
      <c r="I3186" s="939" t="s">
        <v>1555</v>
      </c>
      <c r="J3186" s="1053">
        <v>5.5</v>
      </c>
      <c r="K3186" s="1053">
        <v>300.02</v>
      </c>
      <c r="L3186" s="1051">
        <f>INT(base[[#This Row],[Data de liquidação]])</f>
        <v>46217</v>
      </c>
      <c r="M3186" s="1053">
        <f>base[[#This Row],[L/P Bruto]]-base[[#This Row],[L/P Líquido]]</f>
        <v>2.8437172774869168</v>
      </c>
      <c r="N3186" s="1053">
        <f>base[[#This Row],[L/P Líquido]]/base[[#This Row],[Stake/Responsabilidade]]</f>
        <v>0.20115325644957005</v>
      </c>
      <c r="O3186" s="1055">
        <f>IF(base[[#This Row],[L/P Líquido]]&gt;0,1,0)</f>
        <v>1</v>
      </c>
      <c r="P3186" s="1055"/>
      <c r="Q3186" s="1055" t="str">
        <f>LEFT(base[[#This Row],[Evento / Mercado]],FIND("vs",base[[#This Row],[Evento / Mercado]])-2)</f>
        <v>L</v>
      </c>
      <c r="R3186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4" t="str">
        <f>LEFT(base[[#This Row],[Evento / Mercado]],FIND("/",base[[#This Row],[Evento / Mercado]])-2)</f>
        <v>Levski Sofia vs FK Borac Banja Luka</v>
      </c>
      <c r="T3186" s="1420">
        <f>base[[#This Row],[Data de liquidação]]</f>
        <v>46217.680393518516</v>
      </c>
    </row>
    <row r="3187" spans="2:20" ht="15" customHeight="1">
      <c r="B3187" s="1050" t="s">
        <v>3807</v>
      </c>
      <c r="C3187" s="1050" t="s">
        <v>3554</v>
      </c>
      <c r="D3187" s="1393">
        <v>46217.74722222222</v>
      </c>
      <c r="E3187" s="1052">
        <v>-10.75</v>
      </c>
      <c r="F3187" s="654">
        <v>4.4999999999999998E-2</v>
      </c>
      <c r="G3187" s="1053">
        <f t="shared" si="76"/>
        <v>-10.75</v>
      </c>
      <c r="H3187" s="1053" t="s">
        <v>3817</v>
      </c>
      <c r="I3187" s="1053"/>
      <c r="J3187" s="1053">
        <v>32</v>
      </c>
      <c r="K3187" s="1053">
        <v>199.95</v>
      </c>
      <c r="L3187" s="1051">
        <f>INT(base[[#This Row],[Data de liquidação]])</f>
        <v>46217</v>
      </c>
      <c r="M3187" s="1053">
        <f>base[[#This Row],[L/P Bruto]]-base[[#This Row],[L/P Líquido]]</f>
        <v>0</v>
      </c>
      <c r="N3187" s="1053">
        <f>base[[#This Row],[L/P Líquido]]/base[[#This Row],[Stake/Responsabilidade]]</f>
        <v>-5.3763440860215055E-2</v>
      </c>
      <c r="O3187" s="1055">
        <f>IF(base[[#This Row],[L/P Líquido]]&gt;0,1,0)</f>
        <v>0</v>
      </c>
      <c r="P3187" s="1055"/>
      <c r="Q3187" s="1055" t="str">
        <f>LEFT(base[[#This Row],[Evento / Mercado]],FIND("vs",base[[#This Row],[Evento / Mercado]])-2)</f>
        <v>Shamrock Rovers</v>
      </c>
      <c r="R3187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4" t="str">
        <f>LEFT(base[[#This Row],[Evento / Mercado]],FIND("/",base[[#This Row],[Evento / Mercado]])-2)</f>
        <v>Shamrock Rovers vs Floriana FC</v>
      </c>
      <c r="T3187" s="1420">
        <f>base[[#This Row],[Data de liquidação]]</f>
        <v>46217.74722222222</v>
      </c>
    </row>
    <row r="3188" spans="2:20" ht="15" customHeight="1">
      <c r="B3188" s="1050" t="s">
        <v>3807</v>
      </c>
      <c r="C3188" s="1050" t="s">
        <v>3555</v>
      </c>
      <c r="D3188" s="1393">
        <v>46217.747604166667</v>
      </c>
      <c r="E3188" s="1052">
        <v>-25</v>
      </c>
      <c r="F3188" s="654">
        <v>4.4999999999999998E-2</v>
      </c>
      <c r="G3188" s="1053">
        <f t="shared" si="76"/>
        <v>-25</v>
      </c>
      <c r="H3188" s="938" t="s">
        <v>3253</v>
      </c>
      <c r="I3188" s="939" t="s">
        <v>3254</v>
      </c>
      <c r="J3188" s="1053">
        <v>13</v>
      </c>
      <c r="K3188" s="1053">
        <v>25</v>
      </c>
      <c r="L3188" s="1051">
        <f>INT(base[[#This Row],[Data de liquidação]])</f>
        <v>46217</v>
      </c>
      <c r="M3188" s="1053">
        <f>base[[#This Row],[L/P Bruto]]-base[[#This Row],[L/P Líquido]]</f>
        <v>0</v>
      </c>
      <c r="N3188" s="1053">
        <f>base[[#This Row],[L/P Líquido]]/base[[#This Row],[Stake/Responsabilidade]]</f>
        <v>-1</v>
      </c>
      <c r="O3188" s="1055">
        <f>IF(base[[#This Row],[L/P Líquido]]&gt;0,1,0)</f>
        <v>0</v>
      </c>
      <c r="P3188" s="1055"/>
      <c r="Q3188" s="1055" t="str">
        <f>LEFT(base[[#This Row],[Evento / Mercado]],FIND("vs",base[[#This Row],[Evento / Mercado]])-2)</f>
        <v>Shamrock Rovers</v>
      </c>
      <c r="R3188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4" t="str">
        <f>LEFT(base[[#This Row],[Evento / Mercado]],FIND("/",base[[#This Row],[Evento / Mercado]])-2)</f>
        <v>Shamrock Rovers vs Floriana FC</v>
      </c>
      <c r="T3188" s="1420">
        <f>base[[#This Row],[Data de liquidação]]</f>
        <v>46217.747604166667</v>
      </c>
    </row>
    <row r="3189" spans="2:20" ht="15" customHeight="1">
      <c r="B3189" s="1050" t="s">
        <v>3804</v>
      </c>
      <c r="C3189" s="935" t="s">
        <v>3556</v>
      </c>
      <c r="D3189" s="1393">
        <v>46217.747777777775</v>
      </c>
      <c r="E3189" s="1052">
        <v>5.79</v>
      </c>
      <c r="F3189" s="654">
        <v>4.4999999999999998E-2</v>
      </c>
      <c r="G3189" s="1053">
        <f t="shared" si="76"/>
        <v>6.0628272251308903</v>
      </c>
      <c r="H3189" s="1053" t="s">
        <v>3330</v>
      </c>
      <c r="I3189" s="1054" t="s">
        <v>3566</v>
      </c>
      <c r="J3189" s="1053">
        <v>12</v>
      </c>
      <c r="K3189" s="1053">
        <v>99.99</v>
      </c>
      <c r="L3189" s="1051">
        <f>INT(base[[#This Row],[Data de liquidação]])</f>
        <v>46217</v>
      </c>
      <c r="M3189" s="1053">
        <f>base[[#This Row],[L/P Bruto]]-base[[#This Row],[L/P Líquido]]</f>
        <v>0.27282722513089031</v>
      </c>
      <c r="N3189" s="1053">
        <f>base[[#This Row],[L/P Líquido]]/base[[#This Row],[Stake/Responsabilidade]]</f>
        <v>5.7905790579057911E-2</v>
      </c>
      <c r="O3189" s="1055">
        <f>IF(base[[#This Row],[L/P Líquido]]&gt;0,1,0)</f>
        <v>1</v>
      </c>
      <c r="P3189" s="1055"/>
      <c r="Q3189" s="1055" t="str">
        <f>LEFT(base[[#This Row],[Evento / Mercado]],FIND("vs",base[[#This Row],[Evento / Mercado]])-2)</f>
        <v>Shamrock Rovers</v>
      </c>
      <c r="R3189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4" t="str">
        <f>LEFT(base[[#This Row],[Evento / Mercado]],FIND("/",base[[#This Row],[Evento / Mercado]])-2)</f>
        <v>Shamrock Rovers vs Floriana FC</v>
      </c>
      <c r="T3189" s="1420">
        <f>base[[#This Row],[Data de liquidação]]</f>
        <v>46217.747777777775</v>
      </c>
    </row>
    <row r="3190" spans="2:20" ht="15" customHeight="1">
      <c r="B3190" s="1050" t="s">
        <v>3804</v>
      </c>
      <c r="C3190" s="1050" t="s">
        <v>3555</v>
      </c>
      <c r="D3190" s="1393">
        <v>46217.747777777775</v>
      </c>
      <c r="E3190" s="1052">
        <v>25.2</v>
      </c>
      <c r="F3190" s="654">
        <v>4.4999999999999998E-2</v>
      </c>
      <c r="G3190" s="1053">
        <f t="shared" si="76"/>
        <v>26.387434554973822</v>
      </c>
      <c r="H3190" s="938" t="s">
        <v>3253</v>
      </c>
      <c r="I3190" s="939" t="s">
        <v>1555</v>
      </c>
      <c r="J3190" s="1053">
        <v>6.4</v>
      </c>
      <c r="K3190" s="1053">
        <v>300.02</v>
      </c>
      <c r="L3190" s="1051">
        <f>INT(base[[#This Row],[Data de liquidação]])</f>
        <v>46217</v>
      </c>
      <c r="M3190" s="1053">
        <f>base[[#This Row],[L/P Bruto]]-base[[#This Row],[L/P Líquido]]</f>
        <v>1.187434554973823</v>
      </c>
      <c r="N3190" s="1053">
        <f>base[[#This Row],[L/P Líquido]]/base[[#This Row],[Stake/Responsabilidade]]</f>
        <v>8.399440037330845E-2</v>
      </c>
      <c r="O3190" s="1055">
        <f>IF(base[[#This Row],[L/P Líquido]]&gt;0,1,0)</f>
        <v>1</v>
      </c>
      <c r="P3190" s="1055"/>
      <c r="Q3190" s="1055" t="str">
        <f>LEFT(base[[#This Row],[Evento / Mercado]],FIND("vs",base[[#This Row],[Evento / Mercado]])-2)</f>
        <v>Shamrock Rovers</v>
      </c>
      <c r="R3190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4" t="str">
        <f>LEFT(base[[#This Row],[Evento / Mercado]],FIND("/",base[[#This Row],[Evento / Mercado]])-2)</f>
        <v>Shamrock Rovers vs Floriana FC</v>
      </c>
      <c r="T3190" s="1420">
        <f>base[[#This Row],[Data de liquidação]]</f>
        <v>46217.747777777775</v>
      </c>
    </row>
    <row r="3191" spans="2:20" ht="15" customHeight="1">
      <c r="B3191" s="1050" t="s">
        <v>3803</v>
      </c>
      <c r="C3191" s="935" t="s">
        <v>3556</v>
      </c>
      <c r="D3191" s="1393">
        <v>46217.954212962963</v>
      </c>
      <c r="E3191" s="1052">
        <v>4.26</v>
      </c>
      <c r="F3191" s="654">
        <v>4.4999999999999998E-2</v>
      </c>
      <c r="G3191" s="1053">
        <f t="shared" si="76"/>
        <v>4.4607329842931938</v>
      </c>
      <c r="H3191" s="1053" t="s">
        <v>3817</v>
      </c>
      <c r="I3191" s="1053"/>
      <c r="J3191" s="1053">
        <v>20</v>
      </c>
      <c r="K3191" s="1053">
        <v>200.07</v>
      </c>
      <c r="L3191" s="1051">
        <f>INT(base[[#This Row],[Data de liquidação]])</f>
        <v>46217</v>
      </c>
      <c r="M3191" s="1053">
        <f>base[[#This Row],[L/P Bruto]]-base[[#This Row],[L/P Líquido]]</f>
        <v>0.20073298429319397</v>
      </c>
      <c r="N3191" s="1053">
        <f>base[[#This Row],[L/P Líquido]]/base[[#This Row],[Stake/Responsabilidade]]</f>
        <v>2.1292547608337081E-2</v>
      </c>
      <c r="O3191" s="1055">
        <f>IF(base[[#This Row],[L/P Líquido]]&gt;0,1,0)</f>
        <v>1</v>
      </c>
      <c r="P3191" s="1055"/>
      <c r="Q3191" s="1055" t="str">
        <f>LEFT(base[[#This Row],[Evento / Mercado]],FIND("vs",base[[#This Row],[Evento / Mercado]])-2)</f>
        <v>Blooming Santa Cruz</v>
      </c>
      <c r="R3191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4" t="str">
        <f>LEFT(base[[#This Row],[Evento / Mercado]],FIND("/",base[[#This Row],[Evento / Mercado]])-2)</f>
        <v>Blooming Santa Cruz vs CD Gualberto Villarroel</v>
      </c>
      <c r="T3191" s="1420">
        <f>base[[#This Row],[Data de liquidação]]</f>
        <v>46217.954212962963</v>
      </c>
    </row>
    <row r="3192" spans="2:20" ht="15" customHeight="1">
      <c r="B3192" s="1066" t="s">
        <v>3828</v>
      </c>
      <c r="C3192" s="935" t="s">
        <v>3556</v>
      </c>
      <c r="D3192" s="1394">
        <v>46218.661481481482</v>
      </c>
      <c r="E3192" s="1068">
        <v>7.23</v>
      </c>
      <c r="F3192" s="654">
        <v>4.4999999999999998E-2</v>
      </c>
      <c r="G3192" s="1069">
        <f t="shared" ref="G3192:G3203" si="77">IF(E3192&gt;0,E3192/(1-F3192),E3192)</f>
        <v>7.5706806282722523</v>
      </c>
      <c r="H3192" s="1069" t="s">
        <v>1666</v>
      </c>
      <c r="I3192" s="1070" t="s">
        <v>2301</v>
      </c>
      <c r="J3192" s="1069">
        <v>1.51</v>
      </c>
      <c r="K3192" s="1069">
        <v>15</v>
      </c>
      <c r="L3192" s="1067">
        <f>INT(base[[#This Row],[Data de liquidação]])</f>
        <v>46218</v>
      </c>
      <c r="M3192" s="1069">
        <f>base[[#This Row],[L/P Bruto]]-base[[#This Row],[L/P Líquido]]</f>
        <v>0.34068062827225187</v>
      </c>
      <c r="N3192" s="1069">
        <f>base[[#This Row],[L/P Líquido]]/base[[#This Row],[Stake/Responsabilidade]]</f>
        <v>0.48200000000000004</v>
      </c>
      <c r="O3192" s="1071">
        <f>IF(base[[#This Row],[L/P Líquido]]&gt;0,1,0)</f>
        <v>1</v>
      </c>
      <c r="P3192" s="1071"/>
      <c r="Q3192" s="1071" t="str">
        <f>LEFT(base[[#This Row],[Evento / Mercado]],FIND("vs",base[[#This Row],[Evento / Mercado]])-2)</f>
        <v>Libertad FC</v>
      </c>
      <c r="R319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4" t="str">
        <f>LEFT(base[[#This Row],[Evento / Mercado]],FIND("/",base[[#This Row],[Evento / Mercado]])-2)</f>
        <v>Libertad FC vs Club Deportivo Técnico Universitario</v>
      </c>
      <c r="T3192" s="1420">
        <f>base[[#This Row],[Data de liquidação]]</f>
        <v>46218.661481481482</v>
      </c>
    </row>
    <row r="3193" spans="2:20" ht="15" customHeight="1">
      <c r="B3193" s="1066" t="s">
        <v>3825</v>
      </c>
      <c r="C3193" s="1066" t="s">
        <v>3555</v>
      </c>
      <c r="D3193" s="1394">
        <v>46218.681909722225</v>
      </c>
      <c r="E3193" s="1068">
        <v>2.02</v>
      </c>
      <c r="F3193" s="654">
        <v>4.4999999999999998E-2</v>
      </c>
      <c r="G3193" s="1069">
        <f t="shared" si="77"/>
        <v>2.1151832460732987</v>
      </c>
      <c r="H3193" s="938" t="s">
        <v>3253</v>
      </c>
      <c r="I3193" s="939" t="s">
        <v>3254</v>
      </c>
      <c r="J3193" s="1069">
        <v>12</v>
      </c>
      <c r="K3193" s="1069">
        <f>24.02+3.01</f>
        <v>27.03</v>
      </c>
      <c r="L3193" s="1067">
        <f>INT(base[[#This Row],[Data de liquidação]])</f>
        <v>46218</v>
      </c>
      <c r="M3193" s="1069">
        <f>base[[#This Row],[L/P Bruto]]-base[[#This Row],[L/P Líquido]]</f>
        <v>9.5183246073298644E-2</v>
      </c>
      <c r="N3193" s="1069">
        <f>base[[#This Row],[L/P Líquido]]/base[[#This Row],[Stake/Responsabilidade]]</f>
        <v>7.4731779504254525E-2</v>
      </c>
      <c r="O3193" s="1071">
        <f>IF(base[[#This Row],[L/P Líquido]]&gt;0,1,0)</f>
        <v>1</v>
      </c>
      <c r="P3193" s="1071"/>
      <c r="Q3193" s="1071" t="str">
        <f>LEFT(base[[#This Row],[Evento / Mercado]],FIND("vs",base[[#This Row],[Evento / Mercado]])-2)</f>
        <v>CS Universitatea Craiova</v>
      </c>
      <c r="R319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4" t="str">
        <f>LEFT(base[[#This Row],[Evento / Mercado]],FIND("/",base[[#This Row],[Evento / Mercado]])-2)</f>
        <v>CS Universitatea Craiova vs ML Vitebsk</v>
      </c>
      <c r="T3193" s="1420">
        <f>base[[#This Row],[Data de liquidação]]</f>
        <v>46218.681909722225</v>
      </c>
    </row>
    <row r="3194" spans="2:20" ht="15" customHeight="1">
      <c r="B3194" s="1066" t="s">
        <v>3824</v>
      </c>
      <c r="C3194" s="1066" t="s">
        <v>3555</v>
      </c>
      <c r="D3194" s="1394">
        <v>46218.682141203702</v>
      </c>
      <c r="E3194" s="1068">
        <v>-103.18</v>
      </c>
      <c r="F3194" s="654">
        <v>4.4999999999999998E-2</v>
      </c>
      <c r="G3194" s="1069">
        <f t="shared" si="77"/>
        <v>-103.18</v>
      </c>
      <c r="H3194" s="938" t="s">
        <v>3253</v>
      </c>
      <c r="I3194" s="939" t="s">
        <v>1555</v>
      </c>
      <c r="J3194" s="1069">
        <v>6.4</v>
      </c>
      <c r="K3194" s="1069">
        <v>300.02</v>
      </c>
      <c r="L3194" s="1067">
        <f>INT(base[[#This Row],[Data de liquidação]])</f>
        <v>46218</v>
      </c>
      <c r="M3194" s="1069">
        <f>base[[#This Row],[L/P Bruto]]-base[[#This Row],[L/P Líquido]]</f>
        <v>0</v>
      </c>
      <c r="N3194" s="1069">
        <f>base[[#This Row],[L/P Líquido]]/base[[#This Row],[Stake/Responsabilidade]]</f>
        <v>-0.34391040597293521</v>
      </c>
      <c r="O3194" s="1071">
        <f>IF(base[[#This Row],[L/P Líquido]]&gt;0,1,0)</f>
        <v>0</v>
      </c>
      <c r="P3194" s="1071"/>
      <c r="Q3194" s="1071" t="str">
        <f>LEFT(base[[#This Row],[Evento / Mercado]],FIND("vs",base[[#This Row],[Evento / Mercado]])-2)</f>
        <v>CS Universitatea Craiova</v>
      </c>
      <c r="R319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4" t="str">
        <f>LEFT(base[[#This Row],[Evento / Mercado]],FIND("/",base[[#This Row],[Evento / Mercado]])-2)</f>
        <v>CS Universitatea Craiova vs ML Vitebsk</v>
      </c>
      <c r="T3194" s="1420">
        <f>base[[#This Row],[Data de liquidação]]</f>
        <v>46218.682141203702</v>
      </c>
    </row>
    <row r="3195" spans="2:20" ht="15" customHeight="1">
      <c r="B3195" s="1066" t="s">
        <v>3824</v>
      </c>
      <c r="C3195" s="935" t="s">
        <v>3556</v>
      </c>
      <c r="D3195" s="1394">
        <v>46218.682141203702</v>
      </c>
      <c r="E3195" s="1068">
        <v>-7.84</v>
      </c>
      <c r="F3195" s="654">
        <v>4.4999999999999998E-2</v>
      </c>
      <c r="G3195" s="1069">
        <f t="shared" si="77"/>
        <v>-7.84</v>
      </c>
      <c r="H3195" s="1069" t="s">
        <v>3330</v>
      </c>
      <c r="I3195" s="1070" t="s">
        <v>3566</v>
      </c>
      <c r="J3195" s="1069">
        <v>12.5</v>
      </c>
      <c r="K3195" s="1069">
        <v>100.05</v>
      </c>
      <c r="L3195" s="1067">
        <f>INT(base[[#This Row],[Data de liquidação]])</f>
        <v>46218</v>
      </c>
      <c r="M3195" s="1069">
        <f>base[[#This Row],[L/P Bruto]]-base[[#This Row],[L/P Líquido]]</f>
        <v>0</v>
      </c>
      <c r="N3195" s="1069">
        <f>base[[#This Row],[L/P Líquido]]/base[[#This Row],[Stake/Responsabilidade]]</f>
        <v>-7.8360819590204897E-2</v>
      </c>
      <c r="O3195" s="1071">
        <f>IF(base[[#This Row],[L/P Líquido]]&gt;0,1,0)</f>
        <v>0</v>
      </c>
      <c r="P3195" s="1071"/>
      <c r="Q3195" s="1071" t="str">
        <f>LEFT(base[[#This Row],[Evento / Mercado]],FIND("vs",base[[#This Row],[Evento / Mercado]])-2)</f>
        <v>CS Universitatea Craiova</v>
      </c>
      <c r="R319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4" t="str">
        <f>LEFT(base[[#This Row],[Evento / Mercado]],FIND("/",base[[#This Row],[Evento / Mercado]])-2)</f>
        <v>CS Universitatea Craiova vs ML Vitebsk</v>
      </c>
      <c r="T3195" s="1420">
        <f>base[[#This Row],[Data de liquidação]]</f>
        <v>46218.682141203702</v>
      </c>
    </row>
    <row r="3196" spans="2:20" ht="15" customHeight="1">
      <c r="B3196" s="1066" t="s">
        <v>3823</v>
      </c>
      <c r="C3196" s="1066" t="s">
        <v>3555</v>
      </c>
      <c r="D3196" s="1394">
        <v>46218.743344907409</v>
      </c>
      <c r="E3196" s="1068">
        <v>8.61</v>
      </c>
      <c r="F3196" s="654">
        <v>4.4999999999999998E-2</v>
      </c>
      <c r="G3196" s="1069">
        <f t="shared" si="77"/>
        <v>9.0157068062827221</v>
      </c>
      <c r="H3196" s="1053" t="s">
        <v>3817</v>
      </c>
      <c r="I3196" s="1053"/>
      <c r="J3196" s="1069">
        <v>18</v>
      </c>
      <c r="K3196" s="1069">
        <v>199.92</v>
      </c>
      <c r="L3196" s="1067">
        <f>INT(base[[#This Row],[Data de liquidação]])</f>
        <v>46218</v>
      </c>
      <c r="M3196" s="1069">
        <f>base[[#This Row],[L/P Bruto]]-base[[#This Row],[L/P Líquido]]</f>
        <v>0.40570680628272271</v>
      </c>
      <c r="N3196" s="1069">
        <f>base[[#This Row],[L/P Líquido]]/base[[#This Row],[Stake/Responsabilidade]]</f>
        <v>4.3067226890756302E-2</v>
      </c>
      <c r="O3196" s="1071">
        <f>IF(base[[#This Row],[L/P Líquido]]&gt;0,1,0)</f>
        <v>1</v>
      </c>
      <c r="P3196" s="1071"/>
      <c r="Q3196" s="1071" t="str">
        <f>LEFT(base[[#This Row],[Evento / Mercado]],FIND("vs",base[[#This Row],[Evento / Mercado]])-2)</f>
        <v>FK Sutjeska</v>
      </c>
      <c r="R319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4" t="str">
        <f>LEFT(base[[#This Row],[Evento / Mercado]],FIND("/",base[[#This Row],[Evento / Mercado]])-2)</f>
        <v>FK Sutjeska vs FC Kairat Almaty</v>
      </c>
      <c r="T3196" s="1420">
        <f>base[[#This Row],[Data de liquidação]]</f>
        <v>46218.743344907409</v>
      </c>
    </row>
    <row r="3197" spans="2:20" ht="15" customHeight="1">
      <c r="B3197" s="1066" t="s">
        <v>3636</v>
      </c>
      <c r="C3197" s="935" t="s">
        <v>3556</v>
      </c>
      <c r="D3197" s="1394">
        <v>46218.758611111109</v>
      </c>
      <c r="E3197" s="1068">
        <v>-51.85</v>
      </c>
      <c r="F3197" s="654">
        <v>4.4999999999999998E-2</v>
      </c>
      <c r="G3197" s="1069">
        <f t="shared" si="77"/>
        <v>-51.85</v>
      </c>
      <c r="H3197" s="1069" t="s">
        <v>3411</v>
      </c>
      <c r="I3197" s="1070" t="s">
        <v>3830</v>
      </c>
      <c r="J3197" s="1069">
        <v>9.4</v>
      </c>
      <c r="K3197" s="1069">
        <v>400.01</v>
      </c>
      <c r="L3197" s="1067">
        <f>INT(base[[#This Row],[Data de liquidação]])</f>
        <v>46218</v>
      </c>
      <c r="M3197" s="1069">
        <f>base[[#This Row],[L/P Bruto]]-base[[#This Row],[L/P Líquido]]</f>
        <v>0</v>
      </c>
      <c r="N3197" s="1069">
        <f>base[[#This Row],[L/P Líquido]]/base[[#This Row],[Stake/Responsabilidade]]</f>
        <v>-0.12962175945601362</v>
      </c>
      <c r="O3197" s="1071">
        <f>IF(base[[#This Row],[L/P Líquido]]&gt;0,1,0)</f>
        <v>0</v>
      </c>
      <c r="P3197" s="1071"/>
      <c r="Q3197" s="1071" t="e">
        <f>LEFT(base[[#This Row],[Evento / Mercado]],FIND("vs",base[[#This Row],[Evento / Mercado]])-2)</f>
        <v>#VALUE!</v>
      </c>
      <c r="R3197" s="10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4" t="str">
        <f>LEFT(base[[#This Row],[Evento / Mercado]],FIND("/",base[[#This Row],[Evento / Mercado]])-2)</f>
        <v>FIFA World Cup 2026</v>
      </c>
      <c r="T3197" s="1420">
        <f>base[[#This Row],[Data de liquidação]]</f>
        <v>46218.758611111109</v>
      </c>
    </row>
    <row r="3198" spans="2:20" ht="15" customHeight="1">
      <c r="B3198" s="1066" t="s">
        <v>3827</v>
      </c>
      <c r="C3198" s="935" t="s">
        <v>3556</v>
      </c>
      <c r="D3198" s="1394">
        <v>46218.876527777778</v>
      </c>
      <c r="E3198" s="1068">
        <v>7.64</v>
      </c>
      <c r="F3198" s="654">
        <v>4.4999999999999998E-2</v>
      </c>
      <c r="G3198" s="1069">
        <f t="shared" si="77"/>
        <v>8</v>
      </c>
      <c r="H3198" s="1069" t="s">
        <v>1666</v>
      </c>
      <c r="I3198" s="1070" t="s">
        <v>1759</v>
      </c>
      <c r="J3198" s="1069">
        <v>16</v>
      </c>
      <c r="K3198" s="1069">
        <v>120</v>
      </c>
      <c r="L3198" s="1067">
        <f>INT(base[[#This Row],[Data de liquidação]])</f>
        <v>46218</v>
      </c>
      <c r="M3198" s="1069">
        <f>base[[#This Row],[L/P Bruto]]-base[[#This Row],[L/P Líquido]]</f>
        <v>0.36000000000000032</v>
      </c>
      <c r="N3198" s="1069">
        <f>base[[#This Row],[L/P Líquido]]/base[[#This Row],[Stake/Responsabilidade]]</f>
        <v>6.3666666666666663E-2</v>
      </c>
      <c r="O3198" s="1071">
        <f>IF(base[[#This Row],[L/P Líquido]]&gt;0,1,0)</f>
        <v>1</v>
      </c>
      <c r="P3198" s="1071"/>
      <c r="Q3198" s="1071" t="str">
        <f>LEFT(base[[#This Row],[Evento / Mercado]],FIND("vs",base[[#This Row],[Evento / Mercado]])-2)</f>
        <v>Universidad Católica del Ecuador</v>
      </c>
      <c r="R319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4" t="str">
        <f>LEFT(base[[#This Row],[Evento / Mercado]],FIND("/",base[[#This Row],[Evento / Mercado]])-2)</f>
        <v>Universidad Católica del Ecuador vs LDU Quito</v>
      </c>
      <c r="T3198" s="1420">
        <f>base[[#This Row],[Data de liquidação]]</f>
        <v>46218.876527777778</v>
      </c>
    </row>
    <row r="3199" spans="2:20" ht="15" customHeight="1">
      <c r="B3199" s="1066" t="s">
        <v>3826</v>
      </c>
      <c r="C3199" s="935" t="s">
        <v>3556</v>
      </c>
      <c r="D3199" s="1394">
        <v>46218.957546296297</v>
      </c>
      <c r="E3199" s="1068">
        <v>-9.52</v>
      </c>
      <c r="F3199" s="654">
        <v>4.4999999999999998E-2</v>
      </c>
      <c r="G3199" s="1069">
        <f t="shared" si="77"/>
        <v>-9.52</v>
      </c>
      <c r="H3199" s="1053" t="s">
        <v>3817</v>
      </c>
      <c r="I3199" s="1053"/>
      <c r="J3199" s="1069">
        <v>36</v>
      </c>
      <c r="K3199" s="1069">
        <v>199.85</v>
      </c>
      <c r="L3199" s="1067">
        <f>INT(base[[#This Row],[Data de liquidação]])</f>
        <v>46218</v>
      </c>
      <c r="M3199" s="1069">
        <f>base[[#This Row],[L/P Bruto]]-base[[#This Row],[L/P Líquido]]</f>
        <v>0</v>
      </c>
      <c r="N3199" s="1069">
        <f>base[[#This Row],[L/P Líquido]]/base[[#This Row],[Stake/Responsabilidade]]</f>
        <v>-4.7635726795096318E-2</v>
      </c>
      <c r="O3199" s="1071">
        <f>IF(base[[#This Row],[L/P Líquido]]&gt;0,1,0)</f>
        <v>0</v>
      </c>
      <c r="P3199" s="1071"/>
      <c r="Q3199" s="1071" t="str">
        <f>LEFT(base[[#This Row],[Evento / Mercado]],FIND("vs",base[[#This Row],[Evento / Mercado]])-2)</f>
        <v>The Strongest</v>
      </c>
      <c r="R319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4" t="str">
        <f>LEFT(base[[#This Row],[Evento / Mercado]],FIND("/",base[[#This Row],[Evento / Mercado]])-2)</f>
        <v>The Strongest vs Oriente Petrolero</v>
      </c>
      <c r="T3199" s="1420">
        <f>base[[#This Row],[Data de liquidação]]</f>
        <v>46218.957546296297</v>
      </c>
    </row>
    <row r="3200" spans="2:20" ht="15" customHeight="1">
      <c r="B3200" s="1066" t="s">
        <v>3818</v>
      </c>
      <c r="C3200" s="1066" t="s">
        <v>3554</v>
      </c>
      <c r="D3200" s="1394">
        <v>46218.978472222225</v>
      </c>
      <c r="E3200" s="1068">
        <v>4.9400000000000004</v>
      </c>
      <c r="F3200" s="654">
        <v>4.4999999999999998E-2</v>
      </c>
      <c r="G3200" s="1069">
        <f t="shared" si="77"/>
        <v>5.172774869109948</v>
      </c>
      <c r="H3200" s="1053" t="s">
        <v>3817</v>
      </c>
      <c r="I3200" s="1053"/>
      <c r="J3200" s="1069">
        <v>28</v>
      </c>
      <c r="K3200" s="1069">
        <v>193.86</v>
      </c>
      <c r="L3200" s="1067">
        <f>INT(base[[#This Row],[Data de liquidação]])</f>
        <v>46218</v>
      </c>
      <c r="M3200" s="1069">
        <f>base[[#This Row],[L/P Bruto]]-base[[#This Row],[L/P Líquido]]</f>
        <v>0.2327748691099476</v>
      </c>
      <c r="N3200" s="1069">
        <f>base[[#This Row],[L/P Líquido]]/base[[#This Row],[Stake/Responsabilidade]]</f>
        <v>2.5482306819354174E-2</v>
      </c>
      <c r="O3200" s="1071">
        <f>IF(base[[#This Row],[L/P Líquido]]&gt;0,1,0)</f>
        <v>1</v>
      </c>
      <c r="P3200" s="1071"/>
      <c r="Q3200" s="1071" t="str">
        <f>LEFT(base[[#This Row],[Evento / Mercado]],FIND("vs",base[[#This Row],[Evento / Mercado]])-2)</f>
        <v>Barcelona SC</v>
      </c>
      <c r="R320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4" t="str">
        <f>LEFT(base[[#This Row],[Evento / Mercado]],FIND("/",base[[#This Row],[Evento / Mercado]])-2)</f>
        <v>Barcelona SC vs Guayaquil City FC</v>
      </c>
      <c r="T3200" s="1420">
        <f>base[[#This Row],[Data de liquidação]]</f>
        <v>46218.978472222225</v>
      </c>
    </row>
    <row r="3201" spans="2:20" ht="15" customHeight="1">
      <c r="B3201" s="1066" t="s">
        <v>3818</v>
      </c>
      <c r="C3201" s="1066" t="s">
        <v>3555</v>
      </c>
      <c r="D3201" s="1394">
        <v>46218.978680555556</v>
      </c>
      <c r="E3201" s="1068">
        <v>291.62</v>
      </c>
      <c r="F3201" s="654">
        <v>4.4999999999999998E-2</v>
      </c>
      <c r="G3201" s="1069">
        <f t="shared" si="77"/>
        <v>305.36125654450262</v>
      </c>
      <c r="H3201" s="938" t="s">
        <v>3253</v>
      </c>
      <c r="I3201" s="939" t="s">
        <v>3254</v>
      </c>
      <c r="J3201" s="1069">
        <v>8.1999999999999993</v>
      </c>
      <c r="K3201" s="1069">
        <v>41.67</v>
      </c>
      <c r="L3201" s="1067">
        <f>INT(base[[#This Row],[Data de liquidação]])</f>
        <v>46218</v>
      </c>
      <c r="M3201" s="1069">
        <f>base[[#This Row],[L/P Bruto]]-base[[#This Row],[L/P Líquido]]</f>
        <v>13.741256544502619</v>
      </c>
      <c r="N3201" s="1069">
        <f>base[[#This Row],[L/P Líquido]]/base[[#This Row],[Stake/Responsabilidade]]</f>
        <v>6.9983201343892487</v>
      </c>
      <c r="O3201" s="1071">
        <f>IF(base[[#This Row],[L/P Líquido]]&gt;0,1,0)</f>
        <v>1</v>
      </c>
      <c r="P3201" s="1071"/>
      <c r="Q3201" s="1071" t="str">
        <f>LEFT(base[[#This Row],[Evento / Mercado]],FIND("vs",base[[#This Row],[Evento / Mercado]])-2)</f>
        <v>Barcelona SC</v>
      </c>
      <c r="R320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4" t="str">
        <f>LEFT(base[[#This Row],[Evento / Mercado]],FIND("/",base[[#This Row],[Evento / Mercado]])-2)</f>
        <v>Barcelona SC vs Guayaquil City FC</v>
      </c>
      <c r="T3201" s="1420">
        <f>base[[#This Row],[Data de liquidação]]</f>
        <v>46218.978680555556</v>
      </c>
    </row>
    <row r="3202" spans="2:20" ht="15" customHeight="1">
      <c r="B3202" s="1066" t="s">
        <v>3819</v>
      </c>
      <c r="C3202" s="1066" t="s">
        <v>3555</v>
      </c>
      <c r="D3202" s="1394">
        <v>46218.978715277779</v>
      </c>
      <c r="E3202" s="1068">
        <v>-300</v>
      </c>
      <c r="F3202" s="654">
        <v>4.4999999999999998E-2</v>
      </c>
      <c r="G3202" s="1069">
        <f t="shared" si="77"/>
        <v>-300</v>
      </c>
      <c r="H3202" s="938" t="s">
        <v>3253</v>
      </c>
      <c r="I3202" s="939" t="s">
        <v>1555</v>
      </c>
      <c r="J3202" s="1069">
        <v>4.2</v>
      </c>
      <c r="K3202" s="1069">
        <v>300</v>
      </c>
      <c r="L3202" s="1067">
        <f>INT(base[[#This Row],[Data de liquidação]])</f>
        <v>46218</v>
      </c>
      <c r="M3202" s="1069">
        <f>base[[#This Row],[L/P Bruto]]-base[[#This Row],[L/P Líquido]]</f>
        <v>0</v>
      </c>
      <c r="N3202" s="1069">
        <f>base[[#This Row],[L/P Líquido]]/base[[#This Row],[Stake/Responsabilidade]]</f>
        <v>-1</v>
      </c>
      <c r="O3202" s="1071">
        <f>IF(base[[#This Row],[L/P Líquido]]&gt;0,1,0)</f>
        <v>0</v>
      </c>
      <c r="P3202" s="1071"/>
      <c r="Q3202" s="1071" t="str">
        <f>LEFT(base[[#This Row],[Evento / Mercado]],FIND("vs",base[[#This Row],[Evento / Mercado]])-2)</f>
        <v>Barcelona SC</v>
      </c>
      <c r="R320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4" t="str">
        <f>LEFT(base[[#This Row],[Evento / Mercado]],FIND("/",base[[#This Row],[Evento / Mercado]])-2)</f>
        <v>Barcelona SC vs Guayaquil City FC</v>
      </c>
      <c r="T3202" s="1420">
        <f>base[[#This Row],[Data de liquidação]]</f>
        <v>46218.978715277779</v>
      </c>
    </row>
    <row r="3203" spans="2:20" ht="15" customHeight="1">
      <c r="B3203" s="1066" t="s">
        <v>3819</v>
      </c>
      <c r="C3203" s="935" t="s">
        <v>3556</v>
      </c>
      <c r="D3203" s="1394">
        <v>46218.978715277779</v>
      </c>
      <c r="E3203" s="1068">
        <v>119</v>
      </c>
      <c r="F3203" s="654">
        <v>4.4999999999999998E-2</v>
      </c>
      <c r="G3203" s="1069">
        <f t="shared" si="77"/>
        <v>124.60732984293195</v>
      </c>
      <c r="H3203" s="1069" t="s">
        <v>3330</v>
      </c>
      <c r="I3203" s="1070" t="s">
        <v>3566</v>
      </c>
      <c r="J3203" s="1069">
        <f>(1.84*100+8.2*100.01)/base[[#This Row],[Stake/Responsabilidade]]</f>
        <v>5.0201589920503977</v>
      </c>
      <c r="K3203" s="1069">
        <v>200.01</v>
      </c>
      <c r="L3203" s="1067">
        <f>INT(base[[#This Row],[Data de liquidação]])</f>
        <v>46218</v>
      </c>
      <c r="M3203" s="1069">
        <f>base[[#This Row],[L/P Bruto]]-base[[#This Row],[L/P Líquido]]</f>
        <v>5.6073298429319465</v>
      </c>
      <c r="N3203" s="1069">
        <f>base[[#This Row],[L/P Líquido]]/base[[#This Row],[Stake/Responsabilidade]]</f>
        <v>0.59497025148742566</v>
      </c>
      <c r="O3203" s="1071">
        <f>IF(base[[#This Row],[L/P Líquido]]&gt;0,1,0)</f>
        <v>1</v>
      </c>
      <c r="P3203" s="1071"/>
      <c r="Q3203" s="1071" t="str">
        <f>LEFT(base[[#This Row],[Evento / Mercado]],FIND("vs",base[[#This Row],[Evento / Mercado]])-2)</f>
        <v>Barcelona SC</v>
      </c>
      <c r="R320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4" t="str">
        <f>LEFT(base[[#This Row],[Evento / Mercado]],FIND("/",base[[#This Row],[Evento / Mercado]])-2)</f>
        <v>Barcelona SC vs Guayaquil City FC</v>
      </c>
      <c r="T3203" s="1420">
        <f>base[[#This Row],[Data de liquidação]]</f>
        <v>46218.978715277779</v>
      </c>
    </row>
    <row r="3204" spans="2:20" ht="15" customHeight="1">
      <c r="B3204" s="1072" t="s">
        <v>3843</v>
      </c>
      <c r="C3204" s="935" t="s">
        <v>3556</v>
      </c>
      <c r="D3204" s="1395">
        <v>46219.578460648147</v>
      </c>
      <c r="E3204" s="1074">
        <v>19.89</v>
      </c>
      <c r="F3204" s="654">
        <v>4.4999999999999998E-2</v>
      </c>
      <c r="G3204" s="1075">
        <f t="shared" ref="G3204:G3220" si="78">IF(E3204&gt;0,E3204/(1-F3204),E3204)</f>
        <v>20.827225130890053</v>
      </c>
      <c r="H3204" s="1069" t="s">
        <v>1666</v>
      </c>
      <c r="I3204" s="1076" t="s">
        <v>1777</v>
      </c>
      <c r="J3204" s="1075">
        <v>2.42</v>
      </c>
      <c r="K3204" s="1075">
        <v>29.58</v>
      </c>
      <c r="L3204" s="1073">
        <f>INT(base[[#This Row],[Data de liquidação]])</f>
        <v>46219</v>
      </c>
      <c r="M3204" s="1075">
        <f>base[[#This Row],[L/P Bruto]]-base[[#This Row],[L/P Líquido]]</f>
        <v>0.93722513089005233</v>
      </c>
      <c r="N3204" s="1075">
        <f>base[[#This Row],[L/P Líquido]]/base[[#This Row],[Stake/Responsabilidade]]</f>
        <v>0.67241379310344829</v>
      </c>
      <c r="O3204" s="1077">
        <f>IF(base[[#This Row],[L/P Líquido]]&gt;0,1,0)</f>
        <v>1</v>
      </c>
      <c r="P3204" s="1077"/>
      <c r="Q3204" s="1077" t="str">
        <f>LEFT(base[[#This Row],[Evento / Mercado]],FIND("vs",base[[#This Row],[Evento / Mercado]])-2)</f>
        <v>FC Inter Turku</v>
      </c>
      <c r="R320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4" t="str">
        <f>LEFT(base[[#This Row],[Evento / Mercado]],FIND("/",base[[#This Row],[Evento / Mercado]])-2)</f>
        <v>FC Inter Turku vs FK Sarajevo</v>
      </c>
      <c r="T3204" s="1420">
        <f>base[[#This Row],[Data de liquidação]]</f>
        <v>46219.578460648147</v>
      </c>
    </row>
    <row r="3205" spans="2:20" ht="15" customHeight="1">
      <c r="B3205" s="1072" t="s">
        <v>3842</v>
      </c>
      <c r="C3205" s="935" t="s">
        <v>3556</v>
      </c>
      <c r="D3205" s="1395">
        <v>46219.620509259257</v>
      </c>
      <c r="E3205" s="1074">
        <v>22.74</v>
      </c>
      <c r="F3205" s="654">
        <v>4.4999999999999998E-2</v>
      </c>
      <c r="G3205" s="1075">
        <f t="shared" si="78"/>
        <v>23.811518324607331</v>
      </c>
      <c r="H3205" s="1069" t="s">
        <v>1666</v>
      </c>
      <c r="I3205" s="1076" t="s">
        <v>1777</v>
      </c>
      <c r="J3205" s="1075">
        <v>2.2599999999999998</v>
      </c>
      <c r="K3205" s="1075">
        <v>30</v>
      </c>
      <c r="L3205" s="1073">
        <f>INT(base[[#This Row],[Data de liquidação]])</f>
        <v>46219</v>
      </c>
      <c r="M3205" s="1075">
        <f>base[[#This Row],[L/P Bruto]]-base[[#This Row],[L/P Líquido]]</f>
        <v>1.0715183246073323</v>
      </c>
      <c r="N3205" s="1075">
        <f>base[[#This Row],[L/P Líquido]]/base[[#This Row],[Stake/Responsabilidade]]</f>
        <v>0.7579999999999999</v>
      </c>
      <c r="O3205" s="1077">
        <f>IF(base[[#This Row],[L/P Líquido]]&gt;0,1,0)</f>
        <v>1</v>
      </c>
      <c r="P3205" s="1077"/>
      <c r="Q3205" s="1077" t="str">
        <f>LEFT(base[[#This Row],[Evento / Mercado]],FIND("vs",base[[#This Row],[Evento / Mercado]])-2)</f>
        <v>Ilves</v>
      </c>
      <c r="R320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4" t="str">
        <f>LEFT(base[[#This Row],[Evento / Mercado]],FIND("/",base[[#This Row],[Evento / Mercado]])-2)</f>
        <v>Ilves vs Differdange 03</v>
      </c>
      <c r="T3205" s="1420">
        <f>base[[#This Row],[Data de liquidação]]</f>
        <v>46219.620509259257</v>
      </c>
    </row>
    <row r="3206" spans="2:20" ht="15" customHeight="1">
      <c r="B3206" s="1072" t="s">
        <v>3845</v>
      </c>
      <c r="C3206" s="1066" t="s">
        <v>3555</v>
      </c>
      <c r="D3206" s="1395">
        <v>46219.660474537035</v>
      </c>
      <c r="E3206" s="1074">
        <v>-33.33</v>
      </c>
      <c r="F3206" s="654">
        <v>4.4999999999999998E-2</v>
      </c>
      <c r="G3206" s="1075">
        <f t="shared" si="78"/>
        <v>-33.33</v>
      </c>
      <c r="H3206" s="938" t="s">
        <v>3253</v>
      </c>
      <c r="I3206" s="939" t="s">
        <v>3254</v>
      </c>
      <c r="J3206" s="1075">
        <v>10</v>
      </c>
      <c r="K3206" s="1075">
        <v>33.33</v>
      </c>
      <c r="L3206" s="1073">
        <f>INT(base[[#This Row],[Data de liquidação]])</f>
        <v>46219</v>
      </c>
      <c r="M3206" s="1075">
        <f>base[[#This Row],[L/P Bruto]]-base[[#This Row],[L/P Líquido]]</f>
        <v>0</v>
      </c>
      <c r="N3206" s="1075">
        <f>base[[#This Row],[L/P Líquido]]/base[[#This Row],[Stake/Responsabilidade]]</f>
        <v>-1</v>
      </c>
      <c r="O3206" s="1077">
        <f>IF(base[[#This Row],[L/P Líquido]]&gt;0,1,0)</f>
        <v>0</v>
      </c>
      <c r="P3206" s="1077"/>
      <c r="Q3206" s="1077" t="str">
        <f>LEFT(base[[#This Row],[Evento / Mercado]],FIND("vs",base[[#This Row],[Evento / Mercado]])-2)</f>
        <v>Žalgiris Vilnius</v>
      </c>
      <c r="R320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4" t="str">
        <f>LEFT(base[[#This Row],[Evento / Mercado]],FIND("/",base[[#This Row],[Evento / Mercado]])-2)</f>
        <v>Žalgiris Vilnius vs OFK Petrovac</v>
      </c>
      <c r="T3206" s="1420">
        <f>base[[#This Row],[Data de liquidação]]</f>
        <v>46219.660474537035</v>
      </c>
    </row>
    <row r="3207" spans="2:20" ht="15" customHeight="1">
      <c r="B3207" s="1072" t="s">
        <v>3841</v>
      </c>
      <c r="C3207" s="935" t="s">
        <v>3556</v>
      </c>
      <c r="D3207" s="1395">
        <v>46219.660578703704</v>
      </c>
      <c r="E3207" s="1074">
        <v>11.34</v>
      </c>
      <c r="F3207" s="654">
        <v>4.4999999999999998E-2</v>
      </c>
      <c r="G3207" s="1075">
        <f t="shared" si="78"/>
        <v>11.874345549738221</v>
      </c>
      <c r="H3207" s="1075" t="s">
        <v>3330</v>
      </c>
      <c r="I3207" s="1076" t="s">
        <v>3566</v>
      </c>
      <c r="J3207" s="1075">
        <v>8.14</v>
      </c>
      <c r="K3207" s="1075">
        <v>99.19</v>
      </c>
      <c r="L3207" s="1073">
        <f>INT(base[[#This Row],[Data de liquidação]])</f>
        <v>46219</v>
      </c>
      <c r="M3207" s="1075">
        <f>base[[#This Row],[L/P Bruto]]-base[[#This Row],[L/P Líquido]]</f>
        <v>0.53434554973822124</v>
      </c>
      <c r="N3207" s="1075">
        <f>base[[#This Row],[L/P Líquido]]/base[[#This Row],[Stake/Responsabilidade]]</f>
        <v>0.11432604093154553</v>
      </c>
      <c r="O3207" s="1077">
        <f>IF(base[[#This Row],[L/P Líquido]]&gt;0,1,0)</f>
        <v>1</v>
      </c>
      <c r="P3207" s="1077"/>
      <c r="Q3207" s="1077" t="str">
        <f>LEFT(base[[#This Row],[Evento / Mercado]],FIND("vs",base[[#This Row],[Evento / Mercado]])-2)</f>
        <v>Žalgiris Vilnius</v>
      </c>
      <c r="R320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4" t="str">
        <f>LEFT(base[[#This Row],[Evento / Mercado]],FIND("/",base[[#This Row],[Evento / Mercado]])-2)</f>
        <v>Žalgiris Vilnius vs OFK Petrovac</v>
      </c>
      <c r="T3207" s="1420">
        <f>base[[#This Row],[Data de liquidação]]</f>
        <v>46219.660578703704</v>
      </c>
    </row>
    <row r="3208" spans="2:20" ht="15" customHeight="1">
      <c r="B3208" s="1072" t="s">
        <v>3841</v>
      </c>
      <c r="C3208" s="1066" t="s">
        <v>3555</v>
      </c>
      <c r="D3208" s="1395">
        <v>46219.660578703704</v>
      </c>
      <c r="E3208" s="1074">
        <v>66.83</v>
      </c>
      <c r="F3208" s="654">
        <v>4.4999999999999998E-2</v>
      </c>
      <c r="G3208" s="1075">
        <f t="shared" si="78"/>
        <v>69.979057591623032</v>
      </c>
      <c r="H3208" s="938" t="s">
        <v>3253</v>
      </c>
      <c r="I3208" s="939" t="s">
        <v>1555</v>
      </c>
      <c r="J3208" s="1075">
        <v>5</v>
      </c>
      <c r="K3208" s="1075">
        <v>300</v>
      </c>
      <c r="L3208" s="1073">
        <f>INT(base[[#This Row],[Data de liquidação]])</f>
        <v>46219</v>
      </c>
      <c r="M3208" s="1075">
        <f>base[[#This Row],[L/P Bruto]]-base[[#This Row],[L/P Líquido]]</f>
        <v>3.1490575916230341</v>
      </c>
      <c r="N3208" s="1075">
        <f>base[[#This Row],[L/P Líquido]]/base[[#This Row],[Stake/Responsabilidade]]</f>
        <v>0.22276666666666667</v>
      </c>
      <c r="O3208" s="1077">
        <f>IF(base[[#This Row],[L/P Líquido]]&gt;0,1,0)</f>
        <v>1</v>
      </c>
      <c r="P3208" s="1077"/>
      <c r="Q3208" s="1077" t="str">
        <f>LEFT(base[[#This Row],[Evento / Mercado]],FIND("vs",base[[#This Row],[Evento / Mercado]])-2)</f>
        <v>Žalgiris Vilnius</v>
      </c>
      <c r="R320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4" t="str">
        <f>LEFT(base[[#This Row],[Evento / Mercado]],FIND("/",base[[#This Row],[Evento / Mercado]])-2)</f>
        <v>Žalgiris Vilnius vs OFK Petrovac</v>
      </c>
      <c r="T3208" s="1420">
        <f>base[[#This Row],[Data de liquidação]]</f>
        <v>46219.660578703704</v>
      </c>
    </row>
    <row r="3209" spans="2:20" ht="15" customHeight="1">
      <c r="B3209" s="1072" t="s">
        <v>3840</v>
      </c>
      <c r="C3209" s="935" t="s">
        <v>3556</v>
      </c>
      <c r="D3209" s="1395">
        <v>46219.684560185182</v>
      </c>
      <c r="E3209" s="1074">
        <v>46.36</v>
      </c>
      <c r="F3209" s="654">
        <v>4.4999999999999998E-2</v>
      </c>
      <c r="G3209" s="1075">
        <f t="shared" si="78"/>
        <v>48.544502617801051</v>
      </c>
      <c r="H3209" s="1075" t="s">
        <v>3333</v>
      </c>
      <c r="I3209" s="1076" t="s">
        <v>13</v>
      </c>
      <c r="J3209" s="1075">
        <f>(1.93*50+2.08*25)/base[[#This Row],[Stake/Responsabilidade]]</f>
        <v>1.98</v>
      </c>
      <c r="K3209" s="1075">
        <v>75</v>
      </c>
      <c r="L3209" s="1073">
        <f>INT(base[[#This Row],[Data de liquidação]])</f>
        <v>46219</v>
      </c>
      <c r="M3209" s="1075">
        <f>base[[#This Row],[L/P Bruto]]-base[[#This Row],[L/P Líquido]]</f>
        <v>2.1845026178010514</v>
      </c>
      <c r="N3209" s="1075">
        <f>base[[#This Row],[L/P Líquido]]/base[[#This Row],[Stake/Responsabilidade]]</f>
        <v>0.61813333333333331</v>
      </c>
      <c r="O3209" s="1077">
        <f>IF(base[[#This Row],[L/P Líquido]]&gt;0,1,0)</f>
        <v>1</v>
      </c>
      <c r="P3209" s="1077"/>
      <c r="Q3209" s="1077" t="str">
        <f>LEFT(base[[#This Row],[Evento / Mercado]],FIND("vs",base[[#This Row],[Evento / Mercado]])-2)</f>
        <v>Hamrun Spartans</v>
      </c>
      <c r="R320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4" t="str">
        <f>LEFT(base[[#This Row],[Evento / Mercado]],FIND("/",base[[#This Row],[Evento / Mercado]])-2)</f>
        <v>Hamrun Spartans vs NSI Runavik</v>
      </c>
      <c r="T3209" s="1420">
        <f>base[[#This Row],[Data de liquidação]]</f>
        <v>46219.684560185182</v>
      </c>
    </row>
    <row r="3210" spans="2:20" ht="15" customHeight="1">
      <c r="B3210" s="1072" t="s">
        <v>3839</v>
      </c>
      <c r="C3210" s="935" t="s">
        <v>3556</v>
      </c>
      <c r="D3210" s="1395">
        <v>46219.686921296299</v>
      </c>
      <c r="E3210" s="1074">
        <v>-30</v>
      </c>
      <c r="F3210" s="654">
        <v>4.4999999999999998E-2</v>
      </c>
      <c r="G3210" s="1075">
        <f t="shared" si="78"/>
        <v>-30</v>
      </c>
      <c r="H3210" s="1069" t="s">
        <v>1666</v>
      </c>
      <c r="I3210" s="1076" t="s">
        <v>1777</v>
      </c>
      <c r="J3210" s="1075">
        <v>2.08</v>
      </c>
      <c r="K3210" s="1075">
        <v>25</v>
      </c>
      <c r="L3210" s="1073">
        <f>INT(base[[#This Row],[Data de liquidação]])</f>
        <v>46219</v>
      </c>
      <c r="M3210" s="1075">
        <f>base[[#This Row],[L/P Bruto]]-base[[#This Row],[L/P Líquido]]</f>
        <v>0</v>
      </c>
      <c r="N3210" s="1075">
        <f>base[[#This Row],[L/P Líquido]]/base[[#This Row],[Stake/Responsabilidade]]</f>
        <v>-1.2</v>
      </c>
      <c r="O3210" s="1077">
        <f>IF(base[[#This Row],[L/P Líquido]]&gt;0,1,0)</f>
        <v>0</v>
      </c>
      <c r="P3210" s="1077"/>
      <c r="Q3210" s="1077" t="str">
        <f>LEFT(base[[#This Row],[Evento / Mercado]],FIND("vs",base[[#This Row],[Evento / Mercado]])-2)</f>
        <v>Hamrun Spartans</v>
      </c>
      <c r="R321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4" t="str">
        <f>LEFT(base[[#This Row],[Evento / Mercado]],FIND("/",base[[#This Row],[Evento / Mercado]])-2)</f>
        <v>Hamrun Spartans vs NSI Runavik</v>
      </c>
      <c r="T3210" s="1420">
        <f>base[[#This Row],[Data de liquidação]]</f>
        <v>46219.686921296299</v>
      </c>
    </row>
    <row r="3211" spans="2:20" ht="15" customHeight="1">
      <c r="B3211" s="1072" t="s">
        <v>3844</v>
      </c>
      <c r="C3211" s="1066" t="s">
        <v>3555</v>
      </c>
      <c r="D3211" s="1395">
        <v>46219.712152777778</v>
      </c>
      <c r="E3211" s="1074">
        <v>-26.09</v>
      </c>
      <c r="F3211" s="654">
        <v>4.4999999999999998E-2</v>
      </c>
      <c r="G3211" s="1075">
        <f t="shared" si="78"/>
        <v>-26.09</v>
      </c>
      <c r="H3211" s="938" t="s">
        <v>3253</v>
      </c>
      <c r="I3211" s="939" t="s">
        <v>3254</v>
      </c>
      <c r="J3211" s="1075">
        <v>12.5</v>
      </c>
      <c r="K3211" s="1075">
        <v>26.09</v>
      </c>
      <c r="L3211" s="1073">
        <f>INT(base[[#This Row],[Data de liquidação]])</f>
        <v>46219</v>
      </c>
      <c r="M3211" s="1075">
        <f>base[[#This Row],[L/P Bruto]]-base[[#This Row],[L/P Líquido]]</f>
        <v>0</v>
      </c>
      <c r="N3211" s="1075">
        <f>base[[#This Row],[L/P Líquido]]/base[[#This Row],[Stake/Responsabilidade]]</f>
        <v>-1</v>
      </c>
      <c r="O3211" s="1077">
        <f>IF(base[[#This Row],[L/P Líquido]]&gt;0,1,0)</f>
        <v>0</v>
      </c>
      <c r="P3211" s="1077"/>
      <c r="Q3211" s="1077" t="str">
        <f>LEFT(base[[#This Row],[Evento / Mercado]],FIND("vs",base[[#This Row],[Evento / Mercado]])-2)</f>
        <v>Ferencvárosi TC</v>
      </c>
      <c r="R3211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4" t="str">
        <f>LEFT(base[[#This Row],[Evento / Mercado]],FIND("/",base[[#This Row],[Evento / Mercado]])-2)</f>
        <v>Ferencvárosi TC vs Vojvodina</v>
      </c>
      <c r="T3211" s="1420">
        <f>base[[#This Row],[Data de liquidação]]</f>
        <v>46219.712152777778</v>
      </c>
    </row>
    <row r="3212" spans="2:20" ht="15" customHeight="1">
      <c r="B3212" s="1072" t="s">
        <v>3838</v>
      </c>
      <c r="C3212" s="935" t="s">
        <v>3556</v>
      </c>
      <c r="D3212" s="1395">
        <v>46219.712233796294</v>
      </c>
      <c r="E3212" s="1074">
        <v>10.98</v>
      </c>
      <c r="F3212" s="654">
        <v>4.4999999999999998E-2</v>
      </c>
      <c r="G3212" s="1075">
        <f t="shared" si="78"/>
        <v>11.497382198952881</v>
      </c>
      <c r="H3212" s="1075" t="s">
        <v>3330</v>
      </c>
      <c r="I3212" s="1076" t="s">
        <v>3566</v>
      </c>
      <c r="J3212" s="1075">
        <v>9</v>
      </c>
      <c r="K3212" s="1075">
        <v>100</v>
      </c>
      <c r="L3212" s="1073">
        <f>INT(base[[#This Row],[Data de liquidação]])</f>
        <v>46219</v>
      </c>
      <c r="M3212" s="1075">
        <f>base[[#This Row],[L/P Bruto]]-base[[#This Row],[L/P Líquido]]</f>
        <v>0.5173821989528804</v>
      </c>
      <c r="N3212" s="1075">
        <f>base[[#This Row],[L/P Líquido]]/base[[#This Row],[Stake/Responsabilidade]]</f>
        <v>0.10980000000000001</v>
      </c>
      <c r="O3212" s="1077">
        <f>IF(base[[#This Row],[L/P Líquido]]&gt;0,1,0)</f>
        <v>1</v>
      </c>
      <c r="P3212" s="1077"/>
      <c r="Q3212" s="1077" t="str">
        <f>LEFT(base[[#This Row],[Evento / Mercado]],FIND("vs",base[[#This Row],[Evento / Mercado]])-2)</f>
        <v>Ferencvárosi TC</v>
      </c>
      <c r="R3212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4" t="str">
        <f>LEFT(base[[#This Row],[Evento / Mercado]],FIND("/",base[[#This Row],[Evento / Mercado]])-2)</f>
        <v>Ferencvárosi TC vs Vojvodina</v>
      </c>
      <c r="T3212" s="1420">
        <f>base[[#This Row],[Data de liquidação]]</f>
        <v>46219.712233796294</v>
      </c>
    </row>
    <row r="3213" spans="2:20" ht="15" customHeight="1">
      <c r="B3213" s="1072" t="s">
        <v>3838</v>
      </c>
      <c r="C3213" s="1066" t="s">
        <v>3555</v>
      </c>
      <c r="D3213" s="1395">
        <v>46219.712233796294</v>
      </c>
      <c r="E3213" s="1074">
        <v>55.63</v>
      </c>
      <c r="F3213" s="654">
        <v>4.4999999999999998E-2</v>
      </c>
      <c r="G3213" s="1075">
        <f t="shared" si="78"/>
        <v>58.251308900523568</v>
      </c>
      <c r="H3213" s="938" t="s">
        <v>3253</v>
      </c>
      <c r="I3213" s="939" t="s">
        <v>1555</v>
      </c>
      <c r="J3213" s="1075">
        <v>6</v>
      </c>
      <c r="K3213" s="1075">
        <v>300</v>
      </c>
      <c r="L3213" s="1073">
        <f>INT(base[[#This Row],[Data de liquidação]])</f>
        <v>46219</v>
      </c>
      <c r="M3213" s="1075">
        <f>base[[#This Row],[L/P Bruto]]-base[[#This Row],[L/P Líquido]]</f>
        <v>2.6213089005235659</v>
      </c>
      <c r="N3213" s="1075">
        <f>base[[#This Row],[L/P Líquido]]/base[[#This Row],[Stake/Responsabilidade]]</f>
        <v>0.18543333333333334</v>
      </c>
      <c r="O3213" s="1077">
        <f>IF(base[[#This Row],[L/P Líquido]]&gt;0,1,0)</f>
        <v>1</v>
      </c>
      <c r="P3213" s="1077"/>
      <c r="Q3213" s="1077" t="str">
        <f>LEFT(base[[#This Row],[Evento / Mercado]],FIND("vs",base[[#This Row],[Evento / Mercado]])-2)</f>
        <v>Ferencvárosi TC</v>
      </c>
      <c r="R3213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4" t="str">
        <f>LEFT(base[[#This Row],[Evento / Mercado]],FIND("/",base[[#This Row],[Evento / Mercado]])-2)</f>
        <v>Ferencvárosi TC vs Vojvodina</v>
      </c>
      <c r="T3213" s="1420">
        <f>base[[#This Row],[Data de liquidação]]</f>
        <v>46219.712233796294</v>
      </c>
    </row>
    <row r="3214" spans="2:20" ht="15" customHeight="1">
      <c r="B3214" s="1072" t="s">
        <v>3837</v>
      </c>
      <c r="C3214" s="935" t="s">
        <v>3556</v>
      </c>
      <c r="D3214" s="1395">
        <v>46219.714409722219</v>
      </c>
      <c r="E3214" s="1074">
        <v>2.54</v>
      </c>
      <c r="F3214" s="654">
        <v>4.4999999999999998E-2</v>
      </c>
      <c r="G3214" s="1075">
        <f t="shared" si="78"/>
        <v>2.6596858638743459</v>
      </c>
      <c r="H3214" s="1075" t="s">
        <v>1666</v>
      </c>
      <c r="I3214" s="1076" t="s">
        <v>2883</v>
      </c>
      <c r="J3214" s="1075">
        <v>1.53</v>
      </c>
      <c r="K3214" s="1075">
        <v>5</v>
      </c>
      <c r="L3214" s="1073">
        <f>INT(base[[#This Row],[Data de liquidação]])</f>
        <v>46219</v>
      </c>
      <c r="M3214" s="1075">
        <f>base[[#This Row],[L/P Bruto]]-base[[#This Row],[L/P Líquido]]</f>
        <v>0.11968586387434588</v>
      </c>
      <c r="N3214" s="1075">
        <f>base[[#This Row],[L/P Líquido]]/base[[#This Row],[Stake/Responsabilidade]]</f>
        <v>0.50800000000000001</v>
      </c>
      <c r="O3214" s="1077">
        <f>IF(base[[#This Row],[L/P Líquido]]&gt;0,1,0)</f>
        <v>1</v>
      </c>
      <c r="P3214" s="1077"/>
      <c r="Q3214" s="1077" t="str">
        <f>LEFT(base[[#This Row],[Evento / Mercado]],FIND("vs",base[[#This Row],[Evento / Mercado]])-2)</f>
        <v>Academia de Balompie Boliviano</v>
      </c>
      <c r="R321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4" t="str">
        <f>LEFT(base[[#This Row],[Evento / Mercado]],FIND("/",base[[#This Row],[Evento / Mercado]])-2)</f>
        <v>Academia de Balompie Boliviano vs Club Independiente Petrolero</v>
      </c>
      <c r="T3214" s="1420">
        <f>base[[#This Row],[Data de liquidação]]</f>
        <v>46219.714409722219</v>
      </c>
    </row>
    <row r="3215" spans="2:20" ht="15" customHeight="1">
      <c r="B3215" s="1072" t="s">
        <v>3836</v>
      </c>
      <c r="C3215" s="935" t="s">
        <v>3556</v>
      </c>
      <c r="D3215" s="1395">
        <v>46219.842499999999</v>
      </c>
      <c r="E3215" s="1074">
        <v>1.36</v>
      </c>
      <c r="F3215" s="654">
        <v>4.4999999999999998E-2</v>
      </c>
      <c r="G3215" s="1075">
        <f t="shared" si="78"/>
        <v>1.424083769633508</v>
      </c>
      <c r="H3215" s="1075" t="s">
        <v>1666</v>
      </c>
      <c r="I3215" s="1076" t="s">
        <v>2362</v>
      </c>
      <c r="J3215" s="1075">
        <v>1.1399999999999999</v>
      </c>
      <c r="K3215" s="1075">
        <v>10</v>
      </c>
      <c r="L3215" s="1073">
        <f>INT(base[[#This Row],[Data de liquidação]])</f>
        <v>46219</v>
      </c>
      <c r="M3215" s="1075">
        <f>base[[#This Row],[L/P Bruto]]-base[[#This Row],[L/P Líquido]]</f>
        <v>6.4083769633507925E-2</v>
      </c>
      <c r="N3215" s="1075">
        <f>base[[#This Row],[L/P Líquido]]/base[[#This Row],[Stake/Responsabilidade]]</f>
        <v>0.13600000000000001</v>
      </c>
      <c r="O3215" s="1077">
        <f>IF(base[[#This Row],[L/P Líquido]]&gt;0,1,0)</f>
        <v>1</v>
      </c>
      <c r="P3215" s="1077"/>
      <c r="Q3215" s="1077" t="str">
        <f>LEFT(base[[#This Row],[Evento / Mercado]],FIND("vs",base[[#This Row],[Evento / Mercado]])-2)</f>
        <v>Botafogo FR</v>
      </c>
      <c r="R321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4" t="str">
        <f>LEFT(base[[#This Row],[Evento / Mercado]],FIND("/",base[[#This Row],[Evento / Mercado]])-2)</f>
        <v>Botafogo FR vs Santos FC</v>
      </c>
      <c r="T3215" s="1420">
        <f>base[[#This Row],[Data de liquidação]]</f>
        <v>46219.842499999999</v>
      </c>
    </row>
    <row r="3216" spans="2:20" ht="15" customHeight="1">
      <c r="B3216" s="1072" t="s">
        <v>3835</v>
      </c>
      <c r="C3216" s="935" t="s">
        <v>3556</v>
      </c>
      <c r="D3216" s="1395">
        <v>46219.867592592593</v>
      </c>
      <c r="E3216" s="1074">
        <v>3.73</v>
      </c>
      <c r="F3216" s="654">
        <v>4.4999999999999998E-2</v>
      </c>
      <c r="G3216" s="1075">
        <f t="shared" si="78"/>
        <v>3.9057591623036649</v>
      </c>
      <c r="H3216" s="1075" t="s">
        <v>1666</v>
      </c>
      <c r="I3216" s="1076" t="s">
        <v>2883</v>
      </c>
      <c r="J3216" s="1075">
        <v>1.78</v>
      </c>
      <c r="K3216" s="1075">
        <v>5</v>
      </c>
      <c r="L3216" s="1073">
        <f>INT(base[[#This Row],[Data de liquidação]])</f>
        <v>46219</v>
      </c>
      <c r="M3216" s="1075">
        <f>base[[#This Row],[L/P Bruto]]-base[[#This Row],[L/P Líquido]]</f>
        <v>0.17575916230366495</v>
      </c>
      <c r="N3216" s="1075">
        <f>base[[#This Row],[L/P Líquido]]/base[[#This Row],[Stake/Responsabilidade]]</f>
        <v>0.746</v>
      </c>
      <c r="O3216" s="1077">
        <f>IF(base[[#This Row],[L/P Líquido]]&gt;0,1,0)</f>
        <v>1</v>
      </c>
      <c r="P3216" s="1077"/>
      <c r="Q3216" s="1077" t="str">
        <f>LEFT(base[[#This Row],[Evento / Mercado]],FIND("vs",base[[#This Row],[Evento / Mercado]])-2)</f>
        <v>Botafogo FR</v>
      </c>
      <c r="R321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4" t="str">
        <f>LEFT(base[[#This Row],[Evento / Mercado]],FIND("/",base[[#This Row],[Evento / Mercado]])-2)</f>
        <v>Botafogo FR vs Santos FC</v>
      </c>
      <c r="T3216" s="1420">
        <f>base[[#This Row],[Data de liquidação]]</f>
        <v>46219.867592592593</v>
      </c>
    </row>
    <row r="3217" spans="2:20" ht="15" customHeight="1">
      <c r="B3217" s="1072" t="s">
        <v>3834</v>
      </c>
      <c r="C3217" s="935" t="s">
        <v>3556</v>
      </c>
      <c r="D3217" s="1395">
        <v>46219.916493055556</v>
      </c>
      <c r="E3217" s="1074">
        <v>4.24</v>
      </c>
      <c r="F3217" s="654">
        <v>4.4999999999999998E-2</v>
      </c>
      <c r="G3217" s="1075">
        <f t="shared" si="78"/>
        <v>4.4397905759162306</v>
      </c>
      <c r="H3217" s="1075" t="s">
        <v>1666</v>
      </c>
      <c r="I3217" s="1076" t="s">
        <v>1759</v>
      </c>
      <c r="J3217" s="1075">
        <v>26</v>
      </c>
      <c r="K3217" s="1075">
        <v>111</v>
      </c>
      <c r="L3217" s="1073">
        <f>INT(base[[#This Row],[Data de liquidação]])</f>
        <v>46219</v>
      </c>
      <c r="M3217" s="1075">
        <f>base[[#This Row],[L/P Bruto]]-base[[#This Row],[L/P Líquido]]</f>
        <v>0.1997905759162304</v>
      </c>
      <c r="N3217" s="1075">
        <f>base[[#This Row],[L/P Líquido]]/base[[#This Row],[Stake/Responsabilidade]]</f>
        <v>3.8198198198198204E-2</v>
      </c>
      <c r="O3217" s="1077">
        <f>IF(base[[#This Row],[L/P Líquido]]&gt;0,1,0)</f>
        <v>1</v>
      </c>
      <c r="P3217" s="1077"/>
      <c r="Q3217" s="1077" t="str">
        <f>LEFT(base[[#This Row],[Evento / Mercado]],FIND("vs",base[[#This Row],[Evento / Mercado]])-2)</f>
        <v>CRB</v>
      </c>
      <c r="R321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4" t="str">
        <f>LEFT(base[[#This Row],[Evento / Mercado]],FIND("/",base[[#This Row],[Evento / Mercado]])-2)</f>
        <v>CRB vs Clube Náutico Capibaribe</v>
      </c>
      <c r="T3217" s="1420">
        <f>base[[#This Row],[Data de liquidação]]</f>
        <v>46219.916493055556</v>
      </c>
    </row>
    <row r="3218" spans="2:20" ht="15" customHeight="1">
      <c r="B3218" s="1072" t="s">
        <v>3833</v>
      </c>
      <c r="C3218" s="935" t="s">
        <v>3556</v>
      </c>
      <c r="D3218" s="1395">
        <v>46219.927187499998</v>
      </c>
      <c r="E3218" s="1074">
        <v>0.56999999999999995</v>
      </c>
      <c r="F3218" s="654">
        <v>4.4999999999999998E-2</v>
      </c>
      <c r="G3218" s="1075">
        <f t="shared" si="78"/>
        <v>0.59685863874345546</v>
      </c>
      <c r="H3218" s="1075" t="s">
        <v>1666</v>
      </c>
      <c r="I3218" s="1076" t="s">
        <v>2362</v>
      </c>
      <c r="J3218" s="1075">
        <v>1.06</v>
      </c>
      <c r="K3218" s="1075">
        <v>10</v>
      </c>
      <c r="L3218" s="1073">
        <f>INT(base[[#This Row],[Data de liquidação]])</f>
        <v>46219</v>
      </c>
      <c r="M3218" s="1075">
        <f>base[[#This Row],[L/P Bruto]]-base[[#This Row],[L/P Líquido]]</f>
        <v>2.685863874345551E-2</v>
      </c>
      <c r="N3218" s="1075">
        <f>base[[#This Row],[L/P Líquido]]/base[[#This Row],[Stake/Responsabilidade]]</f>
        <v>5.6999999999999995E-2</v>
      </c>
      <c r="O3218" s="1077">
        <f>IF(base[[#This Row],[L/P Líquido]]&gt;0,1,0)</f>
        <v>1</v>
      </c>
      <c r="P3218" s="1077"/>
      <c r="Q3218" s="1077" t="str">
        <f>LEFT(base[[#This Row],[Evento / Mercado]],FIND("vs",base[[#This Row],[Evento / Mercado]])-2)</f>
        <v>Saint Louis City SC</v>
      </c>
      <c r="R321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4" t="str">
        <f>LEFT(base[[#This Row],[Evento / Mercado]],FIND("/",base[[#This Row],[Evento / Mercado]])-2)</f>
        <v>Saint Louis City SC vs Sporting Kansas City</v>
      </c>
      <c r="T3218" s="1420">
        <f>base[[#This Row],[Data de liquidação]]</f>
        <v>46219.927187499998</v>
      </c>
    </row>
    <row r="3219" spans="2:20" ht="15" customHeight="1">
      <c r="B3219" s="1072" t="s">
        <v>3832</v>
      </c>
      <c r="C3219" s="935" t="s">
        <v>3556</v>
      </c>
      <c r="D3219" s="1395">
        <v>46219.931458333333</v>
      </c>
      <c r="E3219" s="1074">
        <v>14.33</v>
      </c>
      <c r="F3219" s="654">
        <v>4.4999999999999998E-2</v>
      </c>
      <c r="G3219" s="1075">
        <f t="shared" si="78"/>
        <v>15.005235602094242</v>
      </c>
      <c r="H3219" s="1075" t="s">
        <v>1666</v>
      </c>
      <c r="I3219" s="1076" t="s">
        <v>1558</v>
      </c>
      <c r="J3219" s="1075">
        <v>12</v>
      </c>
      <c r="K3219" s="1075">
        <v>15</v>
      </c>
      <c r="L3219" s="1073">
        <f>INT(base[[#This Row],[Data de liquidação]])</f>
        <v>46219</v>
      </c>
      <c r="M3219" s="1075">
        <f>base[[#This Row],[L/P Bruto]]-base[[#This Row],[L/P Líquido]]</f>
        <v>0.67523560209424183</v>
      </c>
      <c r="N3219" s="1075">
        <f>base[[#This Row],[L/P Líquido]]/base[[#This Row],[Stake/Responsabilidade]]</f>
        <v>0.95533333333333337</v>
      </c>
      <c r="O3219" s="1077">
        <f>IF(base[[#This Row],[L/P Líquido]]&gt;0,1,0)</f>
        <v>1</v>
      </c>
      <c r="P3219" s="1077"/>
      <c r="Q3219" s="1077" t="str">
        <f>LEFT(base[[#This Row],[Evento / Mercado]],FIND("vs",base[[#This Row],[Evento / Mercado]])-2)</f>
        <v>Saint Louis City SC</v>
      </c>
      <c r="R321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4" t="str">
        <f>LEFT(base[[#This Row],[Evento / Mercado]],FIND("/",base[[#This Row],[Evento / Mercado]])-2)</f>
        <v>Saint Louis City SC vs Sporting Kansas City</v>
      </c>
      <c r="T3219" s="1420">
        <f>base[[#This Row],[Data de liquidação]]</f>
        <v>46219.931458333333</v>
      </c>
    </row>
    <row r="3220" spans="2:20" ht="15" customHeight="1">
      <c r="B3220" s="1072" t="s">
        <v>3831</v>
      </c>
      <c r="C3220" s="935" t="s">
        <v>3556</v>
      </c>
      <c r="D3220" s="1395">
        <v>46219.943368055552</v>
      </c>
      <c r="E3220" s="1074">
        <v>-50</v>
      </c>
      <c r="F3220" s="654">
        <v>4.4999999999999998E-2</v>
      </c>
      <c r="G3220" s="1075">
        <f t="shared" si="78"/>
        <v>-50</v>
      </c>
      <c r="H3220" s="1075" t="s">
        <v>3581</v>
      </c>
      <c r="I3220" s="1076" t="s">
        <v>75</v>
      </c>
      <c r="J3220" s="1075">
        <v>1.34</v>
      </c>
      <c r="K3220" s="1075">
        <v>50</v>
      </c>
      <c r="L3220" s="1073">
        <f>INT(base[[#This Row],[Data de liquidação]])</f>
        <v>46219</v>
      </c>
      <c r="M3220" s="1075">
        <f>base[[#This Row],[L/P Bruto]]-base[[#This Row],[L/P Líquido]]</f>
        <v>0</v>
      </c>
      <c r="N3220" s="1075">
        <f>base[[#This Row],[L/P Líquido]]/base[[#This Row],[Stake/Responsabilidade]]</f>
        <v>-1</v>
      </c>
      <c r="O3220" s="1077">
        <f>IF(base[[#This Row],[L/P Líquido]]&gt;0,1,0)</f>
        <v>0</v>
      </c>
      <c r="P3220" s="1077"/>
      <c r="Q3220" s="1077" t="str">
        <f>LEFT(base[[#This Row],[Evento / Mercado]],FIND("vs",base[[#This Row],[Evento / Mercado]])-2)</f>
        <v>CF Montreal</v>
      </c>
      <c r="R322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4" t="str">
        <f>LEFT(base[[#This Row],[Evento / Mercado]],FIND("/",base[[#This Row],[Evento / Mercado]])-2)</f>
        <v>CF Montreal vs Toronto FC</v>
      </c>
      <c r="T3220" s="1420">
        <f>base[[#This Row],[Data de liquidação]]</f>
        <v>46219.943368055552</v>
      </c>
    </row>
    <row r="3221" spans="2:20" ht="15" customHeight="1">
      <c r="B3221" s="1078" t="s">
        <v>3864</v>
      </c>
      <c r="C3221" s="935" t="s">
        <v>3556</v>
      </c>
      <c r="D3221" s="1396">
        <v>46220.065694444442</v>
      </c>
      <c r="E3221" s="1080">
        <v>-6.69</v>
      </c>
      <c r="F3221" s="654">
        <v>4.4999999999999998E-2</v>
      </c>
      <c r="G3221" s="1081">
        <f t="shared" ref="G3221:G3249" si="79">IF(E3221&gt;0,E3221/(1-F3221),E3221)</f>
        <v>-6.69</v>
      </c>
      <c r="H3221" s="1081" t="s">
        <v>1666</v>
      </c>
      <c r="I3221" s="1082" t="s">
        <v>1558</v>
      </c>
      <c r="J3221" s="1081">
        <v>5.35</v>
      </c>
      <c r="K3221" s="1081">
        <v>15</v>
      </c>
      <c r="L3221" s="1079">
        <f>INT(base[[#This Row],[Data de liquidação]])</f>
        <v>46220</v>
      </c>
      <c r="M3221" s="1081">
        <f>base[[#This Row],[L/P Bruto]]-base[[#This Row],[L/P Líquido]]</f>
        <v>0</v>
      </c>
      <c r="N3221" s="1081">
        <f>base[[#This Row],[L/P Líquido]]/base[[#This Row],[Stake/Responsabilidade]]</f>
        <v>-0.44600000000000001</v>
      </c>
      <c r="O3221" s="1083">
        <f>IF(base[[#This Row],[L/P Líquido]]&gt;0,1,0)</f>
        <v>0</v>
      </c>
      <c r="P3221" s="1083"/>
      <c r="Q3221" s="1083" t="str">
        <f>LEFT(base[[#This Row],[Evento / Mercado]],FIND("vs",base[[#This Row],[Evento / Mercado]])-2)</f>
        <v>Club Tijuana</v>
      </c>
      <c r="R322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4" t="str">
        <f>LEFT(base[[#This Row],[Evento / Mercado]],FIND("/",base[[#This Row],[Evento / Mercado]])-2)</f>
        <v>Club Tijuana vs Tigres de la UANL</v>
      </c>
      <c r="T3221" s="1420">
        <f>base[[#This Row],[Data de liquidação]]</f>
        <v>46220.065694444442</v>
      </c>
    </row>
    <row r="3222" spans="2:20" ht="15" customHeight="1">
      <c r="B3222" s="1078" t="s">
        <v>3863</v>
      </c>
      <c r="C3222" s="935" t="s">
        <v>3556</v>
      </c>
      <c r="D3222" s="1396">
        <v>46220.07340277778</v>
      </c>
      <c r="E3222" s="1080">
        <v>22.47</v>
      </c>
      <c r="F3222" s="654">
        <v>4.4999999999999998E-2</v>
      </c>
      <c r="G3222" s="1081">
        <f t="shared" si="79"/>
        <v>23.528795811518325</v>
      </c>
      <c r="H3222" s="1081" t="s">
        <v>3271</v>
      </c>
      <c r="I3222" s="1082" t="s">
        <v>627</v>
      </c>
      <c r="J3222" s="1081">
        <v>18</v>
      </c>
      <c r="K3222" s="1081">
        <v>400.01</v>
      </c>
      <c r="L3222" s="1079">
        <f>INT(base[[#This Row],[Data de liquidação]])</f>
        <v>46220</v>
      </c>
      <c r="M3222" s="1081">
        <f>base[[#This Row],[L/P Bruto]]-base[[#This Row],[L/P Líquido]]</f>
        <v>1.0587958115183262</v>
      </c>
      <c r="N3222" s="1081">
        <f>base[[#This Row],[L/P Líquido]]/base[[#This Row],[Stake/Responsabilidade]]</f>
        <v>5.6173595660108495E-2</v>
      </c>
      <c r="O3222" s="1083">
        <f>IF(base[[#This Row],[L/P Líquido]]&gt;0,1,0)</f>
        <v>1</v>
      </c>
      <c r="P3222" s="1083"/>
      <c r="Q3222" s="1083" t="str">
        <f>LEFT(base[[#This Row],[Evento / Mercado]],FIND("vs",base[[#This Row],[Evento / Mercado]])-2)</f>
        <v>Seattle Sounders</v>
      </c>
      <c r="R322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4" t="str">
        <f>LEFT(base[[#This Row],[Evento / Mercado]],FIND("/",base[[#This Row],[Evento / Mercado]])-2)</f>
        <v>Seattle Sounders vs Portland Timbers</v>
      </c>
      <c r="T3222" s="1420">
        <f>base[[#This Row],[Data de liquidação]]</f>
        <v>46220.07340277778</v>
      </c>
    </row>
    <row r="3223" spans="2:20" ht="15" customHeight="1">
      <c r="B3223" s="1078" t="s">
        <v>3861</v>
      </c>
      <c r="C3223" s="935" t="s">
        <v>3556</v>
      </c>
      <c r="D3223" s="1396">
        <v>46220.400034722225</v>
      </c>
      <c r="E3223" s="1080">
        <v>2.77</v>
      </c>
      <c r="F3223" s="654">
        <v>4.4999999999999998E-2</v>
      </c>
      <c r="G3223" s="1081">
        <f t="shared" si="79"/>
        <v>2.9005235602094244</v>
      </c>
      <c r="H3223" s="1081" t="s">
        <v>1666</v>
      </c>
      <c r="I3223" s="1082" t="s">
        <v>2883</v>
      </c>
      <c r="J3223" s="1081">
        <v>1.58</v>
      </c>
      <c r="K3223" s="1081">
        <v>5</v>
      </c>
      <c r="L3223" s="1079">
        <f>INT(base[[#This Row],[Data de liquidação]])</f>
        <v>46220</v>
      </c>
      <c r="M3223" s="1081">
        <f>base[[#This Row],[L/P Bruto]]-base[[#This Row],[L/P Líquido]]</f>
        <v>0.13052356020942435</v>
      </c>
      <c r="N3223" s="1081">
        <f>base[[#This Row],[L/P Líquido]]/base[[#This Row],[Stake/Responsabilidade]]</f>
        <v>0.55400000000000005</v>
      </c>
      <c r="O3223" s="1083">
        <f>IF(base[[#This Row],[L/P Líquido]]&gt;0,1,0)</f>
        <v>1</v>
      </c>
      <c r="P3223" s="1083"/>
      <c r="Q3223" s="1083" t="str">
        <f>LEFT(base[[#This Row],[Evento / Mercado]],FIND("vs",base[[#This Row],[Evento / Mercado]])-2)</f>
        <v>Qingdao West Coast</v>
      </c>
      <c r="R322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4" t="str">
        <f>LEFT(base[[#This Row],[Evento / Mercado]],FIND("/",base[[#This Row],[Evento / Mercado]])-2)</f>
        <v>Qingdao West Coast vs Chengdu Rongcheng</v>
      </c>
      <c r="T3223" s="1420">
        <f>base[[#This Row],[Data de liquidação]]</f>
        <v>46220.400034722225</v>
      </c>
    </row>
    <row r="3224" spans="2:20" ht="15" customHeight="1">
      <c r="B3224" s="1078" t="s">
        <v>3862</v>
      </c>
      <c r="C3224" s="935" t="s">
        <v>3556</v>
      </c>
      <c r="D3224" s="1396">
        <v>46220.400034722225</v>
      </c>
      <c r="E3224" s="1080">
        <v>-9.64</v>
      </c>
      <c r="F3224" s="654">
        <v>4.4999999999999998E-2</v>
      </c>
      <c r="G3224" s="1081">
        <f t="shared" si="79"/>
        <v>-9.64</v>
      </c>
      <c r="H3224" s="1081" t="s">
        <v>1666</v>
      </c>
      <c r="I3224" s="1082" t="s">
        <v>1558</v>
      </c>
      <c r="J3224" s="1081">
        <v>11.5</v>
      </c>
      <c r="K3224" s="1081">
        <v>15</v>
      </c>
      <c r="L3224" s="1079">
        <f>INT(base[[#This Row],[Data de liquidação]])</f>
        <v>46220</v>
      </c>
      <c r="M3224" s="1081">
        <f>base[[#This Row],[L/P Bruto]]-base[[#This Row],[L/P Líquido]]</f>
        <v>0</v>
      </c>
      <c r="N3224" s="1081">
        <f>base[[#This Row],[L/P Líquido]]/base[[#This Row],[Stake/Responsabilidade]]</f>
        <v>-0.64266666666666672</v>
      </c>
      <c r="O3224" s="1083">
        <f>IF(base[[#This Row],[L/P Líquido]]&gt;0,1,0)</f>
        <v>0</v>
      </c>
      <c r="P3224" s="1083"/>
      <c r="Q3224" s="1083" t="str">
        <f>LEFT(base[[#This Row],[Evento / Mercado]],FIND("vs",base[[#This Row],[Evento / Mercado]])-2)</f>
        <v>Qingdao West Coast</v>
      </c>
      <c r="R322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4" t="str">
        <f>LEFT(base[[#This Row],[Evento / Mercado]],FIND("/",base[[#This Row],[Evento / Mercado]])-2)</f>
        <v>Qingdao West Coast vs Chengdu Rongcheng</v>
      </c>
      <c r="T3224" s="1420">
        <f>base[[#This Row],[Data de liquidação]]</f>
        <v>46220.400034722225</v>
      </c>
    </row>
    <row r="3225" spans="2:20" ht="15" customHeight="1">
      <c r="B3225" s="1078" t="s">
        <v>3860</v>
      </c>
      <c r="C3225" s="935" t="s">
        <v>3556</v>
      </c>
      <c r="D3225" s="1396">
        <v>46220.426759259259</v>
      </c>
      <c r="E3225" s="1080">
        <v>10.27</v>
      </c>
      <c r="F3225" s="654">
        <v>4.4999999999999998E-2</v>
      </c>
      <c r="G3225" s="1081">
        <f t="shared" si="79"/>
        <v>10.753926701570681</v>
      </c>
      <c r="H3225" s="1081" t="s">
        <v>3333</v>
      </c>
      <c r="I3225" s="1082" t="s">
        <v>3388</v>
      </c>
      <c r="J3225" s="1081">
        <v>1.55</v>
      </c>
      <c r="K3225" s="1081">
        <v>25</v>
      </c>
      <c r="L3225" s="1079">
        <f>INT(base[[#This Row],[Data de liquidação]])</f>
        <v>46220</v>
      </c>
      <c r="M3225" s="1081">
        <f>base[[#This Row],[L/P Bruto]]-base[[#This Row],[L/P Líquido]]</f>
        <v>0.48392670157068096</v>
      </c>
      <c r="N3225" s="1081">
        <f>base[[#This Row],[L/P Líquido]]/base[[#This Row],[Stake/Responsabilidade]]</f>
        <v>0.4108</v>
      </c>
      <c r="O3225" s="1083">
        <f>IF(base[[#This Row],[L/P Líquido]]&gt;0,1,0)</f>
        <v>1</v>
      </c>
      <c r="P3225" s="1083"/>
      <c r="Q3225" s="1083" t="str">
        <f>LEFT(base[[#This Row],[Evento / Mercado]],FIND("vs",base[[#This Row],[Evento / Mercado]])-2)</f>
        <v>Yunnan Yukun</v>
      </c>
      <c r="R322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4" t="str">
        <f>LEFT(base[[#This Row],[Evento / Mercado]],FIND("/",base[[#This Row],[Evento / Mercado]])-2)</f>
        <v>Yunnan Yukun vs Shanghai Port</v>
      </c>
      <c r="T3225" s="1420">
        <f>base[[#This Row],[Data de liquidação]]</f>
        <v>46220.426759259259</v>
      </c>
    </row>
    <row r="3226" spans="2:20" ht="15" customHeight="1">
      <c r="B3226" s="1078" t="s">
        <v>3866</v>
      </c>
      <c r="C3226" s="1078" t="s">
        <v>3555</v>
      </c>
      <c r="D3226" s="1396">
        <v>46220.437974537039</v>
      </c>
      <c r="E3226" s="1080">
        <v>291.64</v>
      </c>
      <c r="F3226" s="654">
        <v>4.4999999999999998E-2</v>
      </c>
      <c r="G3226" s="1081">
        <f t="shared" si="79"/>
        <v>305.38219895287961</v>
      </c>
      <c r="H3226" s="938" t="s">
        <v>3253</v>
      </c>
      <c r="I3226" s="939" t="s">
        <v>3254</v>
      </c>
      <c r="J3226" s="1081">
        <v>14</v>
      </c>
      <c r="K3226" s="1081">
        <v>23.08</v>
      </c>
      <c r="L3226" s="1079">
        <f>INT(base[[#This Row],[Data de liquidação]])</f>
        <v>46220</v>
      </c>
      <c r="M3226" s="1081">
        <f>base[[#This Row],[L/P Bruto]]-base[[#This Row],[L/P Líquido]]</f>
        <v>13.742198952879619</v>
      </c>
      <c r="N3226" s="1081">
        <f>base[[#This Row],[L/P Líquido]]/base[[#This Row],[Stake/Responsabilidade]]</f>
        <v>12.636048526863085</v>
      </c>
      <c r="O3226" s="1083">
        <f>IF(base[[#This Row],[L/P Líquido]]&gt;0,1,0)</f>
        <v>1</v>
      </c>
      <c r="P3226" s="1083"/>
      <c r="Q3226" s="1083" t="str">
        <f>LEFT(base[[#This Row],[Evento / Mercado]],FIND("vs",base[[#This Row],[Evento / Mercado]])-2)</f>
        <v>Beijing Guoan</v>
      </c>
      <c r="R322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4" t="str">
        <f>LEFT(base[[#This Row],[Evento / Mercado]],FIND("/",base[[#This Row],[Evento / Mercado]])-2)</f>
        <v>Beijing Guoan vs Liaoning Tieren F.C.</v>
      </c>
      <c r="T3226" s="1420">
        <f>base[[#This Row],[Data de liquidação]]</f>
        <v>46220.437974537039</v>
      </c>
    </row>
    <row r="3227" spans="2:20" ht="15" customHeight="1">
      <c r="B3227" s="1078" t="s">
        <v>3859</v>
      </c>
      <c r="C3227" s="935" t="s">
        <v>3556</v>
      </c>
      <c r="D3227" s="1396">
        <v>46220.438113425924</v>
      </c>
      <c r="E3227" s="1080">
        <v>9.99</v>
      </c>
      <c r="F3227" s="654">
        <v>4.4999999999999998E-2</v>
      </c>
      <c r="G3227" s="1081">
        <f t="shared" si="79"/>
        <v>10.460732984293195</v>
      </c>
      <c r="H3227" s="1081" t="s">
        <v>3330</v>
      </c>
      <c r="I3227" s="1082" t="s">
        <v>3566</v>
      </c>
      <c r="J3227" s="1081">
        <v>7.8</v>
      </c>
      <c r="K3227" s="1081">
        <v>100.03</v>
      </c>
      <c r="L3227" s="1079">
        <f>INT(base[[#This Row],[Data de liquidação]])</f>
        <v>46220</v>
      </c>
      <c r="M3227" s="1081">
        <f>base[[#This Row],[L/P Bruto]]-base[[#This Row],[L/P Líquido]]</f>
        <v>0.47073298429319443</v>
      </c>
      <c r="N3227" s="1081">
        <f>base[[#This Row],[L/P Líquido]]/base[[#This Row],[Stake/Responsabilidade]]</f>
        <v>9.9870038988303517E-2</v>
      </c>
      <c r="O3227" s="1083">
        <f>IF(base[[#This Row],[L/P Líquido]]&gt;0,1,0)</f>
        <v>1</v>
      </c>
      <c r="P3227" s="1083"/>
      <c r="Q3227" s="1083" t="str">
        <f>LEFT(base[[#This Row],[Evento / Mercado]],FIND("vs",base[[#This Row],[Evento / Mercado]])-2)</f>
        <v>Beijing Guoan</v>
      </c>
      <c r="R322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4" t="str">
        <f>LEFT(base[[#This Row],[Evento / Mercado]],FIND("/",base[[#This Row],[Evento / Mercado]])-2)</f>
        <v>Beijing Guoan vs Liaoning Tieren F.C.</v>
      </c>
      <c r="T3227" s="1420">
        <f>base[[#This Row],[Data de liquidação]]</f>
        <v>46220.438113425924</v>
      </c>
    </row>
    <row r="3228" spans="2:20" ht="15" customHeight="1">
      <c r="B3228" s="1078" t="s">
        <v>3859</v>
      </c>
      <c r="C3228" s="1078" t="s">
        <v>3555</v>
      </c>
      <c r="D3228" s="1396">
        <v>46220.438113425924</v>
      </c>
      <c r="E3228" s="1080">
        <v>-300</v>
      </c>
      <c r="F3228" s="654">
        <v>4.4999999999999998E-2</v>
      </c>
      <c r="G3228" s="1081">
        <f t="shared" si="79"/>
        <v>-300</v>
      </c>
      <c r="H3228" s="938" t="s">
        <v>3253</v>
      </c>
      <c r="I3228" s="939" t="s">
        <v>1555</v>
      </c>
      <c r="J3228" s="1081">
        <v>6</v>
      </c>
      <c r="K3228" s="1081">
        <v>300</v>
      </c>
      <c r="L3228" s="1079">
        <f>INT(base[[#This Row],[Data de liquidação]])</f>
        <v>46220</v>
      </c>
      <c r="M3228" s="1081">
        <f>base[[#This Row],[L/P Bruto]]-base[[#This Row],[L/P Líquido]]</f>
        <v>0</v>
      </c>
      <c r="N3228" s="1081">
        <f>base[[#This Row],[L/P Líquido]]/base[[#This Row],[Stake/Responsabilidade]]</f>
        <v>-1</v>
      </c>
      <c r="O3228" s="1083">
        <f>IF(base[[#This Row],[L/P Líquido]]&gt;0,1,0)</f>
        <v>0</v>
      </c>
      <c r="P3228" s="1083"/>
      <c r="Q3228" s="1083" t="str">
        <f>LEFT(base[[#This Row],[Evento / Mercado]],FIND("vs",base[[#This Row],[Evento / Mercado]])-2)</f>
        <v>Beijing Guoan</v>
      </c>
      <c r="R322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4" t="str">
        <f>LEFT(base[[#This Row],[Evento / Mercado]],FIND("/",base[[#This Row],[Evento / Mercado]])-2)</f>
        <v>Beijing Guoan vs Liaoning Tieren F.C.</v>
      </c>
      <c r="T3228" s="1420">
        <f>base[[#This Row],[Data de liquidação]]</f>
        <v>46220.438113425924</v>
      </c>
    </row>
    <row r="3229" spans="2:20" ht="15" customHeight="1">
      <c r="B3229" s="1078" t="s">
        <v>3858</v>
      </c>
      <c r="C3229" s="935" t="s">
        <v>3556</v>
      </c>
      <c r="D3229" s="1396">
        <v>46220.662141203706</v>
      </c>
      <c r="E3229" s="1080">
        <v>-50</v>
      </c>
      <c r="F3229" s="654">
        <v>4.4999999999999998E-2</v>
      </c>
      <c r="G3229" s="1081">
        <f t="shared" si="79"/>
        <v>-50</v>
      </c>
      <c r="H3229" s="1081" t="s">
        <v>3581</v>
      </c>
      <c r="I3229" s="1082" t="s">
        <v>75</v>
      </c>
      <c r="J3229" s="1081">
        <v>1.27</v>
      </c>
      <c r="K3229" s="1081">
        <v>50</v>
      </c>
      <c r="L3229" s="1079">
        <f>INT(base[[#This Row],[Data de liquidação]])</f>
        <v>46220</v>
      </c>
      <c r="M3229" s="1081">
        <f>base[[#This Row],[L/P Bruto]]-base[[#This Row],[L/P Líquido]]</f>
        <v>0</v>
      </c>
      <c r="N3229" s="1081">
        <f>base[[#This Row],[L/P Líquido]]/base[[#This Row],[Stake/Responsabilidade]]</f>
        <v>-1</v>
      </c>
      <c r="O3229" s="1083">
        <f>IF(base[[#This Row],[L/P Líquido]]&gt;0,1,0)</f>
        <v>0</v>
      </c>
      <c r="P3229" s="1083"/>
      <c r="Q3229" s="1083" t="str">
        <f>LEFT(base[[#This Row],[Evento / Mercado]],FIND("vs",base[[#This Row],[Evento / Mercado]])-2)</f>
        <v>Mjällby AIF</v>
      </c>
      <c r="R322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4" t="str">
        <f>LEFT(base[[#This Row],[Evento / Mercado]],FIND("/",base[[#This Row],[Evento / Mercado]])-2)</f>
        <v>Mjällby AIF vs Västerås SK FK</v>
      </c>
      <c r="T3229" s="1420">
        <f>base[[#This Row],[Data de liquidação]]</f>
        <v>46220.662141203706</v>
      </c>
    </row>
    <row r="3230" spans="2:20" ht="15" customHeight="1">
      <c r="B3230" s="1078" t="s">
        <v>3857</v>
      </c>
      <c r="C3230" s="935" t="s">
        <v>3556</v>
      </c>
      <c r="D3230" s="1396">
        <v>46220.676423611112</v>
      </c>
      <c r="E3230" s="1080">
        <v>16.61</v>
      </c>
      <c r="F3230" s="654">
        <v>4.4999999999999998E-2</v>
      </c>
      <c r="G3230" s="1081">
        <f t="shared" si="79"/>
        <v>17.392670157068064</v>
      </c>
      <c r="H3230" s="1081" t="s">
        <v>179</v>
      </c>
      <c r="I3230" s="1082" t="s">
        <v>392</v>
      </c>
      <c r="J3230" s="1081">
        <v>23</v>
      </c>
      <c r="K3230" s="1081">
        <v>382.58</v>
      </c>
      <c r="L3230" s="1079">
        <f>INT(base[[#This Row],[Data de liquidação]])</f>
        <v>46220</v>
      </c>
      <c r="M3230" s="1081">
        <f>base[[#This Row],[L/P Bruto]]-base[[#This Row],[L/P Líquido]]</f>
        <v>0.78267015706806475</v>
      </c>
      <c r="N3230" s="1081">
        <f>base[[#This Row],[L/P Líquido]]/base[[#This Row],[Stake/Responsabilidade]]</f>
        <v>4.341575618171363E-2</v>
      </c>
      <c r="O3230" s="1083">
        <f>IF(base[[#This Row],[L/P Líquido]]&gt;0,1,0)</f>
        <v>1</v>
      </c>
      <c r="P3230" s="1083"/>
      <c r="Q3230" s="1083" t="str">
        <f>LEFT(base[[#This Row],[Evento / Mercado]],FIND("vs",base[[#This Row],[Evento / Mercado]])-2)</f>
        <v>Bodø/Glimt</v>
      </c>
      <c r="R3230" s="108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4" t="str">
        <f>LEFT(base[[#This Row],[Evento / Mercado]],FIND("/",base[[#This Row],[Evento / Mercado]])-2)</f>
        <v>Bod</v>
      </c>
      <c r="T3230" s="1420">
        <f>base[[#This Row],[Data de liquidação]]</f>
        <v>46220.676423611112</v>
      </c>
    </row>
    <row r="3231" spans="2:20" ht="15" customHeight="1">
      <c r="B3231" s="1078" t="s">
        <v>3856</v>
      </c>
      <c r="C3231" s="935" t="s">
        <v>3556</v>
      </c>
      <c r="D3231" s="1396">
        <v>46220.682812500003</v>
      </c>
      <c r="E3231" s="1080">
        <v>14.33</v>
      </c>
      <c r="F3231" s="654">
        <v>4.4999999999999998E-2</v>
      </c>
      <c r="G3231" s="1081">
        <f t="shared" si="79"/>
        <v>15.005235602094242</v>
      </c>
      <c r="H3231" s="1081" t="s">
        <v>1666</v>
      </c>
      <c r="I3231" s="1082" t="s">
        <v>1558</v>
      </c>
      <c r="J3231" s="1081">
        <v>5.6</v>
      </c>
      <c r="K3231" s="1081">
        <v>15</v>
      </c>
      <c r="L3231" s="1079">
        <f>INT(base[[#This Row],[Data de liquidação]])</f>
        <v>46220</v>
      </c>
      <c r="M3231" s="1081">
        <f>base[[#This Row],[L/P Bruto]]-base[[#This Row],[L/P Líquido]]</f>
        <v>0.67523560209424183</v>
      </c>
      <c r="N3231" s="1081">
        <f>base[[#This Row],[L/P Líquido]]/base[[#This Row],[Stake/Responsabilidade]]</f>
        <v>0.95533333333333337</v>
      </c>
      <c r="O3231" s="1083">
        <f>IF(base[[#This Row],[L/P Líquido]]&gt;0,1,0)</f>
        <v>1</v>
      </c>
      <c r="P3231" s="1083"/>
      <c r="Q3231" s="1083" t="str">
        <f>LEFT(base[[#This Row],[Evento / Mercado]],FIND("vs",base[[#This Row],[Evento / Mercado]])-2)</f>
        <v>FC FCSB</v>
      </c>
      <c r="R323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4" t="str">
        <f>LEFT(base[[#This Row],[Evento / Mercado]],FIND("/",base[[#This Row],[Evento / Mercado]])-2)</f>
        <v>FC FCSB vs FC Arges Pitesti</v>
      </c>
      <c r="T3231" s="1420">
        <f>base[[#This Row],[Data de liquidação]]</f>
        <v>46220.682812500003</v>
      </c>
    </row>
    <row r="3232" spans="2:20" ht="15" customHeight="1">
      <c r="B3232" s="1078" t="s">
        <v>3855</v>
      </c>
      <c r="C3232" s="935" t="s">
        <v>3556</v>
      </c>
      <c r="D3232" s="1396">
        <v>46220.690891203703</v>
      </c>
      <c r="E3232" s="1080">
        <v>3.37</v>
      </c>
      <c r="F3232" s="654">
        <v>4.4999999999999998E-2</v>
      </c>
      <c r="G3232" s="1081">
        <f t="shared" si="79"/>
        <v>3.5287958115183247</v>
      </c>
      <c r="H3232" s="1081" t="s">
        <v>3333</v>
      </c>
      <c r="I3232" s="1082" t="s">
        <v>13</v>
      </c>
      <c r="J3232" s="1081">
        <v>1.83</v>
      </c>
      <c r="K3232" s="1081">
        <v>6.02</v>
      </c>
      <c r="L3232" s="1079">
        <f>INT(base[[#This Row],[Data de liquidação]])</f>
        <v>46220</v>
      </c>
      <c r="M3232" s="1081">
        <f>base[[#This Row],[L/P Bruto]]-base[[#This Row],[L/P Líquido]]</f>
        <v>0.15879581151832456</v>
      </c>
      <c r="N3232" s="1081">
        <f>base[[#This Row],[L/P Líquido]]/base[[#This Row],[Stake/Responsabilidade]]</f>
        <v>0.5598006644518273</v>
      </c>
      <c r="O3232" s="1083">
        <f>IF(base[[#This Row],[L/P Líquido]]&gt;0,1,0)</f>
        <v>1</v>
      </c>
      <c r="P3232" s="1083"/>
      <c r="Q3232" s="1083" t="str">
        <f>LEFT(base[[#This Row],[Evento / Mercado]],FIND("vs",base[[#This Row],[Evento / Mercado]])-2)</f>
        <v>NK Celje</v>
      </c>
      <c r="R323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4" t="str">
        <f>LEFT(base[[#This Row],[Evento / Mercado]],FIND("/",base[[#This Row],[Evento / Mercado]])-2)</f>
        <v>NK Celje vs NŠ Mura</v>
      </c>
      <c r="T3232" s="1420">
        <f>base[[#This Row],[Data de liquidação]]</f>
        <v>46220.690891203703</v>
      </c>
    </row>
    <row r="3233" spans="2:22" ht="15" customHeight="1">
      <c r="B3233" s="1078" t="s">
        <v>3854</v>
      </c>
      <c r="C3233" s="935" t="s">
        <v>3556</v>
      </c>
      <c r="D3233" s="1396">
        <v>46220.710277777776</v>
      </c>
      <c r="E3233" s="1080">
        <v>-15.09</v>
      </c>
      <c r="F3233" s="654">
        <v>4.4999999999999998E-2</v>
      </c>
      <c r="G3233" s="1081">
        <f t="shared" si="79"/>
        <v>-15.09</v>
      </c>
      <c r="H3233" s="1081" t="s">
        <v>3868</v>
      </c>
      <c r="I3233" s="1082" t="s">
        <v>627</v>
      </c>
      <c r="J3233" s="1081">
        <v>15.5</v>
      </c>
      <c r="K3233" s="1081">
        <v>199.95</v>
      </c>
      <c r="L3233" s="1079">
        <f>INT(base[[#This Row],[Data de liquidação]])</f>
        <v>46220</v>
      </c>
      <c r="M3233" s="1081">
        <f>base[[#This Row],[L/P Bruto]]-base[[#This Row],[L/P Líquido]]</f>
        <v>0</v>
      </c>
      <c r="N3233" s="1081">
        <f>base[[#This Row],[L/P Líquido]]/base[[#This Row],[Stake/Responsabilidade]]</f>
        <v>-7.5468867216804209E-2</v>
      </c>
      <c r="O3233" s="1083">
        <f>IF(base[[#This Row],[L/P Líquido]]&gt;0,1,0)</f>
        <v>0</v>
      </c>
      <c r="P3233" s="1083"/>
      <c r="Q3233" s="1083" t="str">
        <f>LEFT(base[[#This Row],[Evento / Mercado]],FIND("vs",base[[#This Row],[Evento / Mercado]])-2)</f>
        <v>FC Cajamarca</v>
      </c>
      <c r="R323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4" t="str">
        <f>LEFT(base[[#This Row],[Evento / Mercado]],FIND("/",base[[#This Row],[Evento / Mercado]])-2)</f>
        <v>FC Cajamarca vs Juan Pablo II College</v>
      </c>
      <c r="T3233" s="1420">
        <f>base[[#This Row],[Data de liquidação]]</f>
        <v>46220.710277777776</v>
      </c>
    </row>
    <row r="3234" spans="2:22" ht="15" customHeight="1">
      <c r="B3234" s="1078" t="s">
        <v>3853</v>
      </c>
      <c r="C3234" s="935" t="s">
        <v>3556</v>
      </c>
      <c r="D3234" s="1396">
        <v>46220.87027777778</v>
      </c>
      <c r="E3234" s="1080">
        <v>34.72</v>
      </c>
      <c r="F3234" s="654">
        <v>4.4999999999999998E-2</v>
      </c>
      <c r="G3234" s="1081">
        <f t="shared" si="79"/>
        <v>36.356020942408378</v>
      </c>
      <c r="H3234" s="1081" t="s">
        <v>3271</v>
      </c>
      <c r="I3234" s="1082" t="s">
        <v>627</v>
      </c>
      <c r="J3234" s="1081">
        <v>12</v>
      </c>
      <c r="K3234" s="1081">
        <v>399.96</v>
      </c>
      <c r="L3234" s="1079">
        <f>INT(base[[#This Row],[Data de liquidação]])</f>
        <v>46220</v>
      </c>
      <c r="M3234" s="1081">
        <f>base[[#This Row],[L/P Bruto]]-base[[#This Row],[L/P Líquido]]</f>
        <v>1.6360209424083791</v>
      </c>
      <c r="N3234" s="1081">
        <f>base[[#This Row],[L/P Líquido]]/base[[#This Row],[Stake/Responsabilidade]]</f>
        <v>8.680868086808681E-2</v>
      </c>
      <c r="O3234" s="1083">
        <f>IF(base[[#This Row],[L/P Líquido]]&gt;0,1,0)</f>
        <v>1</v>
      </c>
      <c r="P3234" s="1083"/>
      <c r="Q3234" s="1083" t="str">
        <f>LEFT(base[[#This Row],[Evento / Mercado]],FIND("vs",base[[#This Row],[Evento / Mercado]])-2)</f>
        <v>São Bernardo FC</v>
      </c>
      <c r="R323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4" t="str">
        <f>LEFT(base[[#This Row],[Evento / Mercado]],FIND("/",base[[#This Row],[Evento / Mercado]])-2)</f>
        <v>São Bernardo FC vs Avaí FC</v>
      </c>
      <c r="T3234" s="1420">
        <f>base[[#This Row],[Data de liquidação]]</f>
        <v>46220.87027777778</v>
      </c>
    </row>
    <row r="3235" spans="2:22" ht="15" customHeight="1">
      <c r="B3235" s="1078" t="s">
        <v>3853</v>
      </c>
      <c r="C3235" s="1078" t="s">
        <v>3555</v>
      </c>
      <c r="D3235" s="1396">
        <v>46220.87027777778</v>
      </c>
      <c r="E3235" s="1080">
        <v>16.2</v>
      </c>
      <c r="F3235" s="654">
        <v>4.4999999999999998E-2</v>
      </c>
      <c r="G3235" s="1081">
        <f t="shared" si="79"/>
        <v>16.963350785340314</v>
      </c>
      <c r="H3235" s="1081" t="s">
        <v>3868</v>
      </c>
      <c r="I3235" s="1082" t="s">
        <v>627</v>
      </c>
      <c r="J3235" s="1081">
        <v>13</v>
      </c>
      <c r="K3235" s="1081">
        <v>200.04</v>
      </c>
      <c r="L3235" s="1079">
        <f>INT(base[[#This Row],[Data de liquidação]])</f>
        <v>46220</v>
      </c>
      <c r="M3235" s="1081">
        <f>base[[#This Row],[L/P Bruto]]-base[[#This Row],[L/P Líquido]]</f>
        <v>0.76335078534031453</v>
      </c>
      <c r="N3235" s="1081">
        <f>base[[#This Row],[L/P Líquido]]/base[[#This Row],[Stake/Responsabilidade]]</f>
        <v>8.0983803239352128E-2</v>
      </c>
      <c r="O3235" s="1083">
        <f>IF(base[[#This Row],[L/P Líquido]]&gt;0,1,0)</f>
        <v>1</v>
      </c>
      <c r="P3235" s="1083"/>
      <c r="Q3235" s="1083" t="str">
        <f>LEFT(base[[#This Row],[Evento / Mercado]],FIND("vs",base[[#This Row],[Evento / Mercado]])-2)</f>
        <v>São Bernardo FC</v>
      </c>
      <c r="R323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4" t="str">
        <f>LEFT(base[[#This Row],[Evento / Mercado]],FIND("/",base[[#This Row],[Evento / Mercado]])-2)</f>
        <v>São Bernardo FC vs Avaí FC</v>
      </c>
      <c r="T3235" s="1420">
        <f>base[[#This Row],[Data de liquidação]]</f>
        <v>46220.87027777778</v>
      </c>
    </row>
    <row r="3236" spans="2:22" ht="15" customHeight="1">
      <c r="B3236" s="1078" t="s">
        <v>3865</v>
      </c>
      <c r="C3236" s="1078" t="s">
        <v>3555</v>
      </c>
      <c r="D3236" s="1396">
        <v>46220.870821759258</v>
      </c>
      <c r="E3236" s="1080">
        <v>-50</v>
      </c>
      <c r="F3236" s="654">
        <v>4.4999999999999998E-2</v>
      </c>
      <c r="G3236" s="1081">
        <f t="shared" si="79"/>
        <v>-50</v>
      </c>
      <c r="H3236" s="938" t="s">
        <v>3253</v>
      </c>
      <c r="I3236" s="939" t="s">
        <v>3254</v>
      </c>
      <c r="J3236" s="1081">
        <v>7</v>
      </c>
      <c r="K3236" s="1081">
        <v>50</v>
      </c>
      <c r="L3236" s="1079">
        <f>INT(base[[#This Row],[Data de liquidação]])</f>
        <v>46220</v>
      </c>
      <c r="M3236" s="1081">
        <f>base[[#This Row],[L/P Bruto]]-base[[#This Row],[L/P Líquido]]</f>
        <v>0</v>
      </c>
      <c r="N3236" s="1081">
        <f>base[[#This Row],[L/P Líquido]]/base[[#This Row],[Stake/Responsabilidade]]</f>
        <v>-1</v>
      </c>
      <c r="O3236" s="1083">
        <f>IF(base[[#This Row],[L/P Líquido]]&gt;0,1,0)</f>
        <v>0</v>
      </c>
      <c r="P3236" s="1083"/>
      <c r="Q3236" s="1083" t="str">
        <f>LEFT(base[[#This Row],[Evento / Mercado]],FIND("vs",base[[#This Row],[Evento / Mercado]])-2)</f>
        <v>EC Juventude</v>
      </c>
      <c r="R323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4" t="str">
        <f>LEFT(base[[#This Row],[Evento / Mercado]],FIND("/",base[[#This Row],[Evento / Mercado]])-2)</f>
        <v>EC Juventude vs Cuiabá EC</v>
      </c>
      <c r="T3236" s="1420">
        <f>base[[#This Row],[Data de liquidação]]</f>
        <v>46220.870821759258</v>
      </c>
    </row>
    <row r="3237" spans="2:22" ht="15" customHeight="1">
      <c r="B3237" s="1078" t="s">
        <v>3852</v>
      </c>
      <c r="C3237" s="935" t="s">
        <v>3556</v>
      </c>
      <c r="D3237" s="1396">
        <v>46220.870937500003</v>
      </c>
      <c r="E3237" s="1080">
        <v>16.87</v>
      </c>
      <c r="F3237" s="654">
        <v>4.4999999999999998E-2</v>
      </c>
      <c r="G3237" s="1081">
        <f t="shared" si="79"/>
        <v>17.66492146596859</v>
      </c>
      <c r="H3237" s="1081" t="s">
        <v>3330</v>
      </c>
      <c r="I3237" s="1248" t="s">
        <v>4368</v>
      </c>
      <c r="J3237" s="1081">
        <v>5.0999999999999996</v>
      </c>
      <c r="K3237" s="1081">
        <v>100</v>
      </c>
      <c r="L3237" s="1079">
        <f>INT(base[[#This Row],[Data de liquidação]])</f>
        <v>46220</v>
      </c>
      <c r="M3237" s="1081">
        <f>base[[#This Row],[L/P Bruto]]-base[[#This Row],[L/P Líquido]]</f>
        <v>0.79492146596858859</v>
      </c>
      <c r="N3237" s="1081">
        <f>base[[#This Row],[L/P Líquido]]/base[[#This Row],[Stake/Responsabilidade]]</f>
        <v>0.16870000000000002</v>
      </c>
      <c r="O3237" s="1083">
        <f>IF(base[[#This Row],[L/P Líquido]]&gt;0,1,0)</f>
        <v>1</v>
      </c>
      <c r="P3237" s="1083"/>
      <c r="Q3237" s="1083" t="str">
        <f>LEFT(base[[#This Row],[Evento / Mercado]],FIND("vs",base[[#This Row],[Evento / Mercado]])-2)</f>
        <v>EC Juventude</v>
      </c>
      <c r="R323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4" t="str">
        <f>LEFT(base[[#This Row],[Evento / Mercado]],FIND("/",base[[#This Row],[Evento / Mercado]])-2)</f>
        <v>EC Juventude vs Cuiabá EC</v>
      </c>
      <c r="T3237" s="1420">
        <f>base[[#This Row],[Data de liquidação]]</f>
        <v>46220.870937500003</v>
      </c>
    </row>
    <row r="3238" spans="2:22" ht="15" customHeight="1">
      <c r="B3238" s="1078" t="s">
        <v>3852</v>
      </c>
      <c r="C3238" s="1078" t="s">
        <v>3555</v>
      </c>
      <c r="D3238" s="1396">
        <v>46220.870937500003</v>
      </c>
      <c r="E3238" s="1080">
        <v>127.88</v>
      </c>
      <c r="F3238" s="654">
        <v>4.4999999999999998E-2</v>
      </c>
      <c r="G3238" s="1081">
        <f t="shared" si="79"/>
        <v>133.90575916230367</v>
      </c>
      <c r="H3238" s="938" t="s">
        <v>3253</v>
      </c>
      <c r="I3238" s="939" t="s">
        <v>1555</v>
      </c>
      <c r="J3238" s="1081">
        <v>3.05</v>
      </c>
      <c r="K3238" s="1081">
        <v>300</v>
      </c>
      <c r="L3238" s="1079">
        <f>INT(base[[#This Row],[Data de liquidação]])</f>
        <v>46220</v>
      </c>
      <c r="M3238" s="1081">
        <f>base[[#This Row],[L/P Bruto]]-base[[#This Row],[L/P Líquido]]</f>
        <v>6.0257591623036717</v>
      </c>
      <c r="N3238" s="1081">
        <f>base[[#This Row],[L/P Líquido]]/base[[#This Row],[Stake/Responsabilidade]]</f>
        <v>0.42626666666666663</v>
      </c>
      <c r="O3238" s="1083">
        <f>IF(base[[#This Row],[L/P Líquido]]&gt;0,1,0)</f>
        <v>1</v>
      </c>
      <c r="P3238" s="1083"/>
      <c r="Q3238" s="1083" t="str">
        <f>LEFT(base[[#This Row],[Evento / Mercado]],FIND("vs",base[[#This Row],[Evento / Mercado]])-2)</f>
        <v>EC Juventude</v>
      </c>
      <c r="R323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4" t="str">
        <f>LEFT(base[[#This Row],[Evento / Mercado]],FIND("/",base[[#This Row],[Evento / Mercado]])-2)</f>
        <v>EC Juventude vs Cuiabá EC</v>
      </c>
      <c r="T3238" s="1420">
        <f>base[[#This Row],[Data de liquidação]]</f>
        <v>46220.870937500003</v>
      </c>
    </row>
    <row r="3239" spans="2:22" ht="15" customHeight="1">
      <c r="B3239" s="1078" t="s">
        <v>3851</v>
      </c>
      <c r="C3239" s="935" t="s">
        <v>3556</v>
      </c>
      <c r="D3239" s="1396">
        <v>46220.922974537039</v>
      </c>
      <c r="E3239" s="1080">
        <v>108.87</v>
      </c>
      <c r="F3239" s="654">
        <v>4.4999999999999998E-2</v>
      </c>
      <c r="G3239" s="1081">
        <f t="shared" si="79"/>
        <v>114.00000000000001</v>
      </c>
      <c r="H3239" s="1081" t="s">
        <v>314</v>
      </c>
      <c r="I3239" s="1094" t="s">
        <v>349</v>
      </c>
      <c r="J3239" s="1081">
        <v>1.95</v>
      </c>
      <c r="K3239" s="1081">
        <v>120</v>
      </c>
      <c r="L3239" s="1079">
        <f>INT(base[[#This Row],[Data de liquidação]])</f>
        <v>46220</v>
      </c>
      <c r="M3239" s="1081">
        <f>base[[#This Row],[L/P Bruto]]-base[[#This Row],[L/P Líquido]]</f>
        <v>5.1300000000000097</v>
      </c>
      <c r="N3239" s="1081">
        <f>base[[#This Row],[L/P Líquido]]/base[[#This Row],[Stake/Responsabilidade]]</f>
        <v>0.90725</v>
      </c>
      <c r="O3239" s="1083">
        <f>IF(base[[#This Row],[L/P Líquido]]&gt;0,1,0)</f>
        <v>1</v>
      </c>
      <c r="P3239" s="1083"/>
      <c r="Q3239" s="1083" t="str">
        <f>LEFT(base[[#This Row],[Evento / Mercado]],FIND("vs",base[[#This Row],[Evento / Mercado]])-2)</f>
        <v>Fluminense FC</v>
      </c>
      <c r="R323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4" t="str">
        <f>LEFT(base[[#This Row],[Evento / Mercado]],FIND("/",base[[#This Row],[Evento / Mercado]])-2)</f>
        <v>Fluminense FC vs Red Bull Bragantino</v>
      </c>
      <c r="T3239" s="1420">
        <f>base[[#This Row],[Data de liquidação]]</f>
        <v>46220.922974537039</v>
      </c>
    </row>
    <row r="3240" spans="2:22" ht="15" customHeight="1">
      <c r="B3240" s="1078" t="s">
        <v>3850</v>
      </c>
      <c r="C3240" s="1078" t="s">
        <v>3555</v>
      </c>
      <c r="D3240" s="1396">
        <v>46220.923449074071</v>
      </c>
      <c r="E3240" s="1080">
        <v>10.8</v>
      </c>
      <c r="F3240" s="654">
        <v>4.4999999999999998E-2</v>
      </c>
      <c r="G3240" s="1081">
        <f t="shared" si="79"/>
        <v>11.30890052356021</v>
      </c>
      <c r="H3240" s="1081" t="s">
        <v>3661</v>
      </c>
      <c r="I3240" s="1082" t="s">
        <v>392</v>
      </c>
      <c r="J3240" s="1081">
        <v>46</v>
      </c>
      <c r="K3240" s="1081">
        <v>499.95</v>
      </c>
      <c r="L3240" s="1079">
        <f>INT(base[[#This Row],[Data de liquidação]])</f>
        <v>46220</v>
      </c>
      <c r="M3240" s="1081">
        <f>base[[#This Row],[L/P Bruto]]-base[[#This Row],[L/P Líquido]]</f>
        <v>0.50890052356020909</v>
      </c>
      <c r="N3240" s="1081">
        <f>base[[#This Row],[L/P Líquido]]/base[[#This Row],[Stake/Responsabilidade]]</f>
        <v>2.1602160216021606E-2</v>
      </c>
      <c r="O3240" s="1083">
        <f>IF(base[[#This Row],[L/P Líquido]]&gt;0,1,0)</f>
        <v>1</v>
      </c>
      <c r="P3240" s="1083"/>
      <c r="Q3240" s="1083" t="str">
        <f>LEFT(base[[#This Row],[Evento / Mercado]],FIND("vs",base[[#This Row],[Evento / Mercado]])-2)</f>
        <v>Fluminense FC</v>
      </c>
      <c r="R324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4" t="str">
        <f>LEFT(base[[#This Row],[Evento / Mercado]],FIND("/",base[[#This Row],[Evento / Mercado]])-2)</f>
        <v>Fluminense FC vs Red Bull Bragantino</v>
      </c>
      <c r="T3240" s="1420">
        <f>base[[#This Row],[Data de liquidação]]</f>
        <v>46220.923449074071</v>
      </c>
    </row>
    <row r="3241" spans="2:22" ht="15" customHeight="1">
      <c r="B3241" s="1078" t="s">
        <v>3850</v>
      </c>
      <c r="C3241" s="935" t="s">
        <v>3556</v>
      </c>
      <c r="D3241" s="1396">
        <v>46220.923460648148</v>
      </c>
      <c r="E3241" s="1080">
        <v>36.223149999999997</v>
      </c>
      <c r="F3241" s="654">
        <v>4.4999999999999998E-2</v>
      </c>
      <c r="G3241" s="1081">
        <f t="shared" si="79"/>
        <v>37.93</v>
      </c>
      <c r="H3241" s="1081" t="s">
        <v>3334</v>
      </c>
      <c r="I3241" s="1082" t="s">
        <v>627</v>
      </c>
      <c r="J3241" s="1081">
        <v>15.5</v>
      </c>
      <c r="K3241" s="1081">
        <v>549.99</v>
      </c>
      <c r="L3241" s="1079">
        <f>INT(base[[#This Row],[Data de liquidação]])</f>
        <v>46220</v>
      </c>
      <c r="M3241" s="1081">
        <f>base[[#This Row],[L/P Bruto]]-base[[#This Row],[L/P Líquido]]</f>
        <v>1.7068500000000029</v>
      </c>
      <c r="N3241" s="1081">
        <f>base[[#This Row],[L/P Líquido]]/base[[#This Row],[Stake/Responsabilidade]]</f>
        <v>6.5861470208549239E-2</v>
      </c>
      <c r="O3241" s="1083">
        <f>IF(base[[#This Row],[L/P Líquido]]&gt;0,1,0)</f>
        <v>1</v>
      </c>
      <c r="P3241" s="1083"/>
      <c r="Q3241" s="1083" t="str">
        <f>LEFT(base[[#This Row],[Evento / Mercado]],FIND("vs",base[[#This Row],[Evento / Mercado]])-2)</f>
        <v>Fluminense FC</v>
      </c>
      <c r="R324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4" t="str">
        <f>LEFT(base[[#This Row],[Evento / Mercado]],FIND("/",base[[#This Row],[Evento / Mercado]])-2)</f>
        <v>Fluminense FC vs Red Bull Bragantino</v>
      </c>
      <c r="T3241" s="1420">
        <f>base[[#This Row],[Data de liquidação]]</f>
        <v>46220.923460648148</v>
      </c>
    </row>
    <row r="3242" spans="2:22" ht="15" customHeight="1">
      <c r="B3242" s="1078" t="s">
        <v>3850</v>
      </c>
      <c r="C3242" s="935" t="s">
        <v>3556</v>
      </c>
      <c r="D3242" s="1396">
        <v>46220.923460648148</v>
      </c>
      <c r="E3242" s="1080">
        <v>61.091349999999998</v>
      </c>
      <c r="F3242" s="654">
        <v>4.4999999999999998E-2</v>
      </c>
      <c r="G3242" s="1081">
        <f t="shared" ref="G3242" si="80">IF(E3242&gt;0,E3242/(1-F3242),E3242)</f>
        <v>63.97</v>
      </c>
      <c r="H3242" s="1081" t="s">
        <v>3271</v>
      </c>
      <c r="I3242" s="1082" t="s">
        <v>627</v>
      </c>
      <c r="J3242" s="1081">
        <v>7.8</v>
      </c>
      <c r="K3242" s="1081">
        <v>435</v>
      </c>
      <c r="L3242" s="1079">
        <f>INT(base[[#This Row],[Data de liquidação]])</f>
        <v>46220</v>
      </c>
      <c r="M3242" s="1081">
        <f>base[[#This Row],[L/P Bruto]]-base[[#This Row],[L/P Líquido]]</f>
        <v>2.8786500000000004</v>
      </c>
      <c r="N3242" s="1081">
        <f>base[[#This Row],[L/P Líquido]]/base[[#This Row],[Stake/Responsabilidade]]</f>
        <v>0.14043988505747126</v>
      </c>
      <c r="O3242" s="1083">
        <f>IF(base[[#This Row],[L/P Líquido]]&gt;0,1,0)</f>
        <v>1</v>
      </c>
      <c r="P3242" s="1083"/>
      <c r="Q3242" s="1083" t="str">
        <f>LEFT(base[[#This Row],[Evento / Mercado]],FIND("vs",base[[#This Row],[Evento / Mercado]])-2)</f>
        <v>Fluminense FC</v>
      </c>
      <c r="R324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4" t="str">
        <f>LEFT(base[[#This Row],[Evento / Mercado]],FIND("/",base[[#This Row],[Evento / Mercado]])-2)</f>
        <v>Fluminense FC vs Red Bull Bragantino</v>
      </c>
      <c r="T3242" s="142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1078" t="s">
        <v>3849</v>
      </c>
      <c r="C3243" s="935" t="s">
        <v>3556</v>
      </c>
      <c r="D3243" s="1396">
        <v>46220.923703703702</v>
      </c>
      <c r="E3243" s="1080">
        <v>-100</v>
      </c>
      <c r="F3243" s="654">
        <v>4.4999999999999998E-2</v>
      </c>
      <c r="G3243" s="1081">
        <f t="shared" si="79"/>
        <v>-100</v>
      </c>
      <c r="H3243" s="1081" t="s">
        <v>3333</v>
      </c>
      <c r="I3243" s="1082" t="s">
        <v>13</v>
      </c>
      <c r="J3243" s="1081">
        <f>(4+3.7)/2</f>
        <v>3.85</v>
      </c>
      <c r="K3243" s="1081">
        <v>100</v>
      </c>
      <c r="L3243" s="1079">
        <f>INT(base[[#This Row],[Data de liquidação]])</f>
        <v>46220</v>
      </c>
      <c r="M3243" s="1081">
        <f>base[[#This Row],[L/P Bruto]]-base[[#This Row],[L/P Líquido]]</f>
        <v>0</v>
      </c>
      <c r="N3243" s="1081">
        <f>base[[#This Row],[L/P Líquido]]/base[[#This Row],[Stake/Responsabilidade]]</f>
        <v>-1</v>
      </c>
      <c r="O3243" s="1083">
        <f>IF(base[[#This Row],[L/P Líquido]]&gt;0,1,0)</f>
        <v>0</v>
      </c>
      <c r="P3243" s="1083"/>
      <c r="Q3243" s="1083" t="str">
        <f>LEFT(base[[#This Row],[Evento / Mercado]],FIND("vs",base[[#This Row],[Evento / Mercado]])-2)</f>
        <v>Fluminense FC</v>
      </c>
      <c r="R324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4" t="str">
        <f>LEFT(base[[#This Row],[Evento / Mercado]],FIND("/",base[[#This Row],[Evento / Mercado]])-2)</f>
        <v>Fluminense FC vs Red Bull Bragantino</v>
      </c>
      <c r="T3243" s="142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1078" t="s">
        <v>3849</v>
      </c>
      <c r="C3244" s="1078" t="s">
        <v>3555</v>
      </c>
      <c r="D3244" s="1396">
        <v>46220.923703703702</v>
      </c>
      <c r="E3244" s="1080">
        <v>-50</v>
      </c>
      <c r="F3244" s="654">
        <v>4.4999999999999998E-2</v>
      </c>
      <c r="G3244" s="1081">
        <f t="shared" si="79"/>
        <v>-50</v>
      </c>
      <c r="H3244" s="1081" t="s">
        <v>3333</v>
      </c>
      <c r="I3244" s="1082" t="s">
        <v>13</v>
      </c>
      <c r="J3244" s="1081">
        <v>2.2599999999999998</v>
      </c>
      <c r="K3244" s="1081">
        <v>50</v>
      </c>
      <c r="L3244" s="1079">
        <f>INT(base[[#This Row],[Data de liquidação]])</f>
        <v>46220</v>
      </c>
      <c r="M3244" s="1081">
        <f>base[[#This Row],[L/P Bruto]]-base[[#This Row],[L/P Líquido]]</f>
        <v>0</v>
      </c>
      <c r="N3244" s="1081">
        <f>base[[#This Row],[L/P Líquido]]/base[[#This Row],[Stake/Responsabilidade]]</f>
        <v>-1</v>
      </c>
      <c r="O3244" s="1083">
        <f>IF(base[[#This Row],[L/P Líquido]]&gt;0,1,0)</f>
        <v>0</v>
      </c>
      <c r="P3244" s="1083"/>
      <c r="Q3244" s="1083" t="str">
        <f>LEFT(base[[#This Row],[Evento / Mercado]],FIND("vs",base[[#This Row],[Evento / Mercado]])-2)</f>
        <v>Fluminense FC</v>
      </c>
      <c r="R324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4" t="str">
        <f>LEFT(base[[#This Row],[Evento / Mercado]],FIND("/",base[[#This Row],[Evento / Mercado]])-2)</f>
        <v>Fluminense FC vs Red Bull Bragantino</v>
      </c>
      <c r="T3244" s="1420">
        <f>base[[#This Row],[Data de liquidação]]</f>
        <v>46220.923703703702</v>
      </c>
    </row>
    <row r="3245" spans="2:22" ht="15" customHeight="1">
      <c r="B3245" s="1078" t="s">
        <v>3849</v>
      </c>
      <c r="C3245" s="935" t="s">
        <v>3556</v>
      </c>
      <c r="D3245" s="1396">
        <v>46220.923703703702</v>
      </c>
      <c r="E3245" s="1080">
        <v>-2</v>
      </c>
      <c r="F3245" s="654">
        <v>4.4999999999999998E-2</v>
      </c>
      <c r="G3245" s="1081">
        <f t="shared" ref="G3245" si="82">IF(E3245&gt;0,E3245/(1-F3245),E3245)</f>
        <v>-2</v>
      </c>
      <c r="H3245" s="1081" t="s">
        <v>1666</v>
      </c>
      <c r="I3245" s="1082" t="s">
        <v>3333</v>
      </c>
      <c r="J3245" s="1081">
        <v>1.76</v>
      </c>
      <c r="K3245" s="1081">
        <v>2</v>
      </c>
      <c r="L3245" s="1079">
        <f>INT(base[[#This Row],[Data de liquidação]])</f>
        <v>46220</v>
      </c>
      <c r="M3245" s="1081">
        <f>base[[#This Row],[L/P Bruto]]-base[[#This Row],[L/P Líquido]]</f>
        <v>0</v>
      </c>
      <c r="N3245" s="1081">
        <f>base[[#This Row],[L/P Líquido]]/base[[#This Row],[Stake/Responsabilidade]]</f>
        <v>-1</v>
      </c>
      <c r="O3245" s="1083">
        <f>IF(base[[#This Row],[L/P Líquido]]&gt;0,1,0)</f>
        <v>0</v>
      </c>
      <c r="P3245" s="1083"/>
      <c r="Q3245" s="1083" t="str">
        <f>LEFT(base[[#This Row],[Evento / Mercado]],FIND("vs",base[[#This Row],[Evento / Mercado]])-2)</f>
        <v>Fluminense FC</v>
      </c>
      <c r="R324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4" t="str">
        <f>LEFT(base[[#This Row],[Evento / Mercado]],FIND("/",base[[#This Row],[Evento / Mercado]])-2)</f>
        <v>Fluminense FC vs Red Bull Bragantino</v>
      </c>
      <c r="T3245" s="1420">
        <f>base[[#This Row],[Data de liquidação]]</f>
        <v>46220.923703703702</v>
      </c>
    </row>
    <row r="3246" spans="2:22" ht="15" customHeight="1">
      <c r="B3246" s="1078" t="s">
        <v>3848</v>
      </c>
      <c r="C3246" s="935" t="s">
        <v>3556</v>
      </c>
      <c r="D3246" s="1396">
        <v>46220.923726851855</v>
      </c>
      <c r="E3246" s="1080">
        <v>105.83</v>
      </c>
      <c r="F3246" s="654">
        <v>4.4999999999999998E-2</v>
      </c>
      <c r="G3246" s="1081">
        <f t="shared" si="79"/>
        <v>110.81675392670158</v>
      </c>
      <c r="H3246" s="1081" t="s">
        <v>3330</v>
      </c>
      <c r="I3246" s="1248" t="s">
        <v>4367</v>
      </c>
      <c r="J3246" s="1081">
        <f>(5*100+2.1*98.22)/base[[#This Row],[Stake/Responsabilidade]]</f>
        <v>3.5630208858843706</v>
      </c>
      <c r="K3246" s="1081">
        <v>198.22</v>
      </c>
      <c r="L3246" s="1079">
        <f>INT(base[[#This Row],[Data de liquidação]])</f>
        <v>46220</v>
      </c>
      <c r="M3246" s="1081">
        <f>base[[#This Row],[L/P Bruto]]-base[[#This Row],[L/P Líquido]]</f>
        <v>4.9867539267015815</v>
      </c>
      <c r="N3246" s="1081">
        <f>base[[#This Row],[L/P Líquido]]/base[[#This Row],[Stake/Responsabilidade]]</f>
        <v>0.53390172535566538</v>
      </c>
      <c r="O3246" s="1083">
        <f>IF(base[[#This Row],[L/P Líquido]]&gt;0,1,0)</f>
        <v>1</v>
      </c>
      <c r="P3246" s="1083"/>
      <c r="Q3246" s="1083" t="str">
        <f>LEFT(base[[#This Row],[Evento / Mercado]],FIND("vs",base[[#This Row],[Evento / Mercado]])-2)</f>
        <v>Fluminense FC</v>
      </c>
      <c r="R324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4" t="str">
        <f>LEFT(base[[#This Row],[Evento / Mercado]],FIND("/",base[[#This Row],[Evento / Mercado]])-2)</f>
        <v>Fluminense FC vs Red Bull Bragantino</v>
      </c>
      <c r="T3246" s="1420">
        <f>base[[#This Row],[Data de liquidação]]</f>
        <v>46220.923726851855</v>
      </c>
    </row>
    <row r="3247" spans="2:22" ht="15" customHeight="1">
      <c r="B3247" s="1078" t="s">
        <v>3848</v>
      </c>
      <c r="C3247" s="1078" t="s">
        <v>3554</v>
      </c>
      <c r="D3247" s="1396">
        <v>46220.923611111109</v>
      </c>
      <c r="E3247" s="1080">
        <v>-300.01</v>
      </c>
      <c r="F3247" s="654">
        <v>4.4999999999999998E-2</v>
      </c>
      <c r="G3247" s="1081">
        <f>IF(E3247&gt;0,E3247/(1-F3247),E3247)</f>
        <v>-300.01</v>
      </c>
      <c r="H3247" s="938" t="s">
        <v>3253</v>
      </c>
      <c r="I3247" s="939" t="s">
        <v>1555</v>
      </c>
      <c r="J3247" s="1081">
        <v>3.65</v>
      </c>
      <c r="K3247" s="1081">
        <v>300.01</v>
      </c>
      <c r="L3247" s="1079">
        <f>INT(base[[#This Row],[Data de liquidação]])</f>
        <v>46220</v>
      </c>
      <c r="M3247" s="1081">
        <f>base[[#This Row],[L/P Bruto]]-base[[#This Row],[L/P Líquido]]</f>
        <v>0</v>
      </c>
      <c r="N3247" s="1081">
        <f>base[[#This Row],[L/P Líquido]]/base[[#This Row],[Stake/Responsabilidade]]</f>
        <v>-1</v>
      </c>
      <c r="O3247" s="1083">
        <f>IF(base[[#This Row],[L/P Líquido]]&gt;0,1,0)</f>
        <v>0</v>
      </c>
      <c r="P3247" s="1083"/>
      <c r="Q3247" s="1083" t="str">
        <f>LEFT(base[[#This Row],[Evento / Mercado]],FIND("vs",base[[#This Row],[Evento / Mercado]])-2)</f>
        <v>Fluminense FC</v>
      </c>
      <c r="R324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4" t="str">
        <f>LEFT(base[[#This Row],[Evento / Mercado]],FIND("/",base[[#This Row],[Evento / Mercado]])-2)</f>
        <v>Fluminense FC vs Red Bull Bragantino</v>
      </c>
      <c r="T3247" s="1420">
        <f>base[[#This Row],[Data de liquidação]]</f>
        <v>46220.923611111109</v>
      </c>
    </row>
    <row r="3248" spans="2:22" ht="15" customHeight="1">
      <c r="B3248" s="1078" t="s">
        <v>3850</v>
      </c>
      <c r="C3248" s="1078" t="s">
        <v>3554</v>
      </c>
      <c r="D3248" s="1396">
        <v>46220.92291666667</v>
      </c>
      <c r="E3248" s="1080">
        <v>286.52999999999997</v>
      </c>
      <c r="F3248" s="654">
        <v>4.4999999999999998E-2</v>
      </c>
      <c r="G3248" s="1081">
        <f>IF(E3248&gt;0,E3248/(1-F3248),E3248)</f>
        <v>300.03141361256542</v>
      </c>
      <c r="H3248" s="938" t="s">
        <v>3253</v>
      </c>
      <c r="I3248" s="939" t="s">
        <v>3254</v>
      </c>
      <c r="J3248" s="1081">
        <v>7.4</v>
      </c>
      <c r="K3248" s="1081">
        <v>45.88</v>
      </c>
      <c r="L3248" s="1079">
        <f>INT(base[[#This Row],[Data de liquidação]])</f>
        <v>46220</v>
      </c>
      <c r="M3248" s="1081">
        <f>base[[#This Row],[L/P Bruto]]-base[[#This Row],[L/P Líquido]]</f>
        <v>13.501413612565443</v>
      </c>
      <c r="N3248" s="1081">
        <f>base[[#This Row],[L/P Líquido]]/base[[#This Row],[Stake/Responsabilidade]]</f>
        <v>6.2452048823016559</v>
      </c>
      <c r="O3248" s="1083">
        <f>IF(base[[#This Row],[L/P Líquido]]&gt;0,1,0)</f>
        <v>1</v>
      </c>
      <c r="P3248" s="1083"/>
      <c r="Q3248" s="1083" t="str">
        <f>LEFT(base[[#This Row],[Evento / Mercado]],FIND("vs",base[[#This Row],[Evento / Mercado]])-2)</f>
        <v>Fluminense FC</v>
      </c>
      <c r="R324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4" t="str">
        <f>LEFT(base[[#This Row],[Evento / Mercado]],FIND("/",base[[#This Row],[Evento / Mercado]])-2)</f>
        <v>Fluminense FC vs Red Bull Bragantino</v>
      </c>
      <c r="T3248" s="1420">
        <f>base[[#This Row],[Data de liquidação]]</f>
        <v>46220.92291666667</v>
      </c>
    </row>
    <row r="3249" spans="2:20" ht="15" customHeight="1">
      <c r="B3249" s="1078" t="s">
        <v>3847</v>
      </c>
      <c r="C3249" s="935" t="s">
        <v>3556</v>
      </c>
      <c r="D3249" s="1396">
        <v>46220.957349537035</v>
      </c>
      <c r="E3249" s="1080">
        <v>7.4</v>
      </c>
      <c r="F3249" s="654">
        <v>4.4999999999999998E-2</v>
      </c>
      <c r="G3249" s="1081">
        <f t="shared" si="79"/>
        <v>7.7486910994764404</v>
      </c>
      <c r="H3249" s="1053" t="s">
        <v>3817</v>
      </c>
      <c r="I3249" s="1082"/>
      <c r="J3249" s="1081">
        <v>21</v>
      </c>
      <c r="K3249" s="1081">
        <v>200</v>
      </c>
      <c r="L3249" s="1079">
        <f>INT(base[[#This Row],[Data de liquidação]])</f>
        <v>46220</v>
      </c>
      <c r="M3249" s="1081">
        <f>base[[#This Row],[L/P Bruto]]-base[[#This Row],[L/P Líquido]]</f>
        <v>0.34869109947644006</v>
      </c>
      <c r="N3249" s="1081">
        <f>base[[#This Row],[L/P Líquido]]/base[[#This Row],[Stake/Responsabilidade]]</f>
        <v>3.7000000000000005E-2</v>
      </c>
      <c r="O3249" s="1083">
        <f>IF(base[[#This Row],[L/P Líquido]]&gt;0,1,0)</f>
        <v>1</v>
      </c>
      <c r="P3249" s="1083"/>
      <c r="Q3249" s="1083" t="str">
        <f>LEFT(base[[#This Row],[Evento / Mercado]],FIND("vs",base[[#This Row],[Evento / Mercado]])-2)</f>
        <v>Londrina</v>
      </c>
      <c r="R324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4" t="str">
        <f>LEFT(base[[#This Row],[Evento / Mercado]],FIND("/",base[[#This Row],[Evento / Mercado]])-2)</f>
        <v>Londrina vs Botafogo SP</v>
      </c>
      <c r="T3249" s="1420">
        <f>base[[#This Row],[Data de liquidação]]</f>
        <v>46220.957349537035</v>
      </c>
    </row>
    <row r="3250" spans="2:20" ht="15" customHeight="1">
      <c r="B3250" s="1078" t="s">
        <v>3888</v>
      </c>
      <c r="C3250" s="935" t="s">
        <v>3556</v>
      </c>
      <c r="D3250" s="1396">
        <v>46221.083391203705</v>
      </c>
      <c r="E3250" s="1080">
        <v>-21.33</v>
      </c>
      <c r="F3250" s="654">
        <v>4.4999999999999998E-2</v>
      </c>
      <c r="G3250" s="1081">
        <f t="shared" ref="G3250:G3283" si="83">IF(E3250&gt;0,E3250/(1-F3250),E3250)</f>
        <v>-21.33</v>
      </c>
      <c r="H3250" s="1081" t="s">
        <v>1666</v>
      </c>
      <c r="I3250" s="1082" t="s">
        <v>1558</v>
      </c>
      <c r="J3250" s="1081">
        <v>6.56</v>
      </c>
      <c r="K3250" s="1081">
        <v>15</v>
      </c>
      <c r="L3250" s="1079">
        <f>INT(base[[#This Row],[Data de liquidação]])</f>
        <v>46221</v>
      </c>
      <c r="M3250" s="1081">
        <f>base[[#This Row],[L/P Bruto]]-base[[#This Row],[L/P Líquido]]</f>
        <v>0</v>
      </c>
      <c r="N3250" s="1081">
        <f>base[[#This Row],[L/P Líquido]]/base[[#This Row],[Stake/Responsabilidade]]</f>
        <v>-1.4219999999999999</v>
      </c>
      <c r="O3250" s="1083">
        <f>IF(base[[#This Row],[L/P Líquido]]&gt;0,1,0)</f>
        <v>0</v>
      </c>
      <c r="P3250" s="1083"/>
      <c r="Q3250" s="1083" t="str">
        <f>LEFT(base[[#This Row],[Evento / Mercado]],FIND("vs",base[[#This Row],[Evento / Mercado]])-2)</f>
        <v>FC Juárez</v>
      </c>
      <c r="R325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4" t="str">
        <f>LEFT(base[[#This Row],[Evento / Mercado]],FIND("/",base[[#This Row],[Evento / Mercado]])-2)</f>
        <v>FC Juárez vs Puebla</v>
      </c>
      <c r="T3250" s="1420">
        <f>base[[#This Row],[Data de liquidação]]</f>
        <v>46221.083391203705</v>
      </c>
    </row>
    <row r="3251" spans="2:20" ht="15" customHeight="1">
      <c r="B3251" s="1078" t="s">
        <v>3887</v>
      </c>
      <c r="C3251" s="935" t="s">
        <v>3556</v>
      </c>
      <c r="D3251" s="1396">
        <v>46221.347337962965</v>
      </c>
      <c r="E3251" s="1080">
        <v>3.15</v>
      </c>
      <c r="F3251" s="654">
        <v>4.4999999999999998E-2</v>
      </c>
      <c r="G3251" s="1081">
        <f t="shared" si="83"/>
        <v>3.2984293193717278</v>
      </c>
      <c r="H3251" s="1081" t="s">
        <v>1666</v>
      </c>
      <c r="I3251" s="1082" t="s">
        <v>2883</v>
      </c>
      <c r="J3251" s="1081">
        <v>1.66</v>
      </c>
      <c r="K3251" s="1081">
        <v>5</v>
      </c>
      <c r="L3251" s="1079">
        <f>INT(base[[#This Row],[Data de liquidação]])</f>
        <v>46221</v>
      </c>
      <c r="M3251" s="1081">
        <f>base[[#This Row],[L/P Bruto]]-base[[#This Row],[L/P Líquido]]</f>
        <v>0.14842931937172787</v>
      </c>
      <c r="N3251" s="1081">
        <f>base[[#This Row],[L/P Líquido]]/base[[#This Row],[Stake/Responsabilidade]]</f>
        <v>0.63</v>
      </c>
      <c r="O3251" s="1083">
        <f>IF(base[[#This Row],[L/P Líquido]]&gt;0,1,0)</f>
        <v>1</v>
      </c>
      <c r="P3251" s="1083"/>
      <c r="Q3251" s="1083" t="str">
        <f>LEFT(base[[#This Row],[Evento / Mercado]],FIND("vs",base[[#This Row],[Evento / Mercado]])-2)</f>
        <v>IK Oddevold</v>
      </c>
      <c r="R325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4" t="str">
        <f>LEFT(base[[#This Row],[Evento / Mercado]],FIND("/",base[[#This Row],[Evento / Mercado]])-2)</f>
        <v>IK Oddevold vs Varbergs BoIS</v>
      </c>
      <c r="T3251" s="1420">
        <f>base[[#This Row],[Data de liquidação]]</f>
        <v>46221.347337962965</v>
      </c>
    </row>
    <row r="3252" spans="2:20" ht="15" customHeight="1">
      <c r="B3252" s="1078" t="s">
        <v>3886</v>
      </c>
      <c r="C3252" s="935" t="s">
        <v>3556</v>
      </c>
      <c r="D3252" s="1396">
        <v>46221.464108796295</v>
      </c>
      <c r="E3252" s="1080">
        <v>14.27</v>
      </c>
      <c r="F3252" s="654">
        <v>4.4999999999999998E-2</v>
      </c>
      <c r="G3252" s="1081">
        <f t="shared" si="83"/>
        <v>14.942408376963352</v>
      </c>
      <c r="H3252" s="1081" t="s">
        <v>3581</v>
      </c>
      <c r="I3252" s="1082" t="s">
        <v>75</v>
      </c>
      <c r="J3252" s="1081">
        <v>1.3</v>
      </c>
      <c r="K3252" s="1081">
        <v>49.79</v>
      </c>
      <c r="L3252" s="1079">
        <f>INT(base[[#This Row],[Data de liquidação]])</f>
        <v>46221</v>
      </c>
      <c r="M3252" s="1081">
        <f>base[[#This Row],[L/P Bruto]]-base[[#This Row],[L/P Líquido]]</f>
        <v>0.67240837696335198</v>
      </c>
      <c r="N3252" s="1081">
        <f>base[[#This Row],[L/P Líquido]]/base[[#This Row],[Stake/Responsabilidade]]</f>
        <v>0.28660373568989755</v>
      </c>
      <c r="O3252" s="1083">
        <f>IF(base[[#This Row],[L/P Líquido]]&gt;0,1,0)</f>
        <v>1</v>
      </c>
      <c r="P3252" s="1083"/>
      <c r="Q3252" s="1083" t="str">
        <f>LEFT(base[[#This Row],[Evento / Mercado]],FIND("vs",base[[#This Row],[Evento / Mercado]])-2)</f>
        <v>Shanghai Shenhua</v>
      </c>
      <c r="R325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4" t="str">
        <f>LEFT(base[[#This Row],[Evento / Mercado]],FIND("/",base[[#This Row],[Evento / Mercado]])-2)</f>
        <v>Shanghai Shenhua vs Tianjin Jinmenhu</v>
      </c>
      <c r="T3252" s="1420">
        <f>base[[#This Row],[Data de liquidação]]</f>
        <v>46221.464108796295</v>
      </c>
    </row>
    <row r="3253" spans="2:20" ht="15" customHeight="1">
      <c r="B3253" s="1078" t="s">
        <v>3889</v>
      </c>
      <c r="C3253" s="1078" t="s">
        <v>3555</v>
      </c>
      <c r="D3253" s="1396">
        <v>46221.477106481485</v>
      </c>
      <c r="E3253" s="1080">
        <v>-2.5</v>
      </c>
      <c r="F3253" s="654">
        <v>4.4999999999999998E-2</v>
      </c>
      <c r="G3253" s="1081">
        <f t="shared" si="83"/>
        <v>-2.5</v>
      </c>
      <c r="H3253" s="938" t="s">
        <v>3253</v>
      </c>
      <c r="I3253" s="939" t="s">
        <v>3254</v>
      </c>
      <c r="J3253" s="1081">
        <v>11</v>
      </c>
      <c r="K3253" s="1081">
        <v>30</v>
      </c>
      <c r="L3253" s="1079">
        <f>INT(base[[#This Row],[Data de liquidação]])</f>
        <v>46221</v>
      </c>
      <c r="M3253" s="1081">
        <f>base[[#This Row],[L/P Bruto]]-base[[#This Row],[L/P Líquido]]</f>
        <v>0</v>
      </c>
      <c r="N3253" s="1081">
        <f>base[[#This Row],[L/P Líquido]]/base[[#This Row],[Stake/Responsabilidade]]</f>
        <v>-8.3333333333333329E-2</v>
      </c>
      <c r="O3253" s="1083">
        <f>IF(base[[#This Row],[L/P Líquido]]&gt;0,1,0)</f>
        <v>0</v>
      </c>
      <c r="P3253" s="1083"/>
      <c r="Q3253" s="1083" t="str">
        <f>LEFT(base[[#This Row],[Evento / Mercado]],FIND("vs",base[[#This Row],[Evento / Mercado]])-2)</f>
        <v>Shanghai Shenhua</v>
      </c>
      <c r="R325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4" t="str">
        <f>LEFT(base[[#This Row],[Evento / Mercado]],FIND("/",base[[#This Row],[Evento / Mercado]])-2)</f>
        <v>Shanghai Shenhua vs Tianjin Jinmenhu</v>
      </c>
      <c r="T3253" s="1420">
        <f>base[[#This Row],[Data de liquidação]]</f>
        <v>46221.477106481485</v>
      </c>
    </row>
    <row r="3254" spans="2:20" ht="15" customHeight="1">
      <c r="B3254" s="1078" t="s">
        <v>3885</v>
      </c>
      <c r="C3254" s="935" t="s">
        <v>3556</v>
      </c>
      <c r="D3254" s="1396">
        <v>46221.477349537039</v>
      </c>
      <c r="E3254" s="1080">
        <v>1.9</v>
      </c>
      <c r="F3254" s="654">
        <v>4.4999999999999998E-2</v>
      </c>
      <c r="G3254" s="1081">
        <f t="shared" si="83"/>
        <v>1.9895287958115184</v>
      </c>
      <c r="H3254" s="1081" t="s">
        <v>3330</v>
      </c>
      <c r="I3254" s="1082" t="s">
        <v>3566</v>
      </c>
      <c r="J3254" s="1081">
        <v>6.6</v>
      </c>
      <c r="K3254" s="1081">
        <v>100.02</v>
      </c>
      <c r="L3254" s="1079">
        <f>INT(base[[#This Row],[Data de liquidação]])</f>
        <v>46221</v>
      </c>
      <c r="M3254" s="1081">
        <f>base[[#This Row],[L/P Bruto]]-base[[#This Row],[L/P Líquido]]</f>
        <v>8.9528795811518513E-2</v>
      </c>
      <c r="N3254" s="1081">
        <f>base[[#This Row],[L/P Líquido]]/base[[#This Row],[Stake/Responsabilidade]]</f>
        <v>1.899620075984803E-2</v>
      </c>
      <c r="O3254" s="1083">
        <f>IF(base[[#This Row],[L/P Líquido]]&gt;0,1,0)</f>
        <v>1</v>
      </c>
      <c r="P3254" s="1083"/>
      <c r="Q3254" s="1083" t="str">
        <f>LEFT(base[[#This Row],[Evento / Mercado]],FIND("vs",base[[#This Row],[Evento / Mercado]])-2)</f>
        <v>Shanghai Shenhua</v>
      </c>
      <c r="R325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4" t="str">
        <f>LEFT(base[[#This Row],[Evento / Mercado]],FIND("/",base[[#This Row],[Evento / Mercado]])-2)</f>
        <v>Shanghai Shenhua vs Tianjin Jinmenhu</v>
      </c>
      <c r="T3254" s="1420">
        <f>base[[#This Row],[Data de liquidação]]</f>
        <v>46221.477349537039</v>
      </c>
    </row>
    <row r="3255" spans="2:20" ht="15" customHeight="1">
      <c r="B3255" s="1078" t="s">
        <v>3885</v>
      </c>
      <c r="C3255" s="1078" t="s">
        <v>3555</v>
      </c>
      <c r="D3255" s="1396">
        <v>46221.477349537039</v>
      </c>
      <c r="E3255" s="1080">
        <v>-79.09</v>
      </c>
      <c r="F3255" s="654">
        <v>4.4999999999999998E-2</v>
      </c>
      <c r="G3255" s="1081">
        <f t="shared" si="83"/>
        <v>-79.09</v>
      </c>
      <c r="H3255" s="938" t="s">
        <v>3253</v>
      </c>
      <c r="I3255" s="939" t="s">
        <v>1555</v>
      </c>
      <c r="J3255" s="1081">
        <v>5.4</v>
      </c>
      <c r="K3255" s="1081">
        <v>299.99</v>
      </c>
      <c r="L3255" s="1079">
        <f>INT(base[[#This Row],[Data de liquidação]])</f>
        <v>46221</v>
      </c>
      <c r="M3255" s="1081">
        <f>base[[#This Row],[L/P Bruto]]-base[[#This Row],[L/P Líquido]]</f>
        <v>0</v>
      </c>
      <c r="N3255" s="1081">
        <f>base[[#This Row],[L/P Líquido]]/base[[#This Row],[Stake/Responsabilidade]]</f>
        <v>-0.2636421214040468</v>
      </c>
      <c r="O3255" s="1083">
        <f>IF(base[[#This Row],[L/P Líquido]]&gt;0,1,0)</f>
        <v>0</v>
      </c>
      <c r="P3255" s="1083"/>
      <c r="Q3255" s="1083" t="str">
        <f>LEFT(base[[#This Row],[Evento / Mercado]],FIND("vs",base[[#This Row],[Evento / Mercado]])-2)</f>
        <v>Shanghai Shenhua</v>
      </c>
      <c r="R325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4" t="str">
        <f>LEFT(base[[#This Row],[Evento / Mercado]],FIND("/",base[[#This Row],[Evento / Mercado]])-2)</f>
        <v>Shanghai Shenhua vs Tianjin Jinmenhu</v>
      </c>
      <c r="T3255" s="1420">
        <f>base[[#This Row],[Data de liquidação]]</f>
        <v>46221.477349537039</v>
      </c>
    </row>
    <row r="3256" spans="2:20" ht="15" customHeight="1">
      <c r="B3256" s="1078" t="s">
        <v>3884</v>
      </c>
      <c r="C3256" s="935" t="s">
        <v>3556</v>
      </c>
      <c r="D3256" s="1396">
        <v>46221.494398148148</v>
      </c>
      <c r="E3256" s="1080">
        <v>5.0599999999999996</v>
      </c>
      <c r="F3256" s="654">
        <v>4.4999999999999998E-2</v>
      </c>
      <c r="G3256" s="1081">
        <f t="shared" si="83"/>
        <v>5.2984293193717278</v>
      </c>
      <c r="H3256" s="1081" t="s">
        <v>3631</v>
      </c>
      <c r="I3256" s="1082"/>
      <c r="J3256" s="1081">
        <v>1.18</v>
      </c>
      <c r="K3256" s="1081">
        <v>50</v>
      </c>
      <c r="L3256" s="1079">
        <f>INT(base[[#This Row],[Data de liquidação]])</f>
        <v>46221</v>
      </c>
      <c r="M3256" s="1081">
        <f>base[[#This Row],[L/P Bruto]]-base[[#This Row],[L/P Líquido]]</f>
        <v>0.23842931937172818</v>
      </c>
      <c r="N3256" s="1081">
        <f>base[[#This Row],[L/P Líquido]]/base[[#This Row],[Stake/Responsabilidade]]</f>
        <v>0.1012</v>
      </c>
      <c r="O3256" s="1083">
        <f>IF(base[[#This Row],[L/P Líquido]]&gt;0,1,0)</f>
        <v>1</v>
      </c>
      <c r="P3256" s="1083"/>
      <c r="Q3256" s="1083" t="str">
        <f>LEFT(base[[#This Row],[Evento / Mercado]],FIND("vs",base[[#This Row],[Evento / Mercado]])-2)</f>
        <v>AIK</v>
      </c>
      <c r="R325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4" t="str">
        <f>LEFT(base[[#This Row],[Evento / Mercado]],FIND("/",base[[#This Row],[Evento / Mercado]])-2)</f>
        <v>AIK vs GAIS</v>
      </c>
      <c r="T3256" s="1420">
        <f>base[[#This Row],[Data de liquidação]]</f>
        <v>46221.494398148148</v>
      </c>
    </row>
    <row r="3257" spans="2:20" ht="15" customHeight="1">
      <c r="B3257" s="1078" t="s">
        <v>3883</v>
      </c>
      <c r="C3257" s="935" t="s">
        <v>3556</v>
      </c>
      <c r="D3257" s="1396">
        <v>46221.537997685184</v>
      </c>
      <c r="E3257" s="1080">
        <v>16.46</v>
      </c>
      <c r="F3257" s="654">
        <v>4.4999999999999998E-2</v>
      </c>
      <c r="G3257" s="1081">
        <f t="shared" si="83"/>
        <v>17.235602094240839</v>
      </c>
      <c r="H3257" s="1081" t="s">
        <v>3661</v>
      </c>
      <c r="I3257" s="1082" t="s">
        <v>392</v>
      </c>
      <c r="J3257" s="1081">
        <v>30</v>
      </c>
      <c r="K3257" s="1081">
        <v>499.96</v>
      </c>
      <c r="L3257" s="1079">
        <f>INT(base[[#This Row],[Data de liquidação]])</f>
        <v>46221</v>
      </c>
      <c r="M3257" s="1081">
        <f>base[[#This Row],[L/P Bruto]]-base[[#This Row],[L/P Líquido]]</f>
        <v>0.77560209424083837</v>
      </c>
      <c r="N3257" s="1081">
        <f>base[[#This Row],[L/P Líquido]]/base[[#This Row],[Stake/Responsabilidade]]</f>
        <v>3.2922633810704857E-2</v>
      </c>
      <c r="O3257" s="1083">
        <f>IF(base[[#This Row],[L/P Líquido]]&gt;0,1,0)</f>
        <v>1</v>
      </c>
      <c r="P3257" s="1083"/>
      <c r="Q3257" s="1083" t="str">
        <f>LEFT(base[[#This Row],[Evento / Mercado]],FIND("vs",base[[#This Row],[Evento / Mercado]])-2)</f>
        <v>Lillestrøm SK</v>
      </c>
      <c r="R325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4" t="str">
        <f>LEFT(base[[#This Row],[Evento / Mercado]],FIND("/",base[[#This Row],[Evento / Mercado]])-2)</f>
        <v>Lillestrøm SK vs KFUM Oslo</v>
      </c>
      <c r="T3257" s="1420">
        <f>base[[#This Row],[Data de liquidação]]</f>
        <v>46221.537997685184</v>
      </c>
    </row>
    <row r="3258" spans="2:20" ht="15" customHeight="1">
      <c r="B3258" s="1078" t="s">
        <v>3883</v>
      </c>
      <c r="C3258" s="1078" t="s">
        <v>3555</v>
      </c>
      <c r="D3258" s="1396">
        <v>46221.537997685184</v>
      </c>
      <c r="E3258" s="1080">
        <v>-38.46</v>
      </c>
      <c r="F3258" s="654">
        <v>4.4999999999999998E-2</v>
      </c>
      <c r="G3258" s="1081">
        <f t="shared" si="83"/>
        <v>-38.46</v>
      </c>
      <c r="H3258" s="938" t="s">
        <v>3253</v>
      </c>
      <c r="I3258" s="939" t="s">
        <v>3254</v>
      </c>
      <c r="J3258" s="1081">
        <v>8.8000000000000007</v>
      </c>
      <c r="K3258" s="1081">
        <v>38.46</v>
      </c>
      <c r="L3258" s="1079">
        <f>INT(base[[#This Row],[Data de liquidação]])</f>
        <v>46221</v>
      </c>
      <c r="M3258" s="1081">
        <f>base[[#This Row],[L/P Bruto]]-base[[#This Row],[L/P Líquido]]</f>
        <v>0</v>
      </c>
      <c r="N3258" s="1081">
        <f>base[[#This Row],[L/P Líquido]]/base[[#This Row],[Stake/Responsabilidade]]</f>
        <v>-1</v>
      </c>
      <c r="O3258" s="1083">
        <f>IF(base[[#This Row],[L/P Líquido]]&gt;0,1,0)</f>
        <v>0</v>
      </c>
      <c r="P3258" s="1083"/>
      <c r="Q3258" s="1083" t="str">
        <f>LEFT(base[[#This Row],[Evento / Mercado]],FIND("vs",base[[#This Row],[Evento / Mercado]])-2)</f>
        <v>Lillestrøm SK</v>
      </c>
      <c r="R325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4" t="str">
        <f>LEFT(base[[#This Row],[Evento / Mercado]],FIND("/",base[[#This Row],[Evento / Mercado]])-2)</f>
        <v>Lillestrøm SK vs KFUM Oslo</v>
      </c>
      <c r="T3258" s="1420">
        <f>base[[#This Row],[Data de liquidação]]</f>
        <v>46221.537997685184</v>
      </c>
    </row>
    <row r="3259" spans="2:20" ht="15" customHeight="1">
      <c r="B3259" s="1078" t="s">
        <v>3882</v>
      </c>
      <c r="C3259" s="935" t="s">
        <v>3556</v>
      </c>
      <c r="D3259" s="1396">
        <v>46221.538194444445</v>
      </c>
      <c r="E3259" s="1080">
        <v>86.16</v>
      </c>
      <c r="F3259" s="654">
        <v>4.4999999999999998E-2</v>
      </c>
      <c r="G3259" s="1081">
        <f t="shared" si="83"/>
        <v>90.21989528795811</v>
      </c>
      <c r="H3259" s="1081" t="s">
        <v>179</v>
      </c>
      <c r="I3259" s="1082" t="s">
        <v>392</v>
      </c>
      <c r="J3259" s="1081">
        <v>5.6</v>
      </c>
      <c r="K3259" s="1081">
        <v>415.01</v>
      </c>
      <c r="L3259" s="1079">
        <f>INT(base[[#This Row],[Data de liquidação]])</f>
        <v>46221</v>
      </c>
      <c r="M3259" s="1081">
        <f>base[[#This Row],[L/P Bruto]]-base[[#This Row],[L/P Líquido]]</f>
        <v>4.0598952879581134</v>
      </c>
      <c r="N3259" s="1081">
        <f>base[[#This Row],[L/P Líquido]]/base[[#This Row],[Stake/Responsabilidade]]</f>
        <v>0.20760945519385074</v>
      </c>
      <c r="O3259" s="1083">
        <f>IF(base[[#This Row],[L/P Líquido]]&gt;0,1,0)</f>
        <v>1</v>
      </c>
      <c r="P3259" s="1083"/>
      <c r="Q3259" s="1083" t="str">
        <f>LEFT(base[[#This Row],[Evento / Mercado]],FIND("vs",base[[#This Row],[Evento / Mercado]])-2)</f>
        <v>Lillestrøm SK</v>
      </c>
      <c r="R325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4" t="str">
        <f>LEFT(base[[#This Row],[Evento / Mercado]],FIND("/",base[[#This Row],[Evento / Mercado]])-2)</f>
        <v>Lillestrøm SK vs KFUM Oslo</v>
      </c>
      <c r="T3259" s="1420">
        <f>base[[#This Row],[Data de liquidação]]</f>
        <v>46221.538194444445</v>
      </c>
    </row>
    <row r="3260" spans="2:20" ht="15" customHeight="1">
      <c r="B3260" s="1078" t="s">
        <v>3882</v>
      </c>
      <c r="C3260" s="1078" t="s">
        <v>3555</v>
      </c>
      <c r="D3260" s="1396">
        <v>46221.538194444445</v>
      </c>
      <c r="E3260" s="1080">
        <v>42.88</v>
      </c>
      <c r="F3260" s="654">
        <v>4.4999999999999998E-2</v>
      </c>
      <c r="G3260" s="1081">
        <f t="shared" si="83"/>
        <v>44.900523560209429</v>
      </c>
      <c r="H3260" s="938" t="s">
        <v>3253</v>
      </c>
      <c r="I3260" s="939" t="s">
        <v>1555</v>
      </c>
      <c r="J3260" s="1081">
        <v>4.4000000000000004</v>
      </c>
      <c r="K3260" s="1081">
        <v>300.02</v>
      </c>
      <c r="L3260" s="1079">
        <f>INT(base[[#This Row],[Data de liquidação]])</f>
        <v>46221</v>
      </c>
      <c r="M3260" s="1081">
        <f>base[[#This Row],[L/P Bruto]]-base[[#This Row],[L/P Líquido]]</f>
        <v>2.0205235602094263</v>
      </c>
      <c r="N3260" s="1081">
        <f>base[[#This Row],[L/P Líquido]]/base[[#This Row],[Stake/Responsabilidade]]</f>
        <v>0.14292380507966138</v>
      </c>
      <c r="O3260" s="1083">
        <f>IF(base[[#This Row],[L/P Líquido]]&gt;0,1,0)</f>
        <v>1</v>
      </c>
      <c r="P3260" s="1083"/>
      <c r="Q3260" s="1083" t="str">
        <f>LEFT(base[[#This Row],[Evento / Mercado]],FIND("vs",base[[#This Row],[Evento / Mercado]])-2)</f>
        <v>Lillestrøm SK</v>
      </c>
      <c r="R326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4" t="str">
        <f>LEFT(base[[#This Row],[Evento / Mercado]],FIND("/",base[[#This Row],[Evento / Mercado]])-2)</f>
        <v>Lillestrøm SK vs KFUM Oslo</v>
      </c>
      <c r="T3260" s="1420">
        <f>base[[#This Row],[Data de liquidação]]</f>
        <v>46221.538194444445</v>
      </c>
    </row>
    <row r="3261" spans="2:20" ht="15" customHeight="1">
      <c r="B3261" s="1078" t="s">
        <v>3882</v>
      </c>
      <c r="C3261" s="1078" t="s">
        <v>3554</v>
      </c>
      <c r="D3261" s="1396">
        <v>46221.538194444445</v>
      </c>
      <c r="E3261" s="1080">
        <v>3.67</v>
      </c>
      <c r="F3261" s="654">
        <v>4.4999999999999998E-2</v>
      </c>
      <c r="G3261" s="1081">
        <f t="shared" si="83"/>
        <v>3.842931937172775</v>
      </c>
      <c r="H3261" s="1081" t="s">
        <v>3330</v>
      </c>
      <c r="I3261" s="1248" t="s">
        <v>4368</v>
      </c>
      <c r="J3261" s="1081">
        <v>5.6</v>
      </c>
      <c r="K3261" s="1081">
        <v>100</v>
      </c>
      <c r="L3261" s="1079">
        <f>INT(base[[#This Row],[Data de liquidação]])</f>
        <v>46221</v>
      </c>
      <c r="M3261" s="1081">
        <f>base[[#This Row],[L/P Bruto]]-base[[#This Row],[L/P Líquido]]</f>
        <v>0.17293193717277511</v>
      </c>
      <c r="N3261" s="1081">
        <f>base[[#This Row],[L/P Líquido]]/base[[#This Row],[Stake/Responsabilidade]]</f>
        <v>3.6699999999999997E-2</v>
      </c>
      <c r="O3261" s="1083">
        <f>IF(base[[#This Row],[L/P Líquido]]&gt;0,1,0)</f>
        <v>1</v>
      </c>
      <c r="P3261" s="1083"/>
      <c r="Q3261" s="1083" t="str">
        <f>LEFT(base[[#This Row],[Evento / Mercado]],FIND("vs",base[[#This Row],[Evento / Mercado]])-2)</f>
        <v>Lillestrøm SK</v>
      </c>
      <c r="R326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4" t="str">
        <f>LEFT(base[[#This Row],[Evento / Mercado]],FIND("/",base[[#This Row],[Evento / Mercado]])-2)</f>
        <v>Lillestrøm SK vs KFUM Oslo</v>
      </c>
      <c r="T3261" s="1420">
        <f>base[[#This Row],[Data de liquidação]]</f>
        <v>46221.538194444445</v>
      </c>
    </row>
    <row r="3262" spans="2:20" ht="15" customHeight="1">
      <c r="B3262" s="1078" t="s">
        <v>3881</v>
      </c>
      <c r="C3262" s="935" t="s">
        <v>3556</v>
      </c>
      <c r="D3262" s="1396">
        <v>46221.539768518516</v>
      </c>
      <c r="E3262" s="1080">
        <v>38.99</v>
      </c>
      <c r="F3262" s="654">
        <v>4.4999999999999998E-2</v>
      </c>
      <c r="G3262" s="1081">
        <f t="shared" si="83"/>
        <v>40.827225130890056</v>
      </c>
      <c r="H3262" s="1081" t="s">
        <v>74</v>
      </c>
      <c r="I3262" s="1082" t="s">
        <v>694</v>
      </c>
      <c r="J3262" s="1081">
        <v>13</v>
      </c>
      <c r="K3262" s="1081">
        <v>489.96</v>
      </c>
      <c r="L3262" s="1079">
        <f>INT(base[[#This Row],[Data de liquidação]])</f>
        <v>46221</v>
      </c>
      <c r="M3262" s="1081">
        <f>base[[#This Row],[L/P Bruto]]-base[[#This Row],[L/P Líquido]]</f>
        <v>1.8372251308900545</v>
      </c>
      <c r="N3262" s="1081">
        <f>base[[#This Row],[L/P Líquido]]/base[[#This Row],[Stake/Responsabilidade]]</f>
        <v>7.9577924728549271E-2</v>
      </c>
      <c r="O3262" s="1083">
        <f>IF(base[[#This Row],[L/P Líquido]]&gt;0,1,0)</f>
        <v>1</v>
      </c>
      <c r="P3262" s="1083"/>
      <c r="Q3262" s="1083" t="str">
        <f>LEFT(base[[#This Row],[Evento / Mercado]],FIND("vs",base[[#This Row],[Evento / Mercado]])-2)</f>
        <v>Narva Trans</v>
      </c>
      <c r="R326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4" t="str">
        <f>LEFT(base[[#This Row],[Evento / Mercado]],FIND("/",base[[#This Row],[Evento / Mercado]])-2)</f>
        <v>Narva Trans vs Pärnu JK Vaprus</v>
      </c>
      <c r="T3262" s="1420">
        <f>base[[#This Row],[Data de liquidação]]</f>
        <v>46221.539768518516</v>
      </c>
    </row>
    <row r="3263" spans="2:20" ht="15" customHeight="1">
      <c r="B3263" s="1078" t="s">
        <v>3880</v>
      </c>
      <c r="C3263" s="935" t="s">
        <v>3556</v>
      </c>
      <c r="D3263" s="1396">
        <v>46221.594178240739</v>
      </c>
      <c r="E3263" s="1080">
        <v>-20.53</v>
      </c>
      <c r="F3263" s="654">
        <v>4.4999999999999998E-2</v>
      </c>
      <c r="G3263" s="1081">
        <f t="shared" si="83"/>
        <v>-20.53</v>
      </c>
      <c r="H3263" s="1081" t="s">
        <v>1666</v>
      </c>
      <c r="I3263" s="1082" t="s">
        <v>1558</v>
      </c>
      <c r="J3263" s="1081">
        <v>13.5</v>
      </c>
      <c r="K3263" s="1081">
        <v>15</v>
      </c>
      <c r="L3263" s="1079">
        <f>INT(base[[#This Row],[Data de liquidação]])</f>
        <v>46221</v>
      </c>
      <c r="M3263" s="1081">
        <f>base[[#This Row],[L/P Bruto]]-base[[#This Row],[L/P Líquido]]</f>
        <v>0</v>
      </c>
      <c r="N3263" s="1081">
        <f>base[[#This Row],[L/P Líquido]]/base[[#This Row],[Stake/Responsabilidade]]</f>
        <v>-1.3686666666666667</v>
      </c>
      <c r="O3263" s="1083">
        <f>IF(base[[#This Row],[L/P Líquido]]&gt;0,1,0)</f>
        <v>0</v>
      </c>
      <c r="P3263" s="1083"/>
      <c r="Q3263" s="1083" t="str">
        <f>LEFT(base[[#This Row],[Evento / Mercado]],FIND("vs",base[[#This Row],[Evento / Mercado]])-2)</f>
        <v>Viking FK</v>
      </c>
      <c r="R326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4" t="str">
        <f>LEFT(base[[#This Row],[Evento / Mercado]],FIND("/",base[[#This Row],[Evento / Mercado]])-2)</f>
        <v>Viking FK vs Sandefjord Fotball</v>
      </c>
      <c r="T3263" s="1420">
        <f>base[[#This Row],[Data de liquidação]]</f>
        <v>46221.594178240739</v>
      </c>
    </row>
    <row r="3264" spans="2:20" ht="15" customHeight="1">
      <c r="B3264" s="1078" t="s">
        <v>3878</v>
      </c>
      <c r="C3264" s="1078" t="s">
        <v>3554</v>
      </c>
      <c r="D3264" s="1396">
        <v>46221.621527777781</v>
      </c>
      <c r="E3264" s="1080">
        <v>5.68</v>
      </c>
      <c r="F3264" s="654">
        <v>4.4999999999999998E-2</v>
      </c>
      <c r="G3264" s="1081">
        <f t="shared" si="83"/>
        <v>5.9476439790575917</v>
      </c>
      <c r="H3264" s="1081" t="s">
        <v>3330</v>
      </c>
      <c r="I3264" s="1082" t="s">
        <v>3802</v>
      </c>
      <c r="J3264" s="1081">
        <v>11.5</v>
      </c>
      <c r="K3264" s="1081">
        <v>99.96</v>
      </c>
      <c r="L3264" s="1079">
        <f>INT(base[[#This Row],[Data de liquidação]])</f>
        <v>46221</v>
      </c>
      <c r="M3264" s="1081">
        <f>base[[#This Row],[L/P Bruto]]-base[[#This Row],[L/P Líquido]]</f>
        <v>0.26764397905759196</v>
      </c>
      <c r="N3264" s="1081">
        <f>base[[#This Row],[L/P Líquido]]/base[[#This Row],[Stake/Responsabilidade]]</f>
        <v>5.6822729091636652E-2</v>
      </c>
      <c r="O3264" s="1083">
        <f>IF(base[[#This Row],[L/P Líquido]]&gt;0,1,0)</f>
        <v>1</v>
      </c>
      <c r="P3264" s="1083"/>
      <c r="Q3264" s="1083" t="str">
        <f>LEFT(base[[#This Row],[Evento / Mercado]],FIND("vs",base[[#This Row],[Evento / Mercado]])-2)</f>
        <v>Viking FK</v>
      </c>
      <c r="R326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4" t="str">
        <f>LEFT(base[[#This Row],[Evento / Mercado]],FIND("/",base[[#This Row],[Evento / Mercado]])-2)</f>
        <v>Viking FK vs Sandefjord Fotball</v>
      </c>
      <c r="T3264" s="1420">
        <f>base[[#This Row],[Data de liquidação]]</f>
        <v>46221.621527777781</v>
      </c>
    </row>
    <row r="3265" spans="2:20" ht="15" customHeight="1">
      <c r="B3265" s="1078" t="s">
        <v>3879</v>
      </c>
      <c r="C3265" s="935" t="s">
        <v>3556</v>
      </c>
      <c r="D3265" s="1396">
        <v>46221.62158564815</v>
      </c>
      <c r="E3265" s="1080">
        <v>-23.08</v>
      </c>
      <c r="F3265" s="654">
        <v>4.4999999999999998E-2</v>
      </c>
      <c r="G3265" s="1081">
        <f t="shared" si="83"/>
        <v>-23.08</v>
      </c>
      <c r="H3265" s="1081" t="s">
        <v>3253</v>
      </c>
      <c r="I3265" s="1082" t="s">
        <v>3254</v>
      </c>
      <c r="J3265" s="1081">
        <v>14</v>
      </c>
      <c r="K3265" s="1081">
        <v>23.08</v>
      </c>
      <c r="L3265" s="1079">
        <f>INT(base[[#This Row],[Data de liquidação]])</f>
        <v>46221</v>
      </c>
      <c r="M3265" s="1081">
        <f>base[[#This Row],[L/P Bruto]]-base[[#This Row],[L/P Líquido]]</f>
        <v>0</v>
      </c>
      <c r="N3265" s="1081">
        <f>base[[#This Row],[L/P Líquido]]/base[[#This Row],[Stake/Responsabilidade]]</f>
        <v>-1</v>
      </c>
      <c r="O3265" s="1083">
        <f>IF(base[[#This Row],[L/P Líquido]]&gt;0,1,0)</f>
        <v>0</v>
      </c>
      <c r="P3265" s="1083"/>
      <c r="Q3265" s="1083" t="str">
        <f>LEFT(base[[#This Row],[Evento / Mercado]],FIND("vs",base[[#This Row],[Evento / Mercado]])-2)</f>
        <v>Viking FK</v>
      </c>
      <c r="R326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4" t="str">
        <f>LEFT(base[[#This Row],[Evento / Mercado]],FIND("/",base[[#This Row],[Evento / Mercado]])-2)</f>
        <v>Viking FK vs Sandefjord Fotball</v>
      </c>
      <c r="T3265" s="1420">
        <f>base[[#This Row],[Data de liquidação]]</f>
        <v>46221.62158564815</v>
      </c>
    </row>
    <row r="3266" spans="2:20" ht="15" customHeight="1">
      <c r="B3266" s="1078" t="s">
        <v>3878</v>
      </c>
      <c r="C3266" s="935" t="s">
        <v>3556</v>
      </c>
      <c r="D3266" s="1396">
        <v>46221.621712962966</v>
      </c>
      <c r="E3266" s="1080">
        <v>15.66</v>
      </c>
      <c r="F3266" s="654">
        <v>4.4999999999999998E-2</v>
      </c>
      <c r="G3266" s="1081">
        <f t="shared" si="83"/>
        <v>16.397905759162306</v>
      </c>
      <c r="H3266" s="1081" t="s">
        <v>3253</v>
      </c>
      <c r="I3266" s="1082" t="s">
        <v>1555</v>
      </c>
      <c r="J3266" s="1081">
        <v>6.8</v>
      </c>
      <c r="K3266" s="1081">
        <v>299.98</v>
      </c>
      <c r="L3266" s="1079">
        <f>INT(base[[#This Row],[Data de liquidação]])</f>
        <v>46221</v>
      </c>
      <c r="M3266" s="1081">
        <f>base[[#This Row],[L/P Bruto]]-base[[#This Row],[L/P Líquido]]</f>
        <v>0.73790575916230594</v>
      </c>
      <c r="N3266" s="1081">
        <f>base[[#This Row],[L/P Líquido]]/base[[#This Row],[Stake/Responsabilidade]]</f>
        <v>5.2203480232015466E-2</v>
      </c>
      <c r="O3266" s="1083">
        <f>IF(base[[#This Row],[L/P Líquido]]&gt;0,1,0)</f>
        <v>1</v>
      </c>
      <c r="P3266" s="1083"/>
      <c r="Q3266" s="1083" t="str">
        <f>LEFT(base[[#This Row],[Evento / Mercado]],FIND("vs",base[[#This Row],[Evento / Mercado]])-2)</f>
        <v>Viking FK</v>
      </c>
      <c r="R326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4" t="str">
        <f>LEFT(base[[#This Row],[Evento / Mercado]],FIND("/",base[[#This Row],[Evento / Mercado]])-2)</f>
        <v>Viking FK vs Sandefjord Fotball</v>
      </c>
      <c r="T3266" s="1420">
        <f>base[[#This Row],[Data de liquidação]]</f>
        <v>46221.621712962966</v>
      </c>
    </row>
    <row r="3267" spans="2:20" ht="15" customHeight="1">
      <c r="B3267" s="1078" t="s">
        <v>3878</v>
      </c>
      <c r="C3267" s="1078" t="s">
        <v>3555</v>
      </c>
      <c r="D3267" s="1396">
        <v>46221.621712962966</v>
      </c>
      <c r="E3267" s="1080">
        <v>38.880000000000003</v>
      </c>
      <c r="F3267" s="654">
        <v>4.4999999999999998E-2</v>
      </c>
      <c r="G3267" s="1081">
        <f t="shared" si="83"/>
        <v>40.712041884816756</v>
      </c>
      <c r="H3267" s="1081" t="s">
        <v>179</v>
      </c>
      <c r="I3267" s="1082" t="s">
        <v>392</v>
      </c>
      <c r="J3267" s="1081">
        <v>11</v>
      </c>
      <c r="K3267" s="1081">
        <v>400</v>
      </c>
      <c r="L3267" s="1079">
        <f>INT(base[[#This Row],[Data de liquidação]])</f>
        <v>46221</v>
      </c>
      <c r="M3267" s="1081">
        <f>base[[#This Row],[L/P Bruto]]-base[[#This Row],[L/P Líquido]]</f>
        <v>1.8320418848167535</v>
      </c>
      <c r="N3267" s="1081">
        <f>base[[#This Row],[L/P Líquido]]/base[[#This Row],[Stake/Responsabilidade]]</f>
        <v>9.7200000000000009E-2</v>
      </c>
      <c r="O3267" s="1083">
        <f>IF(base[[#This Row],[L/P Líquido]]&gt;0,1,0)</f>
        <v>1</v>
      </c>
      <c r="P3267" s="1083"/>
      <c r="Q3267" s="1083" t="str">
        <f>LEFT(base[[#This Row],[Evento / Mercado]],FIND("vs",base[[#This Row],[Evento / Mercado]])-2)</f>
        <v>Viking FK</v>
      </c>
      <c r="R326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4" t="str">
        <f>LEFT(base[[#This Row],[Evento / Mercado]],FIND("/",base[[#This Row],[Evento / Mercado]])-2)</f>
        <v>Viking FK vs Sandefjord Fotball</v>
      </c>
      <c r="T3267" s="1420">
        <f>base[[#This Row],[Data de liquidação]]</f>
        <v>46221.621712962966</v>
      </c>
    </row>
    <row r="3268" spans="2:20" ht="15" customHeight="1">
      <c r="B3268" s="1078" t="s">
        <v>3877</v>
      </c>
      <c r="C3268" s="1078" t="s">
        <v>3554</v>
      </c>
      <c r="D3268" s="1396">
        <v>46221.624305555553</v>
      </c>
      <c r="E3268" s="1080">
        <v>9.06</v>
      </c>
      <c r="F3268" s="654">
        <v>4.4999999999999998E-2</v>
      </c>
      <c r="G3268" s="1081">
        <f t="shared" si="83"/>
        <v>9.4869109947643988</v>
      </c>
      <c r="H3268" s="1081" t="s">
        <v>3868</v>
      </c>
      <c r="I3268" s="1082" t="s">
        <v>627</v>
      </c>
      <c r="J3268" s="1081">
        <v>22</v>
      </c>
      <c r="K3268" s="1081">
        <v>199.21</v>
      </c>
      <c r="L3268" s="1079">
        <f>INT(base[[#This Row],[Data de liquidação]])</f>
        <v>46221</v>
      </c>
      <c r="M3268" s="1081">
        <f>base[[#This Row],[L/P Bruto]]-base[[#This Row],[L/P Líquido]]</f>
        <v>0.42691099476439831</v>
      </c>
      <c r="N3268" s="1081">
        <f>base[[#This Row],[L/P Líquido]]/base[[#This Row],[Stake/Responsabilidade]]</f>
        <v>4.5479644596154813E-2</v>
      </c>
      <c r="O3268" s="1083">
        <f>IF(base[[#This Row],[L/P Líquido]]&gt;0,1,0)</f>
        <v>1</v>
      </c>
      <c r="P3268" s="1083"/>
      <c r="Q3268" s="1083" t="str">
        <f>LEFT(base[[#This Row],[Evento / Mercado]],FIND("vs",base[[#This Row],[Evento / Mercado]])-2)</f>
        <v>Molde</v>
      </c>
      <c r="R326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4" t="str">
        <f>LEFT(base[[#This Row],[Evento / Mercado]],FIND("/",base[[#This Row],[Evento / Mercado]])-2)</f>
        <v>Molde vs Brann</v>
      </c>
      <c r="T3268" s="1420">
        <f>base[[#This Row],[Data de liquidação]]</f>
        <v>46221.624305555553</v>
      </c>
    </row>
    <row r="3269" spans="2:20" ht="15" customHeight="1">
      <c r="B3269" s="1078" t="s">
        <v>3877</v>
      </c>
      <c r="C3269" s="935" t="s">
        <v>3556</v>
      </c>
      <c r="D3269" s="1396">
        <v>46221.624444444446</v>
      </c>
      <c r="E3269" s="1080">
        <v>-34.880000000000003</v>
      </c>
      <c r="F3269" s="654">
        <v>4.4999999999999998E-2</v>
      </c>
      <c r="G3269" s="1081">
        <f t="shared" si="83"/>
        <v>-34.880000000000003</v>
      </c>
      <c r="H3269" s="1081" t="s">
        <v>3253</v>
      </c>
      <c r="I3269" s="1082" t="s">
        <v>3254</v>
      </c>
      <c r="J3269" s="1081">
        <v>9.6</v>
      </c>
      <c r="K3269" s="1081">
        <v>34.880000000000003</v>
      </c>
      <c r="L3269" s="1079">
        <f>INT(base[[#This Row],[Data de liquidação]])</f>
        <v>46221</v>
      </c>
      <c r="M3269" s="1081">
        <f>base[[#This Row],[L/P Bruto]]-base[[#This Row],[L/P Líquido]]</f>
        <v>0</v>
      </c>
      <c r="N3269" s="1081">
        <f>base[[#This Row],[L/P Líquido]]/base[[#This Row],[Stake/Responsabilidade]]</f>
        <v>-1</v>
      </c>
      <c r="O3269" s="1083">
        <f>IF(base[[#This Row],[L/P Líquido]]&gt;0,1,0)</f>
        <v>0</v>
      </c>
      <c r="P3269" s="1083"/>
      <c r="Q3269" s="1083" t="str">
        <f>LEFT(base[[#This Row],[Evento / Mercado]],FIND("vs",base[[#This Row],[Evento / Mercado]])-2)</f>
        <v>Molde</v>
      </c>
      <c r="R326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4" t="str">
        <f>LEFT(base[[#This Row],[Evento / Mercado]],FIND("/",base[[#This Row],[Evento / Mercado]])-2)</f>
        <v>Molde vs Brann</v>
      </c>
      <c r="T3269" s="1420">
        <f>base[[#This Row],[Data de liquidação]]</f>
        <v>46221.624444444446</v>
      </c>
    </row>
    <row r="3270" spans="2:20" ht="15" customHeight="1">
      <c r="B3270" s="1078" t="s">
        <v>3877</v>
      </c>
      <c r="C3270" s="1078" t="s">
        <v>3555</v>
      </c>
      <c r="D3270" s="1396">
        <v>46221.624444444446</v>
      </c>
      <c r="E3270" s="1080">
        <v>-26.48</v>
      </c>
      <c r="F3270" s="654">
        <v>4.4999999999999998E-2</v>
      </c>
      <c r="G3270" s="1081">
        <f t="shared" si="83"/>
        <v>-26.48</v>
      </c>
      <c r="H3270" s="1081" t="s">
        <v>3661</v>
      </c>
      <c r="I3270" s="1082" t="s">
        <v>392</v>
      </c>
      <c r="J3270" s="1081">
        <v>8.4</v>
      </c>
      <c r="K3270" s="1081">
        <v>243.63</v>
      </c>
      <c r="L3270" s="1079">
        <f>INT(base[[#This Row],[Data de liquidação]])</f>
        <v>46221</v>
      </c>
      <c r="M3270" s="1081">
        <f>base[[#This Row],[L/P Bruto]]-base[[#This Row],[L/P Líquido]]</f>
        <v>0</v>
      </c>
      <c r="N3270" s="1081">
        <f>base[[#This Row],[L/P Líquido]]/base[[#This Row],[Stake/Responsabilidade]]</f>
        <v>-0.10868940606657637</v>
      </c>
      <c r="O3270" s="1083">
        <f>IF(base[[#This Row],[L/P Líquido]]&gt;0,1,0)</f>
        <v>0</v>
      </c>
      <c r="P3270" s="1083"/>
      <c r="Q3270" s="1083" t="str">
        <f>LEFT(base[[#This Row],[Evento / Mercado]],FIND("vs",base[[#This Row],[Evento / Mercado]])-2)</f>
        <v>Molde</v>
      </c>
      <c r="R327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4" t="str">
        <f>LEFT(base[[#This Row],[Evento / Mercado]],FIND("/",base[[#This Row],[Evento / Mercado]])-2)</f>
        <v>Molde vs Brann</v>
      </c>
      <c r="T3270" s="1420">
        <f>base[[#This Row],[Data de liquidação]]</f>
        <v>46221.624444444446</v>
      </c>
    </row>
    <row r="3271" spans="2:20" ht="15" customHeight="1">
      <c r="B3271" s="1078" t="s">
        <v>3876</v>
      </c>
      <c r="C3271" s="935" t="s">
        <v>3556</v>
      </c>
      <c r="D3271" s="1396">
        <v>46221.6246875</v>
      </c>
      <c r="E3271" s="1080">
        <v>30.25</v>
      </c>
      <c r="F3271" s="654">
        <v>4.4999999999999998E-2</v>
      </c>
      <c r="G3271" s="1081">
        <f t="shared" si="83"/>
        <v>31.67539267015707</v>
      </c>
      <c r="H3271" s="1081" t="s">
        <v>3253</v>
      </c>
      <c r="I3271" s="1082" t="s">
        <v>1555</v>
      </c>
      <c r="J3271" s="1081">
        <v>4.3</v>
      </c>
      <c r="K3271" s="1081">
        <v>300</v>
      </c>
      <c r="L3271" s="1079">
        <f>INT(base[[#This Row],[Data de liquidação]])</f>
        <v>46221</v>
      </c>
      <c r="M3271" s="1081">
        <f>base[[#This Row],[L/P Bruto]]-base[[#This Row],[L/P Líquido]]</f>
        <v>1.4253926701570698</v>
      </c>
      <c r="N3271" s="1081">
        <f>base[[#This Row],[L/P Líquido]]/base[[#This Row],[Stake/Responsabilidade]]</f>
        <v>0.10083333333333333</v>
      </c>
      <c r="O3271" s="1083">
        <f>IF(base[[#This Row],[L/P Líquido]]&gt;0,1,0)</f>
        <v>1</v>
      </c>
      <c r="P3271" s="1083"/>
      <c r="Q3271" s="1083" t="str">
        <f>LEFT(base[[#This Row],[Evento / Mercado]],FIND("vs",base[[#This Row],[Evento / Mercado]])-2)</f>
        <v>Molde</v>
      </c>
      <c r="R327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4" t="str">
        <f>LEFT(base[[#This Row],[Evento / Mercado]],FIND("/",base[[#This Row],[Evento / Mercado]])-2)</f>
        <v>Molde vs Brann</v>
      </c>
      <c r="T3271" s="1420">
        <f>base[[#This Row],[Data de liquidação]]</f>
        <v>46221.6246875</v>
      </c>
    </row>
    <row r="3272" spans="2:20" ht="15" customHeight="1">
      <c r="B3272" s="1078" t="s">
        <v>3876</v>
      </c>
      <c r="C3272" s="1078" t="s">
        <v>3555</v>
      </c>
      <c r="D3272" s="1396">
        <v>46221.6246875</v>
      </c>
      <c r="E3272" s="1080">
        <v>-199.99</v>
      </c>
      <c r="F3272" s="654">
        <v>4.4999999999999998E-2</v>
      </c>
      <c r="G3272" s="1081">
        <f t="shared" si="83"/>
        <v>-199.99</v>
      </c>
      <c r="H3272" s="1081" t="s">
        <v>3330</v>
      </c>
      <c r="I3272" s="1248" t="s">
        <v>4367</v>
      </c>
      <c r="J3272" s="1081">
        <f>(3.2+2.02)/2</f>
        <v>2.6100000000000003</v>
      </c>
      <c r="K3272" s="1081">
        <v>199.99</v>
      </c>
      <c r="L3272" s="1079">
        <f>INT(base[[#This Row],[Data de liquidação]])</f>
        <v>46221</v>
      </c>
      <c r="M3272" s="1081">
        <f>base[[#This Row],[L/P Bruto]]-base[[#This Row],[L/P Líquido]]</f>
        <v>0</v>
      </c>
      <c r="N3272" s="1081">
        <f>base[[#This Row],[L/P Líquido]]/base[[#This Row],[Stake/Responsabilidade]]</f>
        <v>-1</v>
      </c>
      <c r="O3272" s="1083">
        <f>IF(base[[#This Row],[L/P Líquido]]&gt;0,1,0)</f>
        <v>0</v>
      </c>
      <c r="P3272" s="1083"/>
      <c r="Q3272" s="1083" t="str">
        <f>LEFT(base[[#This Row],[Evento / Mercado]],FIND("vs",base[[#This Row],[Evento / Mercado]])-2)</f>
        <v>Molde</v>
      </c>
      <c r="R327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4" t="str">
        <f>LEFT(base[[#This Row],[Evento / Mercado]],FIND("/",base[[#This Row],[Evento / Mercado]])-2)</f>
        <v>Molde vs Brann</v>
      </c>
      <c r="T3272" s="1420">
        <f>base[[#This Row],[Data de liquidação]]</f>
        <v>46221.6246875</v>
      </c>
    </row>
    <row r="3273" spans="2:20" ht="15" customHeight="1">
      <c r="B3273" s="1078" t="s">
        <v>3875</v>
      </c>
      <c r="C3273" s="935" t="s">
        <v>3556</v>
      </c>
      <c r="D3273" s="1396">
        <v>46221.624722222223</v>
      </c>
      <c r="E3273" s="1080">
        <v>-43.01</v>
      </c>
      <c r="F3273" s="654">
        <v>4.4999999999999998E-2</v>
      </c>
      <c r="G3273" s="1081">
        <f t="shared" si="83"/>
        <v>-43.01</v>
      </c>
      <c r="H3273" s="1081" t="s">
        <v>3333</v>
      </c>
      <c r="I3273" s="1082" t="s">
        <v>3388</v>
      </c>
      <c r="J3273" s="1081">
        <f>(25*1.73+25*2.3+50*3)/base[[#This Row],[Stake/Responsabilidade]]</f>
        <v>2.5074999999999998</v>
      </c>
      <c r="K3273" s="1081">
        <v>100</v>
      </c>
      <c r="L3273" s="1079">
        <f>INT(base[[#This Row],[Data de liquidação]])</f>
        <v>46221</v>
      </c>
      <c r="M3273" s="1081">
        <f>base[[#This Row],[L/P Bruto]]-base[[#This Row],[L/P Líquido]]</f>
        <v>0</v>
      </c>
      <c r="N3273" s="1081">
        <f>base[[#This Row],[L/P Líquido]]/base[[#This Row],[Stake/Responsabilidade]]</f>
        <v>-0.43009999999999998</v>
      </c>
      <c r="O3273" s="1083">
        <f>IF(base[[#This Row],[L/P Líquido]]&gt;0,1,0)</f>
        <v>0</v>
      </c>
      <c r="P3273" s="1083"/>
      <c r="Q3273" s="1083" t="str">
        <f>LEFT(base[[#This Row],[Evento / Mercado]],FIND("vs",base[[#This Row],[Evento / Mercado]])-2)</f>
        <v>Molde</v>
      </c>
      <c r="R327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4" t="str">
        <f>LEFT(base[[#This Row],[Evento / Mercado]],FIND("/",base[[#This Row],[Evento / Mercado]])-2)</f>
        <v>Molde vs Brann</v>
      </c>
      <c r="T3273" s="1420">
        <f>base[[#This Row],[Data de liquidação]]</f>
        <v>46221.624722222223</v>
      </c>
    </row>
    <row r="3274" spans="2:20" ht="15" customHeight="1">
      <c r="B3274" s="1078" t="s">
        <v>3874</v>
      </c>
      <c r="C3274" s="935" t="s">
        <v>3556</v>
      </c>
      <c r="D3274" s="1396">
        <v>46221.751643518517</v>
      </c>
      <c r="E3274" s="1080">
        <v>-48.39</v>
      </c>
      <c r="F3274" s="654">
        <v>4.4999999999999998E-2</v>
      </c>
      <c r="G3274" s="1081">
        <f t="shared" si="83"/>
        <v>-48.39</v>
      </c>
      <c r="H3274" s="1081" t="s">
        <v>3253</v>
      </c>
      <c r="I3274" s="1082" t="s">
        <v>3254</v>
      </c>
      <c r="J3274" s="1081">
        <v>7.2</v>
      </c>
      <c r="K3274" s="1081">
        <v>48.39</v>
      </c>
      <c r="L3274" s="1079">
        <f>INT(base[[#This Row],[Data de liquidação]])</f>
        <v>46221</v>
      </c>
      <c r="M3274" s="1081">
        <f>base[[#This Row],[L/P Bruto]]-base[[#This Row],[L/P Líquido]]</f>
        <v>0</v>
      </c>
      <c r="N3274" s="1081">
        <f>base[[#This Row],[L/P Líquido]]/base[[#This Row],[Stake/Responsabilidade]]</f>
        <v>-1</v>
      </c>
      <c r="O3274" s="1083">
        <f>IF(base[[#This Row],[L/P Líquido]]&gt;0,1,0)</f>
        <v>0</v>
      </c>
      <c r="P3274" s="1083"/>
      <c r="Q3274" s="1083" t="str">
        <f>LEFT(base[[#This Row],[Evento / Mercado]],FIND("vs",base[[#This Row],[Evento / Mercado]])-2)</f>
        <v>Criciúma EC</v>
      </c>
      <c r="R327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4" t="str">
        <f>LEFT(base[[#This Row],[Evento / Mercado]],FIND("/",base[[#This Row],[Evento / Mercado]])-2)</f>
        <v>Criciúma EC vs Vila Nova FC</v>
      </c>
      <c r="T3274" s="1420">
        <f>base[[#This Row],[Data de liquidação]]</f>
        <v>46221.751643518517</v>
      </c>
    </row>
    <row r="3275" spans="2:20" ht="15" customHeight="1">
      <c r="B3275" s="1078" t="s">
        <v>3874</v>
      </c>
      <c r="C3275" s="1078" t="s">
        <v>3555</v>
      </c>
      <c r="D3275" s="1396">
        <v>46221.751643518517</v>
      </c>
      <c r="E3275" s="1080">
        <v>14.95</v>
      </c>
      <c r="F3275" s="654">
        <v>4.4999999999999998E-2</v>
      </c>
      <c r="G3275" s="1081">
        <f t="shared" si="83"/>
        <v>15.654450261780104</v>
      </c>
      <c r="H3275" s="1081" t="s">
        <v>3868</v>
      </c>
      <c r="I3275" s="1082" t="s">
        <v>627</v>
      </c>
      <c r="J3275" s="1081">
        <v>14</v>
      </c>
      <c r="K3275" s="1081">
        <v>199.94</v>
      </c>
      <c r="L3275" s="1079">
        <f>INT(base[[#This Row],[Data de liquidação]])</f>
        <v>46221</v>
      </c>
      <c r="M3275" s="1081">
        <f>base[[#This Row],[L/P Bruto]]-base[[#This Row],[L/P Líquido]]</f>
        <v>0.70445026178010473</v>
      </c>
      <c r="N3275" s="1081">
        <f>base[[#This Row],[L/P Líquido]]/base[[#This Row],[Stake/Responsabilidade]]</f>
        <v>7.4772431729518848E-2</v>
      </c>
      <c r="O3275" s="1083">
        <f>IF(base[[#This Row],[L/P Líquido]]&gt;0,1,0)</f>
        <v>1</v>
      </c>
      <c r="P3275" s="1083"/>
      <c r="Q3275" s="1083" t="str">
        <f>LEFT(base[[#This Row],[Evento / Mercado]],FIND("vs",base[[#This Row],[Evento / Mercado]])-2)</f>
        <v>Criciúma EC</v>
      </c>
      <c r="R327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4" t="str">
        <f>LEFT(base[[#This Row],[Evento / Mercado]],FIND("/",base[[#This Row],[Evento / Mercado]])-2)</f>
        <v>Criciúma EC vs Vila Nova FC</v>
      </c>
      <c r="T3275" s="1420">
        <f>base[[#This Row],[Data de liquidação]]</f>
        <v>46221.751643518517</v>
      </c>
    </row>
    <row r="3276" spans="2:20" ht="15" customHeight="1">
      <c r="B3276" s="1078" t="s">
        <v>3873</v>
      </c>
      <c r="C3276" s="1078" t="s">
        <v>3555</v>
      </c>
      <c r="D3276" s="1396">
        <v>46221.751793981479</v>
      </c>
      <c r="E3276" s="1080">
        <v>13.24</v>
      </c>
      <c r="F3276" s="654">
        <v>4.4999999999999998E-2</v>
      </c>
      <c r="G3276" s="1081">
        <f t="shared" si="83"/>
        <v>13.863874345549739</v>
      </c>
      <c r="H3276" s="1081" t="s">
        <v>3330</v>
      </c>
      <c r="I3276" s="1248" t="s">
        <v>4368</v>
      </c>
      <c r="J3276" s="1081">
        <v>5.6</v>
      </c>
      <c r="K3276" s="1081">
        <v>100</v>
      </c>
      <c r="L3276" s="1079">
        <f>INT(base[[#This Row],[Data de liquidação]])</f>
        <v>46221</v>
      </c>
      <c r="M3276" s="1081">
        <f>base[[#This Row],[L/P Bruto]]-base[[#This Row],[L/P Líquido]]</f>
        <v>0.62387434554973886</v>
      </c>
      <c r="N3276" s="1081">
        <f>base[[#This Row],[L/P Líquido]]/base[[#This Row],[Stake/Responsabilidade]]</f>
        <v>0.13239999999999999</v>
      </c>
      <c r="O3276" s="1083">
        <f>IF(base[[#This Row],[L/P Líquido]]&gt;0,1,0)</f>
        <v>1</v>
      </c>
      <c r="P3276" s="1083"/>
      <c r="Q3276" s="1083" t="str">
        <f>LEFT(base[[#This Row],[Evento / Mercado]],FIND("vs",base[[#This Row],[Evento / Mercado]])-2)</f>
        <v>Criciúma EC</v>
      </c>
      <c r="R327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4" t="str">
        <f>LEFT(base[[#This Row],[Evento / Mercado]],FIND("/",base[[#This Row],[Evento / Mercado]])-2)</f>
        <v>Criciúma EC vs Vila Nova FC</v>
      </c>
      <c r="T3276" s="1420">
        <f>base[[#This Row],[Data de liquidação]]</f>
        <v>46221.751793981479</v>
      </c>
    </row>
    <row r="3277" spans="2:20" ht="15" customHeight="1">
      <c r="B3277" s="1078" t="s">
        <v>3873</v>
      </c>
      <c r="C3277" s="935" t="s">
        <v>3556</v>
      </c>
      <c r="D3277" s="1396">
        <v>46221.751805555556</v>
      </c>
      <c r="E3277" s="1080">
        <v>114.6</v>
      </c>
      <c r="F3277" s="654">
        <v>4.4999999999999998E-2</v>
      </c>
      <c r="G3277" s="1081">
        <f t="shared" si="83"/>
        <v>120</v>
      </c>
      <c r="H3277" s="1081" t="s">
        <v>3253</v>
      </c>
      <c r="I3277" s="1082" t="s">
        <v>1555</v>
      </c>
      <c r="J3277" s="1081">
        <v>3.4</v>
      </c>
      <c r="K3277" s="1081">
        <v>300</v>
      </c>
      <c r="L3277" s="1079">
        <f>INT(base[[#This Row],[Data de liquidação]])</f>
        <v>46221</v>
      </c>
      <c r="M3277" s="1081">
        <f>base[[#This Row],[L/P Bruto]]-base[[#This Row],[L/P Líquido]]</f>
        <v>5.4000000000000057</v>
      </c>
      <c r="N3277" s="1081">
        <f>base[[#This Row],[L/P Líquido]]/base[[#This Row],[Stake/Responsabilidade]]</f>
        <v>0.38200000000000001</v>
      </c>
      <c r="O3277" s="1083">
        <f>IF(base[[#This Row],[L/P Líquido]]&gt;0,1,0)</f>
        <v>1</v>
      </c>
      <c r="P3277" s="1083"/>
      <c r="Q3277" s="1083" t="str">
        <f>LEFT(base[[#This Row],[Evento / Mercado]],FIND("vs",base[[#This Row],[Evento / Mercado]])-2)</f>
        <v>Criciúma EC</v>
      </c>
      <c r="R327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4" t="str">
        <f>LEFT(base[[#This Row],[Evento / Mercado]],FIND("/",base[[#This Row],[Evento / Mercado]])-2)</f>
        <v>Criciúma EC vs Vila Nova FC</v>
      </c>
      <c r="T3277" s="1420">
        <f>base[[#This Row],[Data de liquidação]]</f>
        <v>46221.751805555556</v>
      </c>
    </row>
    <row r="3278" spans="2:20" ht="15" customHeight="1">
      <c r="B3278" s="1078" t="s">
        <v>3872</v>
      </c>
      <c r="C3278" s="1078" t="s">
        <v>3554</v>
      </c>
      <c r="D3278" s="1396">
        <v>46221.827777777777</v>
      </c>
      <c r="E3278" s="1080">
        <v>4.83</v>
      </c>
      <c r="F3278" s="654">
        <v>4.4999999999999998E-2</v>
      </c>
      <c r="G3278" s="1081">
        <f t="shared" si="83"/>
        <v>5.0575916230366493</v>
      </c>
      <c r="H3278" s="1053" t="s">
        <v>3817</v>
      </c>
      <c r="I3278" s="1082"/>
      <c r="J3278" s="1081">
        <v>30</v>
      </c>
      <c r="K3278" s="1081">
        <v>200.1</v>
      </c>
      <c r="L3278" s="1079">
        <f>INT(base[[#This Row],[Data de liquidação]])</f>
        <v>46221</v>
      </c>
      <c r="M3278" s="1081">
        <f>base[[#This Row],[L/P Bruto]]-base[[#This Row],[L/P Líquido]]</f>
        <v>0.22759162303664926</v>
      </c>
      <c r="N3278" s="1081">
        <f>base[[#This Row],[L/P Líquido]]/base[[#This Row],[Stake/Responsabilidade]]</f>
        <v>2.4137931034482758E-2</v>
      </c>
      <c r="O3278" s="1083">
        <f>IF(base[[#This Row],[L/P Líquido]]&gt;0,1,0)</f>
        <v>1</v>
      </c>
      <c r="P3278" s="1083"/>
      <c r="Q3278" s="1083" t="str">
        <f>LEFT(base[[#This Row],[Evento / Mercado]],FIND("vs",base[[#This Row],[Evento / Mercado]])-2)</f>
        <v>Atlético Goianiense</v>
      </c>
      <c r="R327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4" t="str">
        <f>LEFT(base[[#This Row],[Evento / Mercado]],FIND("/",base[[#This Row],[Evento / Mercado]])-2)</f>
        <v>Atlético Goianiense vs Athletic Club MG</v>
      </c>
      <c r="T3278" s="1420">
        <f>base[[#This Row],[Data de liquidação]]</f>
        <v>46221.827777777777</v>
      </c>
    </row>
    <row r="3279" spans="2:20" ht="15" customHeight="1">
      <c r="B3279" s="1078" t="s">
        <v>3872</v>
      </c>
      <c r="C3279" s="935" t="s">
        <v>3556</v>
      </c>
      <c r="D3279" s="1396">
        <v>46221.828275462962</v>
      </c>
      <c r="E3279" s="1080">
        <v>-29.74</v>
      </c>
      <c r="F3279" s="654">
        <v>4.4999999999999998E-2</v>
      </c>
      <c r="G3279" s="1081">
        <f t="shared" si="83"/>
        <v>-29.74</v>
      </c>
      <c r="H3279" s="1081" t="s">
        <v>3253</v>
      </c>
      <c r="I3279" s="1082" t="s">
        <v>3254</v>
      </c>
      <c r="J3279" s="1081">
        <v>6.8</v>
      </c>
      <c r="K3279" s="1081">
        <v>51.72</v>
      </c>
      <c r="L3279" s="1079">
        <f>INT(base[[#This Row],[Data de liquidação]])</f>
        <v>46221</v>
      </c>
      <c r="M3279" s="1081">
        <f>base[[#This Row],[L/P Bruto]]-base[[#This Row],[L/P Líquido]]</f>
        <v>0</v>
      </c>
      <c r="N3279" s="1081">
        <f>base[[#This Row],[L/P Líquido]]/base[[#This Row],[Stake/Responsabilidade]]</f>
        <v>-0.57501933488012369</v>
      </c>
      <c r="O3279" s="1083">
        <f>IF(base[[#This Row],[L/P Líquido]]&gt;0,1,0)</f>
        <v>0</v>
      </c>
      <c r="P3279" s="1083"/>
      <c r="Q3279" s="1083" t="str">
        <f>LEFT(base[[#This Row],[Evento / Mercado]],FIND("vs",base[[#This Row],[Evento / Mercado]])-2)</f>
        <v>Atlético Goianiense</v>
      </c>
      <c r="R327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4" t="str">
        <f>LEFT(base[[#This Row],[Evento / Mercado]],FIND("/",base[[#This Row],[Evento / Mercado]])-2)</f>
        <v>Atlético Goianiense vs Athletic Club MG</v>
      </c>
      <c r="T3279" s="1420">
        <f>base[[#This Row],[Data de liquidação]]</f>
        <v>46221.828275462962</v>
      </c>
    </row>
    <row r="3280" spans="2:20" ht="15" customHeight="1">
      <c r="B3280" s="1078" t="s">
        <v>3871</v>
      </c>
      <c r="C3280" s="1078" t="s">
        <v>3555</v>
      </c>
      <c r="D3280" s="1396">
        <v>46221.828472222223</v>
      </c>
      <c r="E3280" s="1080">
        <v>10.24</v>
      </c>
      <c r="F3280" s="654">
        <v>4.4999999999999998E-2</v>
      </c>
      <c r="G3280" s="1081">
        <f t="shared" si="83"/>
        <v>10.722513089005236</v>
      </c>
      <c r="H3280" s="1081" t="s">
        <v>3330</v>
      </c>
      <c r="I3280" s="1248" t="s">
        <v>4368</v>
      </c>
      <c r="J3280" s="1081">
        <v>4.8</v>
      </c>
      <c r="K3280" s="1081">
        <v>100.02</v>
      </c>
      <c r="L3280" s="1079">
        <f>INT(base[[#This Row],[Data de liquidação]])</f>
        <v>46221</v>
      </c>
      <c r="M3280" s="1081">
        <f>base[[#This Row],[L/P Bruto]]-base[[#This Row],[L/P Líquido]]</f>
        <v>0.48251308900523604</v>
      </c>
      <c r="N3280" s="1081">
        <f>base[[#This Row],[L/P Líquido]]/base[[#This Row],[Stake/Responsabilidade]]</f>
        <v>0.10237952409518097</v>
      </c>
      <c r="O3280" s="1083">
        <f>IF(base[[#This Row],[L/P Líquido]]&gt;0,1,0)</f>
        <v>1</v>
      </c>
      <c r="P3280" s="1083"/>
      <c r="Q3280" s="1083" t="str">
        <f>LEFT(base[[#This Row],[Evento / Mercado]],FIND("vs",base[[#This Row],[Evento / Mercado]])-2)</f>
        <v>Atlético Goianiense</v>
      </c>
      <c r="R328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4" t="str">
        <f>LEFT(base[[#This Row],[Evento / Mercado]],FIND("/",base[[#This Row],[Evento / Mercado]])-2)</f>
        <v>Atlético Goianiense vs Athletic Club MG</v>
      </c>
      <c r="T3280" s="1420">
        <f>base[[#This Row],[Data de liquidação]]</f>
        <v>46221.828472222223</v>
      </c>
    </row>
    <row r="3281" spans="2:20" ht="15" customHeight="1">
      <c r="B3281" s="1078" t="s">
        <v>3871</v>
      </c>
      <c r="C3281" s="935" t="s">
        <v>3556</v>
      </c>
      <c r="D3281" s="1396">
        <v>46221.828483796293</v>
      </c>
      <c r="E3281" s="1080">
        <v>-100.36</v>
      </c>
      <c r="F3281" s="654">
        <v>4.4999999999999998E-2</v>
      </c>
      <c r="G3281" s="1081">
        <f t="shared" si="83"/>
        <v>-100.36</v>
      </c>
      <c r="H3281" s="1081" t="s">
        <v>3253</v>
      </c>
      <c r="I3281" s="1082" t="s">
        <v>1555</v>
      </c>
      <c r="J3281" s="1081">
        <v>3.25</v>
      </c>
      <c r="K3281" s="1081">
        <v>299.99</v>
      </c>
      <c r="L3281" s="1079">
        <f>INT(base[[#This Row],[Data de liquidação]])</f>
        <v>46221</v>
      </c>
      <c r="M3281" s="1081">
        <f>base[[#This Row],[L/P Bruto]]-base[[#This Row],[L/P Líquido]]</f>
        <v>0</v>
      </c>
      <c r="N3281" s="1081">
        <f>base[[#This Row],[L/P Líquido]]/base[[#This Row],[Stake/Responsabilidade]]</f>
        <v>-0.3345444848161605</v>
      </c>
      <c r="O3281" s="1083">
        <f>IF(base[[#This Row],[L/P Líquido]]&gt;0,1,0)</f>
        <v>0</v>
      </c>
      <c r="P3281" s="1083"/>
      <c r="Q3281" s="1083" t="str">
        <f>LEFT(base[[#This Row],[Evento / Mercado]],FIND("vs",base[[#This Row],[Evento / Mercado]])-2)</f>
        <v>Atlético Goianiense</v>
      </c>
      <c r="R328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4" t="str">
        <f>LEFT(base[[#This Row],[Evento / Mercado]],FIND("/",base[[#This Row],[Evento / Mercado]])-2)</f>
        <v>Atlético Goianiense vs Athletic Club MG</v>
      </c>
      <c r="T3281" s="1420">
        <f>base[[#This Row],[Data de liquidação]]</f>
        <v>46221.828483796293</v>
      </c>
    </row>
    <row r="3282" spans="2:20" ht="15" customHeight="1">
      <c r="B3282" s="1078" t="s">
        <v>3870</v>
      </c>
      <c r="C3282" s="935" t="s">
        <v>3556</v>
      </c>
      <c r="D3282" s="1396">
        <v>46221.834363425929</v>
      </c>
      <c r="E3282" s="1080">
        <v>14.69</v>
      </c>
      <c r="F3282" s="654">
        <v>4.4999999999999998E-2</v>
      </c>
      <c r="G3282" s="1081">
        <f t="shared" si="83"/>
        <v>15.38219895287958</v>
      </c>
      <c r="H3282" s="1081" t="s">
        <v>3334</v>
      </c>
      <c r="I3282" s="1082" t="s">
        <v>627</v>
      </c>
      <c r="J3282" s="1081">
        <v>27</v>
      </c>
      <c r="K3282" s="1081">
        <v>399.88</v>
      </c>
      <c r="L3282" s="1079">
        <f>INT(base[[#This Row],[Data de liquidação]])</f>
        <v>46221</v>
      </c>
      <c r="M3282" s="1081">
        <f>base[[#This Row],[L/P Bruto]]-base[[#This Row],[L/P Líquido]]</f>
        <v>0.69219895287958089</v>
      </c>
      <c r="N3282" s="1081">
        <f>base[[#This Row],[L/P Líquido]]/base[[#This Row],[Stake/Responsabilidade]]</f>
        <v>3.6736020806241873E-2</v>
      </c>
      <c r="O3282" s="1083">
        <f>IF(base[[#This Row],[L/P Líquido]]&gt;0,1,0)</f>
        <v>1</v>
      </c>
      <c r="P3282" s="1083"/>
      <c r="Q3282" s="1083" t="str">
        <f>LEFT(base[[#This Row],[Evento / Mercado]],FIND("vs",base[[#This Row],[Evento / Mercado]])-2)</f>
        <v>France</v>
      </c>
      <c r="R328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4" t="str">
        <f>LEFT(base[[#This Row],[Evento / Mercado]],FIND("/",base[[#This Row],[Evento / Mercado]])-2)</f>
        <v>France vs England</v>
      </c>
      <c r="T3282" s="1420">
        <f>base[[#This Row],[Data de liquidação]]</f>
        <v>46221.834363425929</v>
      </c>
    </row>
    <row r="3283" spans="2:20" ht="15" customHeight="1">
      <c r="B3283" s="1078" t="s">
        <v>3869</v>
      </c>
      <c r="C3283" s="935" t="s">
        <v>3556</v>
      </c>
      <c r="D3283" s="1396">
        <v>46221.955034722225</v>
      </c>
      <c r="E3283" s="1080">
        <v>-22.48</v>
      </c>
      <c r="F3283" s="654">
        <v>4.4999999999999998E-2</v>
      </c>
      <c r="G3283" s="1081">
        <f t="shared" si="83"/>
        <v>-22.48</v>
      </c>
      <c r="H3283" s="1081" t="s">
        <v>1666</v>
      </c>
      <c r="I3283" s="1082" t="s">
        <v>1558</v>
      </c>
      <c r="J3283" s="1081">
        <v>7.67</v>
      </c>
      <c r="K3283" s="1081">
        <v>15</v>
      </c>
      <c r="L3283" s="1079">
        <f>INT(base[[#This Row],[Data de liquidação]])</f>
        <v>46221</v>
      </c>
      <c r="M3283" s="1081">
        <f>base[[#This Row],[L/P Bruto]]-base[[#This Row],[L/P Líquido]]</f>
        <v>0</v>
      </c>
      <c r="N3283" s="1081">
        <f>base[[#This Row],[L/P Líquido]]/base[[#This Row],[Stake/Responsabilidade]]</f>
        <v>-1.4986666666666666</v>
      </c>
      <c r="O3283" s="1083">
        <f>IF(base[[#This Row],[L/P Líquido]]&gt;0,1,0)</f>
        <v>0</v>
      </c>
      <c r="P3283" s="1083"/>
      <c r="Q3283" s="1083" t="str">
        <f>LEFT(base[[#This Row],[Evento / Mercado]],FIND("vs",base[[#This Row],[Evento / Mercado]])-2)</f>
        <v>Barcelona SC</v>
      </c>
      <c r="R328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4" t="str">
        <f>LEFT(base[[#This Row],[Evento / Mercado]],FIND("/",base[[#This Row],[Evento / Mercado]])-2)</f>
        <v>Barcelona SC vs Libertad FC</v>
      </c>
      <c r="T3283" s="1420">
        <f>base[[#This Row],[Data de liquidação]]</f>
        <v>46221.955034722225</v>
      </c>
    </row>
    <row r="3284" spans="2:20" ht="15" customHeight="1">
      <c r="B3284" s="1084" t="s">
        <v>3910</v>
      </c>
      <c r="C3284" s="935" t="s">
        <v>3556</v>
      </c>
      <c r="D3284" s="1397">
        <v>46222.396192129629</v>
      </c>
      <c r="E3284" s="1086">
        <v>286.52</v>
      </c>
      <c r="F3284" s="654">
        <v>4.4999999999999998E-2</v>
      </c>
      <c r="G3284" s="1087">
        <f t="shared" ref="G3284:G3312" si="84">IF(E3284&gt;0,E3284/(1-F3284),E3284)</f>
        <v>300.02094240837698</v>
      </c>
      <c r="H3284" s="1081" t="s">
        <v>3253</v>
      </c>
      <c r="I3284" s="1082" t="s">
        <v>3254</v>
      </c>
      <c r="J3284" s="1087">
        <v>7.8</v>
      </c>
      <c r="K3284" s="1087">
        <v>44.12</v>
      </c>
      <c r="L3284" s="1085">
        <f>INT(base[[#This Row],[Data de liquidação]])</f>
        <v>46222</v>
      </c>
      <c r="M3284" s="1087">
        <f>base[[#This Row],[L/P Bruto]]-base[[#This Row],[L/P Líquido]]</f>
        <v>13.500942408377</v>
      </c>
      <c r="N3284" s="1087">
        <f>base[[#This Row],[L/P Líquido]]/base[[#This Row],[Stake/Responsabilidade]]</f>
        <v>6.494106980961015</v>
      </c>
      <c r="O3284" s="1089">
        <f>IF(base[[#This Row],[L/P Líquido]]&gt;0,1,0)</f>
        <v>1</v>
      </c>
      <c r="P3284" s="1089"/>
      <c r="Q3284" s="1089" t="str">
        <f>LEFT(base[[#This Row],[Evento / Mercado]],FIND("vs",base[[#This Row],[Evento / Mercado]])-2)</f>
        <v>FC Anyang</v>
      </c>
      <c r="R328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4" t="str">
        <f>LEFT(base[[#This Row],[Evento / Mercado]],FIND("/",base[[#This Row],[Evento / Mercado]])-2)</f>
        <v>FC Anyang vs Gwangju FC</v>
      </c>
      <c r="T3284" s="1420">
        <f>base[[#This Row],[Data de liquidação]]</f>
        <v>46222.396192129629</v>
      </c>
    </row>
    <row r="3285" spans="2:20" ht="15" customHeight="1">
      <c r="B3285" s="1084" t="s">
        <v>3898</v>
      </c>
      <c r="C3285" s="1078" t="s">
        <v>3555</v>
      </c>
      <c r="D3285" s="1397">
        <v>46222.396296296298</v>
      </c>
      <c r="E3285" s="1086">
        <v>12.53</v>
      </c>
      <c r="F3285" s="654">
        <v>4.4999999999999998E-2</v>
      </c>
      <c r="G3285" s="1087">
        <f t="shared" si="84"/>
        <v>13.120418848167539</v>
      </c>
      <c r="H3285" s="1081" t="s">
        <v>3330</v>
      </c>
      <c r="I3285" s="1088" t="s">
        <v>3566</v>
      </c>
      <c r="J3285" s="1087">
        <v>6.8</v>
      </c>
      <c r="K3285" s="1087">
        <v>99.99</v>
      </c>
      <c r="L3285" s="1085">
        <f>INT(base[[#This Row],[Data de liquidação]])</f>
        <v>46222</v>
      </c>
      <c r="M3285" s="1087">
        <f>base[[#This Row],[L/P Bruto]]-base[[#This Row],[L/P Líquido]]</f>
        <v>0.59041884816753942</v>
      </c>
      <c r="N3285" s="1087">
        <f>base[[#This Row],[L/P Líquido]]/base[[#This Row],[Stake/Responsabilidade]]</f>
        <v>0.1253125312531253</v>
      </c>
      <c r="O3285" s="1089">
        <f>IF(base[[#This Row],[L/P Líquido]]&gt;0,1,0)</f>
        <v>1</v>
      </c>
      <c r="P3285" s="1089"/>
      <c r="Q3285" s="1089" t="str">
        <f>LEFT(base[[#This Row],[Evento / Mercado]],FIND("vs",base[[#This Row],[Evento / Mercado]])-2)</f>
        <v>FC Anyang</v>
      </c>
      <c r="R328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4" t="str">
        <f>LEFT(base[[#This Row],[Evento / Mercado]],FIND("/",base[[#This Row],[Evento / Mercado]])-2)</f>
        <v>FC Anyang vs Gwangju FC</v>
      </c>
      <c r="T3285" s="1420">
        <f>base[[#This Row],[Data de liquidação]]</f>
        <v>46222.396296296298</v>
      </c>
    </row>
    <row r="3286" spans="2:20" ht="15" customHeight="1">
      <c r="B3286" s="1084" t="s">
        <v>3898</v>
      </c>
      <c r="C3286" s="935" t="s">
        <v>3556</v>
      </c>
      <c r="D3286" s="1397">
        <v>46222.396296296298</v>
      </c>
      <c r="E3286" s="1086">
        <v>-300.05</v>
      </c>
      <c r="F3286" s="654">
        <v>4.4999999999999998E-2</v>
      </c>
      <c r="G3286" s="1087">
        <f t="shared" si="84"/>
        <v>-300.05</v>
      </c>
      <c r="H3286" s="1081" t="s">
        <v>3253</v>
      </c>
      <c r="I3286" s="1082" t="s">
        <v>1555</v>
      </c>
      <c r="J3286" s="1087">
        <v>3.9</v>
      </c>
      <c r="K3286" s="1087">
        <v>300.05</v>
      </c>
      <c r="L3286" s="1085">
        <f>INT(base[[#This Row],[Data de liquidação]])</f>
        <v>46222</v>
      </c>
      <c r="M3286" s="1087">
        <f>base[[#This Row],[L/P Bruto]]-base[[#This Row],[L/P Líquido]]</f>
        <v>0</v>
      </c>
      <c r="N3286" s="1087">
        <f>base[[#This Row],[L/P Líquido]]/base[[#This Row],[Stake/Responsabilidade]]</f>
        <v>-1</v>
      </c>
      <c r="O3286" s="1089">
        <f>IF(base[[#This Row],[L/P Líquido]]&gt;0,1,0)</f>
        <v>0</v>
      </c>
      <c r="P3286" s="1089"/>
      <c r="Q3286" s="1089" t="str">
        <f>LEFT(base[[#This Row],[Evento / Mercado]],FIND("vs",base[[#This Row],[Evento / Mercado]])-2)</f>
        <v>FC Anyang</v>
      </c>
      <c r="R328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4" t="str">
        <f>LEFT(base[[#This Row],[Evento / Mercado]],FIND("/",base[[#This Row],[Evento / Mercado]])-2)</f>
        <v>FC Anyang vs Gwangju FC</v>
      </c>
      <c r="T3286" s="1420">
        <f>base[[#This Row],[Data de liquidação]]</f>
        <v>46222.396296296298</v>
      </c>
    </row>
    <row r="3287" spans="2:20" ht="15" customHeight="1">
      <c r="B3287" s="1084" t="s">
        <v>3909</v>
      </c>
      <c r="C3287" s="935" t="s">
        <v>3556</v>
      </c>
      <c r="D3287" s="1397">
        <v>46222.409768518519</v>
      </c>
      <c r="E3287" s="1086">
        <v>-31.58</v>
      </c>
      <c r="F3287" s="654">
        <v>4.4999999999999998E-2</v>
      </c>
      <c r="G3287" s="1087">
        <f t="shared" si="84"/>
        <v>-31.58</v>
      </c>
      <c r="H3287" s="1081" t="s">
        <v>3253</v>
      </c>
      <c r="I3287" s="1082" t="s">
        <v>3254</v>
      </c>
      <c r="J3287" s="1087">
        <v>10.5</v>
      </c>
      <c r="K3287" s="1087">
        <v>31.58</v>
      </c>
      <c r="L3287" s="1085">
        <f>INT(base[[#This Row],[Data de liquidação]])</f>
        <v>46222</v>
      </c>
      <c r="M3287" s="1087">
        <f>base[[#This Row],[L/P Bruto]]-base[[#This Row],[L/P Líquido]]</f>
        <v>0</v>
      </c>
      <c r="N3287" s="1087">
        <f>base[[#This Row],[L/P Líquido]]/base[[#This Row],[Stake/Responsabilidade]]</f>
        <v>-1</v>
      </c>
      <c r="O3287" s="1089">
        <f>IF(base[[#This Row],[L/P Líquido]]&gt;0,1,0)</f>
        <v>0</v>
      </c>
      <c r="P3287" s="1089"/>
      <c r="Q3287" s="1089" t="str">
        <f>LEFT(base[[#This Row],[Evento / Mercado]],FIND("vs",base[[#This Row],[Evento / Mercado]])-2)</f>
        <v>IFK Norrköping</v>
      </c>
      <c r="R328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4" t="str">
        <f>LEFT(base[[#This Row],[Evento / Mercado]],FIND("/",base[[#This Row],[Evento / Mercado]])-2)</f>
        <v>IFK Norrköping vs Sandvikens IF</v>
      </c>
      <c r="T3287" s="1420">
        <f>base[[#This Row],[Data de liquidação]]</f>
        <v>46222.409768518519</v>
      </c>
    </row>
    <row r="3288" spans="2:20" ht="15" customHeight="1">
      <c r="B3288" s="1084" t="s">
        <v>3897</v>
      </c>
      <c r="C3288" s="1078" t="s">
        <v>3555</v>
      </c>
      <c r="D3288" s="1397">
        <v>46222.409895833334</v>
      </c>
      <c r="E3288" s="1086">
        <v>9.43</v>
      </c>
      <c r="F3288" s="654">
        <v>4.4999999999999998E-2</v>
      </c>
      <c r="G3288" s="1087">
        <f t="shared" si="84"/>
        <v>9.8743455497382193</v>
      </c>
      <c r="H3288" s="1081" t="s">
        <v>3330</v>
      </c>
      <c r="I3288" s="1088" t="s">
        <v>3566</v>
      </c>
      <c r="J3288" s="1087">
        <v>6.2</v>
      </c>
      <c r="K3288" s="1087">
        <v>100</v>
      </c>
      <c r="L3288" s="1085">
        <f>INT(base[[#This Row],[Data de liquidação]])</f>
        <v>46222</v>
      </c>
      <c r="M3288" s="1087">
        <f>base[[#This Row],[L/P Bruto]]-base[[#This Row],[L/P Líquido]]</f>
        <v>0.4443455497382196</v>
      </c>
      <c r="N3288" s="1087">
        <f>base[[#This Row],[L/P Líquido]]/base[[#This Row],[Stake/Responsabilidade]]</f>
        <v>9.4299999999999995E-2</v>
      </c>
      <c r="O3288" s="1089">
        <f>IF(base[[#This Row],[L/P Líquido]]&gt;0,1,0)</f>
        <v>1</v>
      </c>
      <c r="P3288" s="1089"/>
      <c r="Q3288" s="1089" t="str">
        <f>LEFT(base[[#This Row],[Evento / Mercado]],FIND("vs",base[[#This Row],[Evento / Mercado]])-2)</f>
        <v>IFK Norrköping</v>
      </c>
      <c r="R328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4" t="str">
        <f>LEFT(base[[#This Row],[Evento / Mercado]],FIND("/",base[[#This Row],[Evento / Mercado]])-2)</f>
        <v>IFK Norrköping vs Sandvikens IF</v>
      </c>
      <c r="T3288" s="1420">
        <f>base[[#This Row],[Data de liquidação]]</f>
        <v>46222.409895833334</v>
      </c>
    </row>
    <row r="3289" spans="2:20" ht="15" customHeight="1">
      <c r="B3289" s="1084" t="s">
        <v>3897</v>
      </c>
      <c r="C3289" s="935" t="s">
        <v>3556</v>
      </c>
      <c r="D3289" s="1397">
        <v>46222.409895833334</v>
      </c>
      <c r="E3289" s="1086">
        <v>46.93</v>
      </c>
      <c r="F3289" s="654">
        <v>4.4999999999999998E-2</v>
      </c>
      <c r="G3289" s="1087">
        <f t="shared" si="84"/>
        <v>49.141361256544506</v>
      </c>
      <c r="H3289" s="1081" t="s">
        <v>3253</v>
      </c>
      <c r="I3289" s="1082" t="s">
        <v>1555</v>
      </c>
      <c r="J3289" s="1087">
        <v>5</v>
      </c>
      <c r="K3289" s="1087">
        <v>300</v>
      </c>
      <c r="L3289" s="1085">
        <f>INT(base[[#This Row],[Data de liquidação]])</f>
        <v>46222</v>
      </c>
      <c r="M3289" s="1087">
        <f>base[[#This Row],[L/P Bruto]]-base[[#This Row],[L/P Líquido]]</f>
        <v>2.2113612565445067</v>
      </c>
      <c r="N3289" s="1087">
        <f>base[[#This Row],[L/P Líquido]]/base[[#This Row],[Stake/Responsabilidade]]</f>
        <v>0.15643333333333334</v>
      </c>
      <c r="O3289" s="1089">
        <f>IF(base[[#This Row],[L/P Líquido]]&gt;0,1,0)</f>
        <v>1</v>
      </c>
      <c r="P3289" s="1089"/>
      <c r="Q3289" s="1089" t="str">
        <f>LEFT(base[[#This Row],[Evento / Mercado]],FIND("vs",base[[#This Row],[Evento / Mercado]])-2)</f>
        <v>IFK Norrköping</v>
      </c>
      <c r="R328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4" t="str">
        <f>LEFT(base[[#This Row],[Evento / Mercado]],FIND("/",base[[#This Row],[Evento / Mercado]])-2)</f>
        <v>IFK Norrköping vs Sandvikens IF</v>
      </c>
      <c r="T3289" s="1420">
        <f>base[[#This Row],[Data de liquidação]]</f>
        <v>46222.409895833334</v>
      </c>
    </row>
    <row r="3290" spans="2:20" ht="15" customHeight="1">
      <c r="B3290" s="1084" t="s">
        <v>3908</v>
      </c>
      <c r="C3290" s="935" t="s">
        <v>3556</v>
      </c>
      <c r="D3290" s="1397">
        <v>46222.493414351855</v>
      </c>
      <c r="E3290" s="1086">
        <v>-50</v>
      </c>
      <c r="F3290" s="654">
        <v>4.4999999999999998E-2</v>
      </c>
      <c r="G3290" s="1087">
        <f t="shared" si="84"/>
        <v>-50</v>
      </c>
      <c r="H3290" s="1081" t="s">
        <v>3253</v>
      </c>
      <c r="I3290" s="1082" t="s">
        <v>3254</v>
      </c>
      <c r="J3290" s="1087">
        <v>7</v>
      </c>
      <c r="K3290" s="1087">
        <v>50</v>
      </c>
      <c r="L3290" s="1085">
        <f>INT(base[[#This Row],[Data de liquidação]])</f>
        <v>46222</v>
      </c>
      <c r="M3290" s="1087">
        <f>base[[#This Row],[L/P Bruto]]-base[[#This Row],[L/P Líquido]]</f>
        <v>0</v>
      </c>
      <c r="N3290" s="1087">
        <f>base[[#This Row],[L/P Líquido]]/base[[#This Row],[Stake/Responsabilidade]]</f>
        <v>-1</v>
      </c>
      <c r="O3290" s="1089">
        <f>IF(base[[#This Row],[L/P Líquido]]&gt;0,1,0)</f>
        <v>0</v>
      </c>
      <c r="P3290" s="1089"/>
      <c r="Q3290" s="1089" t="str">
        <f>LEFT(base[[#This Row],[Evento / Mercado]],FIND("vs",base[[#This Row],[Evento / Mercado]])-2)</f>
        <v>United IK Nordic</v>
      </c>
      <c r="R329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4" t="str">
        <f>LEFT(base[[#This Row],[Evento / Mercado]],FIND("/",base[[#This Row],[Evento / Mercado]])-2)</f>
        <v>United IK Nordic vs Örebro SK</v>
      </c>
      <c r="T3290" s="1420">
        <f>base[[#This Row],[Data de liquidação]]</f>
        <v>46222.493414351855</v>
      </c>
    </row>
    <row r="3291" spans="2:20" ht="15" customHeight="1">
      <c r="B3291" s="1084" t="s">
        <v>3907</v>
      </c>
      <c r="C3291" s="935" t="s">
        <v>3556</v>
      </c>
      <c r="D3291" s="1397">
        <v>46222.493634259263</v>
      </c>
      <c r="E3291" s="1086">
        <v>75.69</v>
      </c>
      <c r="F3291" s="654">
        <v>4.4999999999999998E-2</v>
      </c>
      <c r="G3291" s="1087">
        <f t="shared" si="84"/>
        <v>79.2565445026178</v>
      </c>
      <c r="H3291" s="1081" t="s">
        <v>3253</v>
      </c>
      <c r="I3291" s="1082" t="s">
        <v>1555</v>
      </c>
      <c r="J3291" s="1087">
        <v>3.6</v>
      </c>
      <c r="K3291" s="1087">
        <v>299.99</v>
      </c>
      <c r="L3291" s="1085">
        <f>INT(base[[#This Row],[Data de liquidação]])</f>
        <v>46222</v>
      </c>
      <c r="M3291" s="1087">
        <f>base[[#This Row],[L/P Bruto]]-base[[#This Row],[L/P Líquido]]</f>
        <v>3.566544502617802</v>
      </c>
      <c r="N3291" s="1087">
        <f>base[[#This Row],[L/P Líquido]]/base[[#This Row],[Stake/Responsabilidade]]</f>
        <v>0.25230841028034268</v>
      </c>
      <c r="O3291" s="1089">
        <f>IF(base[[#This Row],[L/P Líquido]]&gt;0,1,0)</f>
        <v>1</v>
      </c>
      <c r="P3291" s="1089"/>
      <c r="Q3291" s="1089" t="str">
        <f>LEFT(base[[#This Row],[Evento / Mercado]],FIND("vs",base[[#This Row],[Evento / Mercado]])-2)</f>
        <v>United IK Nordic</v>
      </c>
      <c r="R329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4" t="str">
        <f>LEFT(base[[#This Row],[Evento / Mercado]],FIND("/",base[[#This Row],[Evento / Mercado]])-2)</f>
        <v>United IK Nordic vs Örebro SK</v>
      </c>
      <c r="T3291" s="1420">
        <f>base[[#This Row],[Data de liquidação]]</f>
        <v>46222.493634259263</v>
      </c>
    </row>
    <row r="3292" spans="2:20" ht="15" customHeight="1">
      <c r="B3292" s="1084" t="s">
        <v>3906</v>
      </c>
      <c r="C3292" s="935" t="s">
        <v>3556</v>
      </c>
      <c r="D3292" s="1397">
        <v>46222.535937499997</v>
      </c>
      <c r="E3292" s="1086">
        <v>4.3499999999999996</v>
      </c>
      <c r="F3292" s="654">
        <v>4.4999999999999998E-2</v>
      </c>
      <c r="G3292" s="1087">
        <f t="shared" si="84"/>
        <v>4.5549738219895284</v>
      </c>
      <c r="H3292" s="1087" t="s">
        <v>1666</v>
      </c>
      <c r="I3292" s="1088" t="s">
        <v>2950</v>
      </c>
      <c r="J3292" s="1087">
        <v>12</v>
      </c>
      <c r="K3292" s="1087">
        <v>50.05</v>
      </c>
      <c r="L3292" s="1085">
        <f>INT(base[[#This Row],[Data de liquidação]])</f>
        <v>46222</v>
      </c>
      <c r="M3292" s="1087">
        <f>base[[#This Row],[L/P Bruto]]-base[[#This Row],[L/P Líquido]]</f>
        <v>0.20497382198952874</v>
      </c>
      <c r="N3292" s="1087">
        <f>base[[#This Row],[L/P Líquido]]/base[[#This Row],[Stake/Responsabilidade]]</f>
        <v>8.6913086913086912E-2</v>
      </c>
      <c r="O3292" s="1089">
        <f>IF(base[[#This Row],[L/P Líquido]]&gt;0,1,0)</f>
        <v>1</v>
      </c>
      <c r="P3292" s="1089"/>
      <c r="Q3292" s="1089" t="str">
        <f>LEFT(base[[#This Row],[Evento / Mercado]],FIND("vs",base[[#This Row],[Evento / Mercado]])-2)</f>
        <v>FC Kuressaare</v>
      </c>
      <c r="R329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4" t="str">
        <f>LEFT(base[[#This Row],[Evento / Mercado]],FIND("/",base[[#This Row],[Evento / Mercado]])-2)</f>
        <v>FC Kuressaare vs Nõmme Kalju FC</v>
      </c>
      <c r="T3292" s="1420">
        <f>base[[#This Row],[Data de liquidação]]</f>
        <v>46222.535937499997</v>
      </c>
    </row>
    <row r="3293" spans="2:20" ht="15" customHeight="1">
      <c r="B3293" s="1084" t="s">
        <v>3905</v>
      </c>
      <c r="C3293" s="935" t="s">
        <v>3556</v>
      </c>
      <c r="D3293" s="1397">
        <v>46222.539050925923</v>
      </c>
      <c r="E3293" s="1086">
        <v>-4.84</v>
      </c>
      <c r="F3293" s="654">
        <v>4.4999999999999998E-2</v>
      </c>
      <c r="G3293" s="1087">
        <f t="shared" si="84"/>
        <v>-4.84</v>
      </c>
      <c r="H3293" s="1087" t="s">
        <v>1666</v>
      </c>
      <c r="I3293" s="1088" t="s">
        <v>1558</v>
      </c>
      <c r="J3293" s="1087">
        <v>8.1999999999999993</v>
      </c>
      <c r="K3293" s="1087">
        <v>15</v>
      </c>
      <c r="L3293" s="1085">
        <f>INT(base[[#This Row],[Data de liquidação]])</f>
        <v>46222</v>
      </c>
      <c r="M3293" s="1087">
        <f>base[[#This Row],[L/P Bruto]]-base[[#This Row],[L/P Líquido]]</f>
        <v>0</v>
      </c>
      <c r="N3293" s="1087">
        <f>base[[#This Row],[L/P Líquido]]/base[[#This Row],[Stake/Responsabilidade]]</f>
        <v>-0.32266666666666666</v>
      </c>
      <c r="O3293" s="1089">
        <f>IF(base[[#This Row],[L/P Líquido]]&gt;0,1,0)</f>
        <v>0</v>
      </c>
      <c r="P3293" s="1089"/>
      <c r="Q3293" s="1089" t="str">
        <f>LEFT(base[[#This Row],[Evento / Mercado]],FIND("vs",base[[#This Row],[Evento / Mercado]])-2)</f>
        <v>Hammarby IF</v>
      </c>
      <c r="R329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4" t="str">
        <f>LEFT(base[[#This Row],[Evento / Mercado]],FIND("/",base[[#This Row],[Evento / Mercado]])-2)</f>
        <v>Hammarby IF vs Degerfors IF</v>
      </c>
      <c r="T3293" s="1420">
        <f>base[[#This Row],[Data de liquidação]]</f>
        <v>46222.539050925923</v>
      </c>
    </row>
    <row r="3294" spans="2:20" ht="15" customHeight="1">
      <c r="B3294" s="1084" t="s">
        <v>3904</v>
      </c>
      <c r="C3294" s="935" t="s">
        <v>3556</v>
      </c>
      <c r="D3294" s="1397">
        <v>46222.548761574071</v>
      </c>
      <c r="E3294" s="1086">
        <v>16.71</v>
      </c>
      <c r="F3294" s="654">
        <v>4.4999999999999998E-2</v>
      </c>
      <c r="G3294" s="1087">
        <f t="shared" si="84"/>
        <v>17.497382198952881</v>
      </c>
      <c r="H3294" s="1087" t="s">
        <v>3581</v>
      </c>
      <c r="I3294" s="1088" t="s">
        <v>75</v>
      </c>
      <c r="J3294" s="1087">
        <v>1.35</v>
      </c>
      <c r="K3294" s="1087">
        <v>50</v>
      </c>
      <c r="L3294" s="1085">
        <f>INT(base[[#This Row],[Data de liquidação]])</f>
        <v>46222</v>
      </c>
      <c r="M3294" s="1087">
        <f>base[[#This Row],[L/P Bruto]]-base[[#This Row],[L/P Líquido]]</f>
        <v>0.78738219895287997</v>
      </c>
      <c r="N3294" s="1087">
        <f>base[[#This Row],[L/P Líquido]]/base[[#This Row],[Stake/Responsabilidade]]</f>
        <v>0.3342</v>
      </c>
      <c r="O3294" s="1089">
        <f>IF(base[[#This Row],[L/P Líquido]]&gt;0,1,0)</f>
        <v>1</v>
      </c>
      <c r="P3294" s="1089"/>
      <c r="Q3294" s="1089" t="str">
        <f>LEFT(base[[#This Row],[Evento / Mercado]],FIND("vs",base[[#This Row],[Evento / Mercado]])-2)</f>
        <v>IF Elfsborg</v>
      </c>
      <c r="R329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4" t="str">
        <f>LEFT(base[[#This Row],[Evento / Mercado]],FIND("/",base[[#This Row],[Evento / Mercado]])-2)</f>
        <v>IF Elfsborg vs IK Sirius</v>
      </c>
      <c r="T3294" s="1420">
        <f>base[[#This Row],[Data de liquidação]]</f>
        <v>46222.548761574071</v>
      </c>
    </row>
    <row r="3295" spans="2:20" ht="15" customHeight="1">
      <c r="B3295" s="1084" t="s">
        <v>3892</v>
      </c>
      <c r="C3295" s="1084" t="s">
        <v>3554</v>
      </c>
      <c r="D3295" s="1397">
        <v>46222.554861111108</v>
      </c>
      <c r="E3295" s="1086">
        <v>3.95</v>
      </c>
      <c r="F3295" s="654">
        <v>4.4999999999999998E-2</v>
      </c>
      <c r="G3295" s="1087">
        <f t="shared" si="84"/>
        <v>4.1361256544502618</v>
      </c>
      <c r="H3295" s="1081" t="s">
        <v>3330</v>
      </c>
      <c r="I3295" s="1082" t="s">
        <v>3802</v>
      </c>
      <c r="J3295" s="1087">
        <v>16.5</v>
      </c>
      <c r="K3295" s="1087">
        <v>99.98</v>
      </c>
      <c r="L3295" s="1085">
        <f>INT(base[[#This Row],[Data de liquidação]])</f>
        <v>46222</v>
      </c>
      <c r="M3295" s="1087">
        <f>base[[#This Row],[L/P Bruto]]-base[[#This Row],[L/P Líquido]]</f>
        <v>0.18612565445026164</v>
      </c>
      <c r="N3295" s="1087">
        <f>base[[#This Row],[L/P Líquido]]/base[[#This Row],[Stake/Responsabilidade]]</f>
        <v>3.9507901580316064E-2</v>
      </c>
      <c r="O3295" s="1089">
        <f>IF(base[[#This Row],[L/P Líquido]]&gt;0,1,0)</f>
        <v>1</v>
      </c>
      <c r="P3295" s="1089"/>
      <c r="Q3295" s="1089" t="str">
        <f>LEFT(base[[#This Row],[Evento / Mercado]],FIND("vs",base[[#This Row],[Evento / Mercado]])-2)</f>
        <v>Hammarby IF</v>
      </c>
      <c r="R329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4" t="str">
        <f>LEFT(base[[#This Row],[Evento / Mercado]],FIND("/",base[[#This Row],[Evento / Mercado]])-2)</f>
        <v>Hammarby IF vs Degerfors IF</v>
      </c>
      <c r="T3295" s="1420">
        <f>base[[#This Row],[Data de liquidação]]</f>
        <v>46222.554861111108</v>
      </c>
    </row>
    <row r="3296" spans="2:20" ht="15" customHeight="1">
      <c r="B3296" s="1084" t="s">
        <v>3896</v>
      </c>
      <c r="C3296" s="1078" t="s">
        <v>3555</v>
      </c>
      <c r="D3296" s="1397">
        <v>46222.555219907408</v>
      </c>
      <c r="E3296" s="1086">
        <v>-20</v>
      </c>
      <c r="F3296" s="654">
        <v>4.4999999999999998E-2</v>
      </c>
      <c r="G3296" s="1087">
        <f t="shared" si="84"/>
        <v>-20</v>
      </c>
      <c r="H3296" s="938" t="s">
        <v>3253</v>
      </c>
      <c r="I3296" s="939" t="s">
        <v>3254</v>
      </c>
      <c r="J3296" s="1087">
        <v>16</v>
      </c>
      <c r="K3296" s="1087">
        <v>20</v>
      </c>
      <c r="L3296" s="1085">
        <f>INT(base[[#This Row],[Data de liquidação]])</f>
        <v>46222</v>
      </c>
      <c r="M3296" s="1087">
        <f>base[[#This Row],[L/P Bruto]]-base[[#This Row],[L/P Líquido]]</f>
        <v>0</v>
      </c>
      <c r="N3296" s="1087">
        <f>base[[#This Row],[L/P Líquido]]/base[[#This Row],[Stake/Responsabilidade]]</f>
        <v>-1</v>
      </c>
      <c r="O3296" s="1089">
        <f>IF(base[[#This Row],[L/P Líquido]]&gt;0,1,0)</f>
        <v>0</v>
      </c>
      <c r="P3296" s="1089"/>
      <c r="Q3296" s="1089" t="str">
        <f>LEFT(base[[#This Row],[Evento / Mercado]],FIND("vs",base[[#This Row],[Evento / Mercado]])-2)</f>
        <v>Hammarby IF</v>
      </c>
      <c r="R329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4" t="str">
        <f>LEFT(base[[#This Row],[Evento / Mercado]],FIND("/",base[[#This Row],[Evento / Mercado]])-2)</f>
        <v>Hammarby IF vs Degerfors IF</v>
      </c>
      <c r="T3296" s="1420">
        <f>base[[#This Row],[Data de liquidação]]</f>
        <v>46222.555219907408</v>
      </c>
    </row>
    <row r="3297" spans="2:22" ht="15" customHeight="1">
      <c r="B3297" s="1084" t="s">
        <v>3892</v>
      </c>
      <c r="C3297" s="1078" t="s">
        <v>3555</v>
      </c>
      <c r="D3297" s="1397">
        <v>46222.555324074077</v>
      </c>
      <c r="E3297" s="1086">
        <v>38.42</v>
      </c>
      <c r="F3297" s="654">
        <v>4.4999999999999998E-2</v>
      </c>
      <c r="G3297" s="1087">
        <f t="shared" si="84"/>
        <v>40.230366492146601</v>
      </c>
      <c r="H3297" s="938" t="s">
        <v>3253</v>
      </c>
      <c r="I3297" s="939" t="s">
        <v>1555</v>
      </c>
      <c r="J3297" s="1087">
        <v>7.8</v>
      </c>
      <c r="K3297" s="1087">
        <v>300.02</v>
      </c>
      <c r="L3297" s="1085">
        <f>INT(base[[#This Row],[Data de liquidação]])</f>
        <v>46222</v>
      </c>
      <c r="M3297" s="1087">
        <f>base[[#This Row],[L/P Bruto]]-base[[#This Row],[L/P Líquido]]</f>
        <v>1.8103664921465992</v>
      </c>
      <c r="N3297" s="1087">
        <f>base[[#This Row],[L/P Líquido]]/base[[#This Row],[Stake/Responsabilidade]]</f>
        <v>0.12805812945803616</v>
      </c>
      <c r="O3297" s="1089">
        <f>IF(base[[#This Row],[L/P Líquido]]&gt;0,1,0)</f>
        <v>1</v>
      </c>
      <c r="P3297" s="1089"/>
      <c r="Q3297" s="1089" t="str">
        <f>LEFT(base[[#This Row],[Evento / Mercado]],FIND("vs",base[[#This Row],[Evento / Mercado]])-2)</f>
        <v>Hammarby IF</v>
      </c>
      <c r="R329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4" t="str">
        <f>LEFT(base[[#This Row],[Evento / Mercado]],FIND("/",base[[#This Row],[Evento / Mercado]])-2)</f>
        <v>Hammarby IF vs Degerfors IF</v>
      </c>
      <c r="T3297" s="1420">
        <f>base[[#This Row],[Data de liquidação]]</f>
        <v>46222.555324074077</v>
      </c>
    </row>
    <row r="3298" spans="2:22" ht="15" customHeight="1">
      <c r="B3298" s="1084" t="s">
        <v>3892</v>
      </c>
      <c r="C3298" s="935" t="s">
        <v>3556</v>
      </c>
      <c r="D3298" s="1397">
        <v>46222.555324074077</v>
      </c>
      <c r="E3298" s="1086">
        <v>24.64</v>
      </c>
      <c r="F3298" s="654">
        <v>4.4999999999999998E-2</v>
      </c>
      <c r="G3298" s="1087">
        <f t="shared" si="84"/>
        <v>25.801047120418851</v>
      </c>
      <c r="H3298" s="1087" t="s">
        <v>179</v>
      </c>
      <c r="I3298" s="1088" t="s">
        <v>392</v>
      </c>
      <c r="J3298" s="1087">
        <v>16.5</v>
      </c>
      <c r="K3298" s="1087">
        <f>299.93+99.98</f>
        <v>399.91</v>
      </c>
      <c r="L3298" s="1085">
        <f>INT(base[[#This Row],[Data de liquidação]])</f>
        <v>46222</v>
      </c>
      <c r="M3298" s="1087">
        <f>base[[#This Row],[L/P Bruto]]-base[[#This Row],[L/P Líquido]]</f>
        <v>1.1610471204188499</v>
      </c>
      <c r="N3298" s="1087">
        <f>base[[#This Row],[L/P Líquido]]/base[[#This Row],[Stake/Responsabilidade]]</f>
        <v>6.161386311920182E-2</v>
      </c>
      <c r="O3298" s="1089">
        <f>IF(base[[#This Row],[L/P Líquido]]&gt;0,1,0)</f>
        <v>1</v>
      </c>
      <c r="P3298" s="1089"/>
      <c r="Q3298" s="1089" t="str">
        <f>LEFT(base[[#This Row],[Evento / Mercado]],FIND("vs",base[[#This Row],[Evento / Mercado]])-2)</f>
        <v>Hammarby IF</v>
      </c>
      <c r="R329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4" t="str">
        <f>LEFT(base[[#This Row],[Evento / Mercado]],FIND("/",base[[#This Row],[Evento / Mercado]])-2)</f>
        <v>Hammarby IF vs Degerfors IF</v>
      </c>
      <c r="T3298" s="1420">
        <f>base[[#This Row],[Data de liquidação]]</f>
        <v>46222.555324074077</v>
      </c>
    </row>
    <row r="3299" spans="2:22" ht="15" customHeight="1">
      <c r="B3299" s="1084" t="s">
        <v>3903</v>
      </c>
      <c r="C3299" s="935" t="s">
        <v>3556</v>
      </c>
      <c r="D3299" s="1397">
        <v>46222.556770833333</v>
      </c>
      <c r="E3299" s="1086">
        <v>30.81</v>
      </c>
      <c r="F3299" s="654">
        <v>4.4999999999999998E-2</v>
      </c>
      <c r="G3299" s="1087">
        <f t="shared" si="84"/>
        <v>32.261780104712045</v>
      </c>
      <c r="H3299" s="1087" t="s">
        <v>3271</v>
      </c>
      <c r="I3299" s="1088" t="s">
        <v>694</v>
      </c>
      <c r="J3299" s="1087">
        <v>16.5</v>
      </c>
      <c r="K3299" s="1087">
        <v>500.03</v>
      </c>
      <c r="L3299" s="1085">
        <f>INT(base[[#This Row],[Data de liquidação]])</f>
        <v>46222</v>
      </c>
      <c r="M3299" s="1087">
        <f>base[[#This Row],[L/P Bruto]]-base[[#This Row],[L/P Líquido]]</f>
        <v>1.4517801047120464</v>
      </c>
      <c r="N3299" s="1087">
        <f>base[[#This Row],[L/P Líquido]]/base[[#This Row],[Stake/Responsabilidade]]</f>
        <v>6.161630302181869E-2</v>
      </c>
      <c r="O3299" s="1089">
        <f>IF(base[[#This Row],[L/P Líquido]]&gt;0,1,0)</f>
        <v>1</v>
      </c>
      <c r="P3299" s="1089"/>
      <c r="Q3299" s="1089" t="str">
        <f>LEFT(base[[#This Row],[Evento / Mercado]],FIND("vs",base[[#This Row],[Evento / Mercado]])-2)</f>
        <v>IF Elfsborg</v>
      </c>
      <c r="R329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4" t="str">
        <f>LEFT(base[[#This Row],[Evento / Mercado]],FIND("/",base[[#This Row],[Evento / Mercado]])-2)</f>
        <v>IF Elfsborg vs IK Sirius</v>
      </c>
      <c r="T3299" s="1420">
        <f>base[[#This Row],[Data de liquidação]]</f>
        <v>46222.556770833333</v>
      </c>
    </row>
    <row r="3300" spans="2:22" ht="15" customHeight="1">
      <c r="B3300" s="1084" t="s">
        <v>3902</v>
      </c>
      <c r="C3300" s="935" t="s">
        <v>3556</v>
      </c>
      <c r="D3300" s="1397">
        <v>46222.581145833334</v>
      </c>
      <c r="E3300" s="1086">
        <v>37.369149999999998</v>
      </c>
      <c r="F3300" s="654">
        <v>4.4999999999999998E-2</v>
      </c>
      <c r="G3300" s="1087">
        <f t="shared" si="84"/>
        <v>39.130000000000003</v>
      </c>
      <c r="H3300" s="1081" t="s">
        <v>74</v>
      </c>
      <c r="I3300" s="1106" t="s">
        <v>693</v>
      </c>
      <c r="J3300" s="1087">
        <v>16.5</v>
      </c>
      <c r="K3300" s="1087">
        <v>528.27</v>
      </c>
      <c r="L3300" s="1085">
        <f>INT(base[[#This Row],[Data de liquidação]])</f>
        <v>46222</v>
      </c>
      <c r="M3300" s="1087">
        <f>base[[#This Row],[L/P Bruto]]-base[[#This Row],[L/P Líquido]]</f>
        <v>1.7608500000000049</v>
      </c>
      <c r="N3300" s="1087">
        <f>base[[#This Row],[L/P Líquido]]/base[[#This Row],[Stake/Responsabilidade]]</f>
        <v>7.0738732087758147E-2</v>
      </c>
      <c r="O3300" s="1089">
        <f>IF(base[[#This Row],[L/P Líquido]]&gt;0,1,0)</f>
        <v>1</v>
      </c>
      <c r="P3300" s="1089"/>
      <c r="Q3300" s="1089" t="str">
        <f>LEFT(base[[#This Row],[Evento / Mercado]],FIND("vs",base[[#This Row],[Evento / Mercado]])-2)</f>
        <v>CD Gualberto Villarroel</v>
      </c>
      <c r="R330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4" t="str">
        <f>LEFT(base[[#This Row],[Evento / Mercado]],FIND("/",base[[#This Row],[Evento / Mercado]])-2)</f>
        <v>CD Gualberto Villarroel vs The Strongest</v>
      </c>
      <c r="T3300" s="142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1084" t="s">
        <v>3902</v>
      </c>
      <c r="C3301" s="935" t="s">
        <v>3556</v>
      </c>
      <c r="D3301" s="1397">
        <v>46222.581145833334</v>
      </c>
      <c r="E3301" s="1086">
        <v>4.3452500000000001</v>
      </c>
      <c r="F3301" s="654">
        <v>4.4999999999999998E-2</v>
      </c>
      <c r="G3301" s="1087">
        <f t="shared" ref="G3301" si="86">IF(E3301&gt;0,E3301/(1-F3301),E3301)</f>
        <v>4.55</v>
      </c>
      <c r="H3301" s="1087" t="s">
        <v>1666</v>
      </c>
      <c r="I3301" s="1088" t="s">
        <v>2950</v>
      </c>
      <c r="J3301" s="1087">
        <v>12</v>
      </c>
      <c r="K3301" s="1087">
        <v>50.05</v>
      </c>
      <c r="L3301" s="1085">
        <f>INT(base[[#This Row],[Data de liquidação]])</f>
        <v>46222</v>
      </c>
      <c r="M3301" s="1087">
        <f>base[[#This Row],[L/P Bruto]]-base[[#This Row],[L/P Líquido]]</f>
        <v>0.20474999999999977</v>
      </c>
      <c r="N3301" s="1087">
        <f>base[[#This Row],[L/P Líquido]]/base[[#This Row],[Stake/Responsabilidade]]</f>
        <v>8.6818181818181822E-2</v>
      </c>
      <c r="O3301" s="1089">
        <f>IF(base[[#This Row],[L/P Líquido]]&gt;0,1,0)</f>
        <v>1</v>
      </c>
      <c r="P3301" s="1089"/>
      <c r="Q3301" s="1089" t="str">
        <f>LEFT(base[[#This Row],[Evento / Mercado]],FIND("vs",base[[#This Row],[Evento / Mercado]])-2)</f>
        <v>CD Gualberto Villarroel</v>
      </c>
      <c r="R330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4" t="str">
        <f>LEFT(base[[#This Row],[Evento / Mercado]],FIND("/",base[[#This Row],[Evento / Mercado]])-2)</f>
        <v>CD Gualberto Villarroel vs The Strongest</v>
      </c>
      <c r="T3301" s="142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1084" t="s">
        <v>3901</v>
      </c>
      <c r="C3302" s="935" t="s">
        <v>3556</v>
      </c>
      <c r="D3302" s="1397">
        <v>46222.620682870373</v>
      </c>
      <c r="E3302" s="1086">
        <v>4.45</v>
      </c>
      <c r="F3302" s="654">
        <v>4.4999999999999998E-2</v>
      </c>
      <c r="G3302" s="1087">
        <f t="shared" si="84"/>
        <v>4.6596858638743459</v>
      </c>
      <c r="H3302" s="1087" t="s">
        <v>3334</v>
      </c>
      <c r="I3302" s="1088" t="s">
        <v>627</v>
      </c>
      <c r="J3302" s="1087">
        <v>90</v>
      </c>
      <c r="K3302" s="1087">
        <v>414.74</v>
      </c>
      <c r="L3302" s="1085">
        <f>INT(base[[#This Row],[Data de liquidação]])</f>
        <v>46222</v>
      </c>
      <c r="M3302" s="1087">
        <f>base[[#This Row],[L/P Bruto]]-base[[#This Row],[L/P Líquido]]</f>
        <v>0.20968586387434573</v>
      </c>
      <c r="N3302" s="1087">
        <f>base[[#This Row],[L/P Líquido]]/base[[#This Row],[Stake/Responsabilidade]]</f>
        <v>1.0729613733905579E-2</v>
      </c>
      <c r="O3302" s="1089">
        <f>IF(base[[#This Row],[L/P Líquido]]&gt;0,1,0)</f>
        <v>1</v>
      </c>
      <c r="P3302" s="1089"/>
      <c r="Q3302" s="1089" t="str">
        <f>LEFT(base[[#This Row],[Evento / Mercado]],FIND("vs",base[[#This Row],[Evento / Mercado]])-2)</f>
        <v>KR Reykjavik</v>
      </c>
      <c r="R330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4" t="str">
        <f>LEFT(base[[#This Row],[Evento / Mercado]],FIND("/",base[[#This Row],[Evento / Mercado]])-2)</f>
        <v>KR Reykjavik vs Stjarnan</v>
      </c>
      <c r="T3302" s="1420">
        <f>base[[#This Row],[Data de liquidação]]</f>
        <v>46222.620682870373</v>
      </c>
    </row>
    <row r="3303" spans="2:22" ht="15" customHeight="1">
      <c r="B3303" s="1084" t="s">
        <v>3900</v>
      </c>
      <c r="C3303" s="935" t="s">
        <v>3556</v>
      </c>
      <c r="D3303" s="1397">
        <v>46222.636331018519</v>
      </c>
      <c r="E3303" s="1086">
        <v>7.46</v>
      </c>
      <c r="F3303" s="654">
        <v>4.4999999999999998E-2</v>
      </c>
      <c r="G3303" s="1087">
        <f t="shared" si="84"/>
        <v>7.8115183246073299</v>
      </c>
      <c r="H3303" s="1087" t="s">
        <v>1666</v>
      </c>
      <c r="I3303" s="1088" t="s">
        <v>2301</v>
      </c>
      <c r="J3303" s="1087">
        <v>1.52</v>
      </c>
      <c r="K3303" s="1087">
        <v>15</v>
      </c>
      <c r="L3303" s="1085">
        <f>INT(base[[#This Row],[Data de liquidação]])</f>
        <v>46222</v>
      </c>
      <c r="M3303" s="1087">
        <f>base[[#This Row],[L/P Bruto]]-base[[#This Row],[L/P Líquido]]</f>
        <v>0.3515183246073299</v>
      </c>
      <c r="N3303" s="1087">
        <f>base[[#This Row],[L/P Líquido]]/base[[#This Row],[Stake/Responsabilidade]]</f>
        <v>0.49733333333333335</v>
      </c>
      <c r="O3303" s="1089">
        <f>IF(base[[#This Row],[L/P Líquido]]&gt;0,1,0)</f>
        <v>1</v>
      </c>
      <c r="P3303" s="1089"/>
      <c r="Q3303" s="1089" t="str">
        <f>LEFT(base[[#This Row],[Evento / Mercado]],FIND("vs",base[[#This Row],[Evento / Mercado]])-2)</f>
        <v>Club Deportivo Técnico Universitario</v>
      </c>
      <c r="R330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4" t="str">
        <f>LEFT(base[[#This Row],[Evento / Mercado]],FIND("/",base[[#This Row],[Evento / Mercado]])-2)</f>
        <v>Club Deportivo Técnico Universitario vs Aucas</v>
      </c>
      <c r="T3303" s="1420">
        <f>base[[#This Row],[Data de liquidação]]</f>
        <v>46222.636331018519</v>
      </c>
    </row>
    <row r="3304" spans="2:22" ht="15" customHeight="1">
      <c r="B3304" s="1084" t="s">
        <v>3891</v>
      </c>
      <c r="C3304" s="1084" t="s">
        <v>3554</v>
      </c>
      <c r="D3304" s="1397">
        <v>46222.957638888889</v>
      </c>
      <c r="E3304" s="1086">
        <v>22.48</v>
      </c>
      <c r="F3304" s="654">
        <v>4.4999999999999998E-2</v>
      </c>
      <c r="G3304" s="1087">
        <f t="shared" si="84"/>
        <v>23.539267015706809</v>
      </c>
      <c r="H3304" s="1081" t="s">
        <v>3330</v>
      </c>
      <c r="I3304" s="1248" t="s">
        <v>4367</v>
      </c>
      <c r="J3304" s="1087">
        <f>(10+4.2)/2</f>
        <v>7.1</v>
      </c>
      <c r="K3304" s="1087">
        <v>199.99</v>
      </c>
      <c r="L3304" s="1085">
        <f>INT(base[[#This Row],[Data de liquidação]])</f>
        <v>46222</v>
      </c>
      <c r="M3304" s="1087">
        <f>base[[#This Row],[L/P Bruto]]-base[[#This Row],[L/P Líquido]]</f>
        <v>1.0592670157068085</v>
      </c>
      <c r="N3304" s="1087">
        <f>base[[#This Row],[L/P Líquido]]/base[[#This Row],[Stake/Responsabilidade]]</f>
        <v>0.11240562028101404</v>
      </c>
      <c r="O3304" s="1089">
        <f>IF(base[[#This Row],[L/P Líquido]]&gt;0,1,0)</f>
        <v>1</v>
      </c>
      <c r="P3304" s="1089"/>
      <c r="Q3304" s="1089" t="str">
        <f>LEFT(base[[#This Row],[Evento / Mercado]],FIND("vs",base[[#This Row],[Evento / Mercado]])-2)</f>
        <v>Alianza Lima</v>
      </c>
      <c r="R330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4" t="str">
        <f>LEFT(base[[#This Row],[Evento / Mercado]],FIND("/",base[[#This Row],[Evento / Mercado]])-2)</f>
        <v>Alianza Lima vs Sport Huancayo</v>
      </c>
      <c r="T3304" s="1420">
        <f>base[[#This Row],[Data de liquidação]]</f>
        <v>46222.957638888889</v>
      </c>
    </row>
    <row r="3305" spans="2:22" ht="15" customHeight="1">
      <c r="B3305" s="1084" t="s">
        <v>3891</v>
      </c>
      <c r="C3305" s="1078" t="s">
        <v>3555</v>
      </c>
      <c r="D3305" s="1397">
        <v>46222.957662037035</v>
      </c>
      <c r="E3305" s="1086">
        <v>35.049999999999997</v>
      </c>
      <c r="F3305" s="654">
        <v>4.4999999999999998E-2</v>
      </c>
      <c r="G3305" s="1087">
        <f t="shared" si="84"/>
        <v>36.701570680628272</v>
      </c>
      <c r="H3305" s="938" t="s">
        <v>3253</v>
      </c>
      <c r="I3305" s="939" t="s">
        <v>1555</v>
      </c>
      <c r="J3305" s="1087">
        <v>5.2</v>
      </c>
      <c r="K3305" s="1087">
        <v>300.01</v>
      </c>
      <c r="L3305" s="1085">
        <f>INT(base[[#This Row],[Data de liquidação]])</f>
        <v>46222</v>
      </c>
      <c r="M3305" s="1087">
        <f>base[[#This Row],[L/P Bruto]]-base[[#This Row],[L/P Líquido]]</f>
        <v>1.6515706806282751</v>
      </c>
      <c r="N3305" s="1087">
        <f>base[[#This Row],[L/P Líquido]]/base[[#This Row],[Stake/Responsabilidade]]</f>
        <v>0.11682943901869937</v>
      </c>
      <c r="O3305" s="1089">
        <f>IF(base[[#This Row],[L/P Líquido]]&gt;0,1,0)</f>
        <v>1</v>
      </c>
      <c r="P3305" s="1089"/>
      <c r="Q3305" s="1089" t="str">
        <f>LEFT(base[[#This Row],[Evento / Mercado]],FIND("vs",base[[#This Row],[Evento / Mercado]])-2)</f>
        <v>Alianza Lima</v>
      </c>
      <c r="R330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4" t="str">
        <f>LEFT(base[[#This Row],[Evento / Mercado]],FIND("/",base[[#This Row],[Evento / Mercado]])-2)</f>
        <v>Alianza Lima vs Sport Huancayo</v>
      </c>
      <c r="T3305" s="1420">
        <f>base[[#This Row],[Data de liquidação]]</f>
        <v>46222.957662037035</v>
      </c>
    </row>
    <row r="3306" spans="2:22" ht="15" customHeight="1">
      <c r="B3306" s="1084" t="s">
        <v>3891</v>
      </c>
      <c r="C3306" s="935" t="s">
        <v>3556</v>
      </c>
      <c r="D3306" s="1397">
        <v>46222.957662037035</v>
      </c>
      <c r="E3306" s="1086">
        <v>43.48</v>
      </c>
      <c r="F3306" s="654">
        <v>4.4999999999999998E-2</v>
      </c>
      <c r="G3306" s="1087">
        <f t="shared" si="84"/>
        <v>45.528795811518322</v>
      </c>
      <c r="H3306" s="1087" t="s">
        <v>179</v>
      </c>
      <c r="I3306" s="1088" t="s">
        <v>392</v>
      </c>
      <c r="J3306" s="1087">
        <f>(9.2*100.04+10*299.97)/base[[#This Row],[Stake/Responsabilidade]]</f>
        <v>9.7999250018749517</v>
      </c>
      <c r="K3306" s="1087">
        <f>100.04+299.97</f>
        <v>400.01000000000005</v>
      </c>
      <c r="L3306" s="1085">
        <f>INT(base[[#This Row],[Data de liquidação]])</f>
        <v>46222</v>
      </c>
      <c r="M3306" s="1087">
        <f>base[[#This Row],[L/P Bruto]]-base[[#This Row],[L/P Líquido]]</f>
        <v>2.0487958115183247</v>
      </c>
      <c r="N3306" s="1087">
        <f>base[[#This Row],[L/P Líquido]]/base[[#This Row],[Stake/Responsabilidade]]</f>
        <v>0.10869728256793577</v>
      </c>
      <c r="O3306" s="1089">
        <f>IF(base[[#This Row],[L/P Líquido]]&gt;0,1,0)</f>
        <v>1</v>
      </c>
      <c r="P3306" s="1089"/>
      <c r="Q3306" s="1089" t="str">
        <f>LEFT(base[[#This Row],[Evento / Mercado]],FIND("vs",base[[#This Row],[Evento / Mercado]])-2)</f>
        <v>Alianza Lima</v>
      </c>
      <c r="R330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4" t="str">
        <f>LEFT(base[[#This Row],[Evento / Mercado]],FIND("/",base[[#This Row],[Evento / Mercado]])-2)</f>
        <v>Alianza Lima vs Sport Huancayo</v>
      </c>
      <c r="T3306" s="1420">
        <f>base[[#This Row],[Data de liquidação]]</f>
        <v>46222.957662037035</v>
      </c>
    </row>
    <row r="3307" spans="2:22" ht="15" customHeight="1">
      <c r="B3307" s="1084" t="s">
        <v>3895</v>
      </c>
      <c r="C3307" s="1078" t="s">
        <v>3555</v>
      </c>
      <c r="D3307" s="1397">
        <v>46222.957719907405</v>
      </c>
      <c r="E3307" s="1086">
        <v>-31.58</v>
      </c>
      <c r="F3307" s="654">
        <v>4.4999999999999998E-2</v>
      </c>
      <c r="G3307" s="1087">
        <f t="shared" si="84"/>
        <v>-31.58</v>
      </c>
      <c r="H3307" s="938" t="s">
        <v>3253</v>
      </c>
      <c r="I3307" s="939" t="s">
        <v>3254</v>
      </c>
      <c r="J3307" s="1087">
        <v>10.5</v>
      </c>
      <c r="K3307" s="1087">
        <v>31.58</v>
      </c>
      <c r="L3307" s="1085">
        <f>INT(base[[#This Row],[Data de liquidação]])</f>
        <v>46222</v>
      </c>
      <c r="M3307" s="1087">
        <f>base[[#This Row],[L/P Bruto]]-base[[#This Row],[L/P Líquido]]</f>
        <v>0</v>
      </c>
      <c r="N3307" s="1087">
        <f>base[[#This Row],[L/P Líquido]]/base[[#This Row],[Stake/Responsabilidade]]</f>
        <v>-1</v>
      </c>
      <c r="O3307" s="1089">
        <f>IF(base[[#This Row],[L/P Líquido]]&gt;0,1,0)</f>
        <v>0</v>
      </c>
      <c r="P3307" s="1089"/>
      <c r="Q3307" s="1089" t="str">
        <f>LEFT(base[[#This Row],[Evento / Mercado]],FIND("vs",base[[#This Row],[Evento / Mercado]])-2)</f>
        <v>Alianza Lima</v>
      </c>
      <c r="R330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4" t="str">
        <f>LEFT(base[[#This Row],[Evento / Mercado]],FIND("/",base[[#This Row],[Evento / Mercado]])-2)</f>
        <v>Alianza Lima vs Sport Huancayo</v>
      </c>
      <c r="T3307" s="1420">
        <f>base[[#This Row],[Data de liquidação]]</f>
        <v>46222.957719907405</v>
      </c>
    </row>
    <row r="3308" spans="2:22" ht="15" customHeight="1">
      <c r="B3308" s="1084" t="s">
        <v>3895</v>
      </c>
      <c r="C3308" s="935" t="s">
        <v>3556</v>
      </c>
      <c r="D3308" s="1397">
        <v>46222.957719907405</v>
      </c>
      <c r="E3308" s="1086">
        <v>-11.8</v>
      </c>
      <c r="F3308" s="654">
        <v>4.4999999999999998E-2</v>
      </c>
      <c r="G3308" s="1087">
        <f t="shared" si="84"/>
        <v>-11.8</v>
      </c>
      <c r="H3308" s="1053" t="s">
        <v>3817</v>
      </c>
      <c r="I3308" s="1088"/>
      <c r="J3308" s="1087">
        <f>(24*70.03+28*48.06+27*82.06)/base[[#This Row],[Stake/Responsabilidade]]</f>
        <v>26.190457157132151</v>
      </c>
      <c r="K3308" s="1087">
        <f>82.06+48.06+70.03</f>
        <v>200.15</v>
      </c>
      <c r="L3308" s="1085">
        <f>INT(base[[#This Row],[Data de liquidação]])</f>
        <v>46222</v>
      </c>
      <c r="M3308" s="1087">
        <f>base[[#This Row],[L/P Bruto]]-base[[#This Row],[L/P Líquido]]</f>
        <v>0</v>
      </c>
      <c r="N3308" s="1087">
        <f>base[[#This Row],[L/P Líquido]]/base[[#This Row],[Stake/Responsabilidade]]</f>
        <v>-5.8955783162628034E-2</v>
      </c>
      <c r="O3308" s="1089">
        <f>IF(base[[#This Row],[L/P Líquido]]&gt;0,1,0)</f>
        <v>0</v>
      </c>
      <c r="P3308" s="1089"/>
      <c r="Q3308" s="1089" t="str">
        <f>LEFT(base[[#This Row],[Evento / Mercado]],FIND("vs",base[[#This Row],[Evento / Mercado]])-2)</f>
        <v>Alianza Lima</v>
      </c>
      <c r="R330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4" t="str">
        <f>LEFT(base[[#This Row],[Evento / Mercado]],FIND("/",base[[#This Row],[Evento / Mercado]])-2)</f>
        <v>Alianza Lima vs Sport Huancayo</v>
      </c>
      <c r="T3308" s="1420">
        <f>base[[#This Row],[Data de liquidação]]</f>
        <v>46222.957719907405</v>
      </c>
    </row>
    <row r="3309" spans="2:22" ht="15" customHeight="1">
      <c r="B3309" s="1084" t="s">
        <v>3894</v>
      </c>
      <c r="C3309" s="1078" t="s">
        <v>3555</v>
      </c>
      <c r="D3309" s="1397">
        <v>46222.975347222222</v>
      </c>
      <c r="E3309" s="1086">
        <v>-30</v>
      </c>
      <c r="F3309" s="654">
        <v>4.4999999999999998E-2</v>
      </c>
      <c r="G3309" s="1087">
        <f t="shared" si="84"/>
        <v>-30</v>
      </c>
      <c r="H3309" s="938" t="s">
        <v>3253</v>
      </c>
      <c r="I3309" s="939" t="s">
        <v>3254</v>
      </c>
      <c r="J3309" s="1087">
        <v>11</v>
      </c>
      <c r="K3309" s="1087">
        <v>30</v>
      </c>
      <c r="L3309" s="1085">
        <f>INT(base[[#This Row],[Data de liquidação]])</f>
        <v>46222</v>
      </c>
      <c r="M3309" s="1087">
        <f>base[[#This Row],[L/P Bruto]]-base[[#This Row],[L/P Líquido]]</f>
        <v>0</v>
      </c>
      <c r="N3309" s="1087">
        <f>base[[#This Row],[L/P Líquido]]/base[[#This Row],[Stake/Responsabilidade]]</f>
        <v>-1</v>
      </c>
      <c r="O3309" s="1089">
        <f>IF(base[[#This Row],[L/P Líquido]]&gt;0,1,0)</f>
        <v>0</v>
      </c>
      <c r="P3309" s="1089"/>
      <c r="Q3309" s="1089" t="str">
        <f>LEFT(base[[#This Row],[Evento / Mercado]],FIND("vs",base[[#This Row],[Evento / Mercado]])-2)</f>
        <v>Blooming Santa Cruz</v>
      </c>
      <c r="R330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4" t="str">
        <f>LEFT(base[[#This Row],[Evento / Mercado]],FIND("/",base[[#This Row],[Evento / Mercado]])-2)</f>
        <v>Blooming Santa Cruz vs Real Tomayapo</v>
      </c>
      <c r="T3309" s="1420">
        <f>base[[#This Row],[Data de liquidação]]</f>
        <v>46222.975347222222</v>
      </c>
    </row>
    <row r="3310" spans="2:22" ht="15" customHeight="1">
      <c r="B3310" s="1084" t="s">
        <v>3893</v>
      </c>
      <c r="C3310" s="1078" t="s">
        <v>3555</v>
      </c>
      <c r="D3310" s="1397">
        <v>46222.975682870368</v>
      </c>
      <c r="E3310" s="1086">
        <v>62.04</v>
      </c>
      <c r="F3310" s="654">
        <v>4.4999999999999998E-2</v>
      </c>
      <c r="G3310" s="1087">
        <f t="shared" si="84"/>
        <v>64.96335078534031</v>
      </c>
      <c r="H3310" s="938" t="s">
        <v>3253</v>
      </c>
      <c r="I3310" s="939" t="s">
        <v>1555</v>
      </c>
      <c r="J3310" s="1087">
        <v>5.7</v>
      </c>
      <c r="K3310" s="1087">
        <v>300</v>
      </c>
      <c r="L3310" s="1085">
        <f>INT(base[[#This Row],[Data de liquidação]])</f>
        <v>46222</v>
      </c>
      <c r="M3310" s="1087">
        <f>base[[#This Row],[L/P Bruto]]-base[[#This Row],[L/P Líquido]]</f>
        <v>2.9233507853403111</v>
      </c>
      <c r="N3310" s="1087">
        <f>base[[#This Row],[L/P Líquido]]/base[[#This Row],[Stake/Responsabilidade]]</f>
        <v>0.20679999999999998</v>
      </c>
      <c r="O3310" s="1089">
        <f>IF(base[[#This Row],[L/P Líquido]]&gt;0,1,0)</f>
        <v>1</v>
      </c>
      <c r="P3310" s="1089"/>
      <c r="Q3310" s="1089" t="str">
        <f>LEFT(base[[#This Row],[Evento / Mercado]],FIND("vs",base[[#This Row],[Evento / Mercado]])-2)</f>
        <v>Blooming Santa Cruz</v>
      </c>
      <c r="R331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4" t="str">
        <f>LEFT(base[[#This Row],[Evento / Mercado]],FIND("/",base[[#This Row],[Evento / Mercado]])-2)</f>
        <v>Blooming Santa Cruz vs Real Tomayapo</v>
      </c>
      <c r="T3310" s="1420">
        <f>base[[#This Row],[Data de liquidação]]</f>
        <v>46222.975682870368</v>
      </c>
    </row>
    <row r="3311" spans="2:22" ht="15" customHeight="1">
      <c r="B3311" s="1084" t="s">
        <v>3893</v>
      </c>
      <c r="C3311" s="935" t="s">
        <v>3556</v>
      </c>
      <c r="D3311" s="1397">
        <v>46222.975682870368</v>
      </c>
      <c r="E3311" s="1086">
        <v>6.82</v>
      </c>
      <c r="F3311" s="654">
        <v>4.4999999999999998E-2</v>
      </c>
      <c r="G3311" s="1087">
        <f t="shared" si="84"/>
        <v>7.1413612565445028</v>
      </c>
      <c r="H3311" s="1087" t="s">
        <v>3330</v>
      </c>
      <c r="I3311" s="1088" t="s">
        <v>3802</v>
      </c>
      <c r="J3311" s="1087">
        <v>9.4</v>
      </c>
      <c r="K3311" s="1087">
        <v>99.96</v>
      </c>
      <c r="L3311" s="1085">
        <f>INT(base[[#This Row],[Data de liquidação]])</f>
        <v>46222</v>
      </c>
      <c r="M3311" s="1087">
        <f>base[[#This Row],[L/P Bruto]]-base[[#This Row],[L/P Líquido]]</f>
        <v>0.32136125654450254</v>
      </c>
      <c r="N3311" s="1087">
        <f>base[[#This Row],[L/P Líquido]]/base[[#This Row],[Stake/Responsabilidade]]</f>
        <v>6.8227290916366548E-2</v>
      </c>
      <c r="O3311" s="1089">
        <f>IF(base[[#This Row],[L/P Líquido]]&gt;0,1,0)</f>
        <v>1</v>
      </c>
      <c r="P3311" s="1089"/>
      <c r="Q3311" s="1089" t="str">
        <f>LEFT(base[[#This Row],[Evento / Mercado]],FIND("vs",base[[#This Row],[Evento / Mercado]])-2)</f>
        <v>Blooming Santa Cruz</v>
      </c>
      <c r="R331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4" t="str">
        <f>LEFT(base[[#This Row],[Evento / Mercado]],FIND("/",base[[#This Row],[Evento / Mercado]])-2)</f>
        <v>Blooming Santa Cruz vs Real Tomayapo</v>
      </c>
      <c r="T3311" s="1420">
        <f>base[[#This Row],[Data de liquidação]]</f>
        <v>46222.975682870368</v>
      </c>
    </row>
    <row r="3312" spans="2:22" ht="15" customHeight="1">
      <c r="B3312" s="1084" t="s">
        <v>3899</v>
      </c>
      <c r="C3312" s="935" t="s">
        <v>3556</v>
      </c>
      <c r="D3312" s="1397">
        <v>46222.975717592592</v>
      </c>
      <c r="E3312" s="1086">
        <v>-11.96</v>
      </c>
      <c r="F3312" s="654">
        <v>4.4999999999999998E-2</v>
      </c>
      <c r="G3312" s="1087">
        <f t="shared" si="84"/>
        <v>-11.96</v>
      </c>
      <c r="H3312" s="1087" t="s">
        <v>1666</v>
      </c>
      <c r="I3312" s="1088" t="s">
        <v>1558</v>
      </c>
      <c r="J3312" s="1087">
        <v>10</v>
      </c>
      <c r="K3312" s="1087">
        <v>15</v>
      </c>
      <c r="L3312" s="1085">
        <f>INT(base[[#This Row],[Data de liquidação]])</f>
        <v>46222</v>
      </c>
      <c r="M3312" s="1087">
        <f>base[[#This Row],[L/P Bruto]]-base[[#This Row],[L/P Líquido]]</f>
        <v>0</v>
      </c>
      <c r="N3312" s="1087">
        <f>base[[#This Row],[L/P Líquido]]/base[[#This Row],[Stake/Responsabilidade]]</f>
        <v>-0.79733333333333334</v>
      </c>
      <c r="O3312" s="1089">
        <f>IF(base[[#This Row],[L/P Líquido]]&gt;0,1,0)</f>
        <v>0</v>
      </c>
      <c r="P3312" s="1089"/>
      <c r="Q3312" s="1089" t="str">
        <f>LEFT(base[[#This Row],[Evento / Mercado]],FIND("vs",base[[#This Row],[Evento / Mercado]])-2)</f>
        <v>Blooming Santa Cruz</v>
      </c>
      <c r="R331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4" t="str">
        <f>LEFT(base[[#This Row],[Evento / Mercado]],FIND("/",base[[#This Row],[Evento / Mercado]])-2)</f>
        <v>Blooming Santa Cruz vs Real Tomayapo</v>
      </c>
      <c r="T3312" s="1420">
        <f>base[[#This Row],[Data de liquidação]]</f>
        <v>46222.975717592592</v>
      </c>
    </row>
    <row r="3313" spans="2:22" ht="15" customHeight="1">
      <c r="B3313" s="1102" t="s">
        <v>3943</v>
      </c>
      <c r="C3313" s="935" t="s">
        <v>3556</v>
      </c>
      <c r="D3313" s="1398">
        <v>46223.574097222219</v>
      </c>
      <c r="E3313" s="1104">
        <v>7.38</v>
      </c>
      <c r="F3313" s="654">
        <v>4.4999999999999998E-2</v>
      </c>
      <c r="G3313" s="1105">
        <f t="shared" ref="G3313:G3319" si="87">IF(E3313&gt;0,E3313/(1-F3313),E3313)</f>
        <v>7.7277486910994764</v>
      </c>
      <c r="H3313" s="1087" t="s">
        <v>1666</v>
      </c>
      <c r="I3313" s="1088" t="s">
        <v>2301</v>
      </c>
      <c r="J3313" s="1105">
        <v>1.52</v>
      </c>
      <c r="K3313" s="1105">
        <v>15</v>
      </c>
      <c r="L3313" s="1103">
        <f>INT(base[[#This Row],[Data de liquidação]])</f>
        <v>46223</v>
      </c>
      <c r="M3313" s="1105">
        <f>base[[#This Row],[L/P Bruto]]-base[[#This Row],[L/P Líquido]]</f>
        <v>0.34774869109947648</v>
      </c>
      <c r="N3313" s="1105">
        <f>base[[#This Row],[L/P Líquido]]/base[[#This Row],[Stake/Responsabilidade]]</f>
        <v>0.49199999999999999</v>
      </c>
      <c r="O3313" s="1107">
        <f>IF(base[[#This Row],[L/P Líquido]]&gt;0,1,0)</f>
        <v>1</v>
      </c>
      <c r="P3313" s="1107"/>
      <c r="Q3313" s="1107" t="str">
        <f>LEFT(base[[#This Row],[Evento / Mercado]],FIND("vs",base[[#This Row],[Evento / Mercado]])-2)</f>
        <v>CS Hunedoara</v>
      </c>
      <c r="R33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4" t="str">
        <f>LEFT(base[[#This Row],[Evento / Mercado]],FIND("/",base[[#This Row],[Evento / Mercado]])-2)</f>
        <v>CS Hunedoara vs FC Csikszereda Miercurea Ciuc</v>
      </c>
      <c r="T3313" s="1420">
        <f>base[[#This Row],[Data de liquidação]]</f>
        <v>46223.574097222219</v>
      </c>
    </row>
    <row r="3314" spans="2:22" ht="15" customHeight="1">
      <c r="B3314" s="1102" t="s">
        <v>3942</v>
      </c>
      <c r="C3314" s="935" t="s">
        <v>3556</v>
      </c>
      <c r="D3314" s="1398">
        <v>46223.662060185183</v>
      </c>
      <c r="E3314" s="1104">
        <v>9.3303499999999993</v>
      </c>
      <c r="F3314" s="654">
        <v>4.4999999999999998E-2</v>
      </c>
      <c r="G3314" s="1105">
        <f t="shared" si="87"/>
        <v>9.77</v>
      </c>
      <c r="H3314" s="1105" t="s">
        <v>3334</v>
      </c>
      <c r="I3314" s="1106" t="s">
        <v>694</v>
      </c>
      <c r="J3314" s="1105">
        <v>44</v>
      </c>
      <c r="K3314" s="1105">
        <v>420.11</v>
      </c>
      <c r="L3314" s="1103">
        <f>INT(base[[#This Row],[Data de liquidação]])</f>
        <v>46223</v>
      </c>
      <c r="M3314" s="1105">
        <f>base[[#This Row],[L/P Bruto]]-base[[#This Row],[L/P Líquido]]</f>
        <v>0.43965000000000032</v>
      </c>
      <c r="N3314" s="1105">
        <f>base[[#This Row],[L/P Líquido]]/base[[#This Row],[Stake/Responsabilidade]]</f>
        <v>2.2209302325581392E-2</v>
      </c>
      <c r="O3314" s="1107">
        <f>IF(base[[#This Row],[L/P Líquido]]&gt;0,1,0)</f>
        <v>1</v>
      </c>
      <c r="P3314" s="1107"/>
      <c r="Q3314" s="1107" t="str">
        <f>LEFT(base[[#This Row],[Evento / Mercado]],FIND("vs",base[[#This Row],[Evento / Mercado]])-2)</f>
        <v>Örgryte IS</v>
      </c>
      <c r="R33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4" t="str">
        <f>LEFT(base[[#This Row],[Evento / Mercado]],FIND("/",base[[#This Row],[Evento / Mercado]])-2)</f>
        <v>Örgryte IS vs Djurgårdens IF</v>
      </c>
      <c r="T3314" s="142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102" t="s">
        <v>3942</v>
      </c>
      <c r="C3315" s="935" t="s">
        <v>3556</v>
      </c>
      <c r="D3315" s="1398">
        <v>46223.662060185183</v>
      </c>
      <c r="E3315" s="1104">
        <v>37.493299999999998</v>
      </c>
      <c r="F3315" s="654">
        <v>4.4999999999999998E-2</v>
      </c>
      <c r="G3315" s="1105">
        <f t="shared" ref="G3315" si="89">IF(E3315&gt;0,E3315/(1-F3315),E3315)</f>
        <v>39.26</v>
      </c>
      <c r="H3315" s="1105" t="s">
        <v>74</v>
      </c>
      <c r="I3315" s="1106" t="s">
        <v>693</v>
      </c>
      <c r="J3315" s="1105">
        <v>14.5</v>
      </c>
      <c r="K3315" s="1105">
        <v>530.01</v>
      </c>
      <c r="L3315" s="1103">
        <f>INT(base[[#This Row],[Data de liquidação]])</f>
        <v>46223</v>
      </c>
      <c r="M3315" s="1105">
        <f>base[[#This Row],[L/P Bruto]]-base[[#This Row],[L/P Líquido]]</f>
        <v>1.7667000000000002</v>
      </c>
      <c r="N3315" s="1105">
        <f>base[[#This Row],[L/P Líquido]]/base[[#This Row],[Stake/Responsabilidade]]</f>
        <v>7.0740740740740743E-2</v>
      </c>
      <c r="O3315" s="1107">
        <f>IF(base[[#This Row],[L/P Líquido]]&gt;0,1,0)</f>
        <v>1</v>
      </c>
      <c r="P3315" s="1107"/>
      <c r="Q3315" s="1107" t="str">
        <f>LEFT(base[[#This Row],[Evento / Mercado]],FIND("vs",base[[#This Row],[Evento / Mercado]])-2)</f>
        <v>Örgryte IS</v>
      </c>
      <c r="R33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4" t="str">
        <f>LEFT(base[[#This Row],[Evento / Mercado]],FIND("/",base[[#This Row],[Evento / Mercado]])-2)</f>
        <v>Örgryte IS vs Djurgårdens IF</v>
      </c>
      <c r="T3315" s="142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102" t="s">
        <v>3941</v>
      </c>
      <c r="C3316" s="935" t="s">
        <v>3556</v>
      </c>
      <c r="D3316" s="1398">
        <v>46223.662280092591</v>
      </c>
      <c r="E3316" s="1104">
        <v>-30</v>
      </c>
      <c r="F3316" s="654">
        <v>4.4999999999999998E-2</v>
      </c>
      <c r="G3316" s="1105">
        <f t="shared" si="87"/>
        <v>-30</v>
      </c>
      <c r="H3316" s="1105" t="s">
        <v>3581</v>
      </c>
      <c r="I3316" s="1106" t="s">
        <v>75</v>
      </c>
      <c r="J3316" s="1105">
        <v>1.76</v>
      </c>
      <c r="K3316" s="1105">
        <v>30</v>
      </c>
      <c r="L3316" s="1103">
        <f>INT(base[[#This Row],[Data de liquidação]])</f>
        <v>46223</v>
      </c>
      <c r="M3316" s="1105">
        <f>base[[#This Row],[L/P Bruto]]-base[[#This Row],[L/P Líquido]]</f>
        <v>0</v>
      </c>
      <c r="N3316" s="1105">
        <f>base[[#This Row],[L/P Líquido]]/base[[#This Row],[Stake/Responsabilidade]]</f>
        <v>-1</v>
      </c>
      <c r="O3316" s="1107">
        <f>IF(base[[#This Row],[L/P Líquido]]&gt;0,1,0)</f>
        <v>0</v>
      </c>
      <c r="P3316" s="1107"/>
      <c r="Q3316" s="1107" t="str">
        <f>LEFT(base[[#This Row],[Evento / Mercado]],FIND("vs",base[[#This Row],[Evento / Mercado]])-2)</f>
        <v>Örgryte IS</v>
      </c>
      <c r="R33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4" t="str">
        <f>LEFT(base[[#This Row],[Evento / Mercado]],FIND("/",base[[#This Row],[Evento / Mercado]])-2)</f>
        <v>Örgryte IS vs Djurgårdens IF</v>
      </c>
      <c r="T3316" s="1420">
        <f>base[[#This Row],[Data de liquidação]]</f>
        <v>46223.662280092591</v>
      </c>
    </row>
    <row r="3317" spans="2:22" ht="15" customHeight="1">
      <c r="B3317" s="1102" t="s">
        <v>3940</v>
      </c>
      <c r="C3317" s="935" t="s">
        <v>3556</v>
      </c>
      <c r="D3317" s="1398">
        <v>46223.701620370368</v>
      </c>
      <c r="E3317" s="1104">
        <v>14.33</v>
      </c>
      <c r="F3317" s="654">
        <v>4.4999999999999998E-2</v>
      </c>
      <c r="G3317" s="1105">
        <f t="shared" si="87"/>
        <v>15.005235602094242</v>
      </c>
      <c r="H3317" s="1105" t="s">
        <v>1666</v>
      </c>
      <c r="I3317" s="1106" t="s">
        <v>1558</v>
      </c>
      <c r="J3317" s="1105">
        <v>6.8</v>
      </c>
      <c r="K3317" s="1105">
        <v>15</v>
      </c>
      <c r="L3317" s="1103">
        <f>INT(base[[#This Row],[Data de liquidação]])</f>
        <v>46223</v>
      </c>
      <c r="M3317" s="1105">
        <f>base[[#This Row],[L/P Bruto]]-base[[#This Row],[L/P Líquido]]</f>
        <v>0.67523560209424183</v>
      </c>
      <c r="N3317" s="1105">
        <f>base[[#This Row],[L/P Líquido]]/base[[#This Row],[Stake/Responsabilidade]]</f>
        <v>0.95533333333333337</v>
      </c>
      <c r="O3317" s="1107">
        <f>IF(base[[#This Row],[L/P Líquido]]&gt;0,1,0)</f>
        <v>1</v>
      </c>
      <c r="P3317" s="1107"/>
      <c r="Q3317" s="1107" t="str">
        <f>LEFT(base[[#This Row],[Evento / Mercado]],FIND("vs",base[[#This Row],[Evento / Mercado]])-2)</f>
        <v>Mushuc Runa</v>
      </c>
      <c r="R3317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4" t="str">
        <f>LEFT(base[[#This Row],[Evento / Mercado]],FIND("/",base[[#This Row],[Evento / Mercado]])-2)</f>
        <v>Mushuc Runa vs Orense SC</v>
      </c>
      <c r="T3317" s="1420">
        <f>base[[#This Row],[Data de liquidação]]</f>
        <v>46223.701620370368</v>
      </c>
    </row>
    <row r="3318" spans="2:22" ht="15" customHeight="1">
      <c r="B3318" s="1102" t="s">
        <v>3939</v>
      </c>
      <c r="C3318" s="935" t="s">
        <v>3556</v>
      </c>
      <c r="D3318" s="1398">
        <v>46223.75472222222</v>
      </c>
      <c r="E3318" s="1104">
        <v>12.45</v>
      </c>
      <c r="F3318" s="654">
        <v>4.4999999999999998E-2</v>
      </c>
      <c r="G3318" s="1105">
        <f t="shared" si="87"/>
        <v>13.036649214659686</v>
      </c>
      <c r="H3318" s="1105" t="s">
        <v>74</v>
      </c>
      <c r="I3318" s="1106" t="s">
        <v>694</v>
      </c>
      <c r="J3318" s="1105">
        <v>24</v>
      </c>
      <c r="K3318" s="1105">
        <v>299.92</v>
      </c>
      <c r="L3318" s="1103">
        <f>INT(base[[#This Row],[Data de liquidação]])</f>
        <v>46223</v>
      </c>
      <c r="M3318" s="1105">
        <f>base[[#This Row],[L/P Bruto]]-base[[#This Row],[L/P Líquido]]</f>
        <v>0.58664921465968689</v>
      </c>
      <c r="N3318" s="1105">
        <f>base[[#This Row],[L/P Líquido]]/base[[#This Row],[Stake/Responsabilidade]]</f>
        <v>4.1511069618564947E-2</v>
      </c>
      <c r="O3318" s="1107">
        <f>IF(base[[#This Row],[L/P Líquido]]&gt;0,1,0)</f>
        <v>1</v>
      </c>
      <c r="P3318" s="1107"/>
      <c r="Q3318" s="1107" t="str">
        <f>LEFT(base[[#This Row],[Evento / Mercado]],FIND("vs",base[[#This Row],[Evento / Mercado]])-2)</f>
        <v>FH Hafnarfjördur</v>
      </c>
      <c r="R3318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4" t="str">
        <f>LEFT(base[[#This Row],[Evento / Mercado]],FIND("/",base[[#This Row],[Evento / Mercado]])-2)</f>
        <v>FH Hafnarfjördur vs Breidablik</v>
      </c>
      <c r="T3318" s="1420">
        <f>base[[#This Row],[Data de liquidação]]</f>
        <v>46223.75472222222</v>
      </c>
    </row>
    <row r="3319" spans="2:22" ht="15" customHeight="1">
      <c r="B3319" s="1102" t="s">
        <v>3938</v>
      </c>
      <c r="C3319" s="935" t="s">
        <v>3556</v>
      </c>
      <c r="D3319" s="1398">
        <v>46223.867372685185</v>
      </c>
      <c r="E3319" s="1104">
        <v>14.33</v>
      </c>
      <c r="F3319" s="654">
        <v>4.4999999999999998E-2</v>
      </c>
      <c r="G3319" s="1105">
        <f t="shared" si="87"/>
        <v>15.005235602094242</v>
      </c>
      <c r="H3319" s="1105" t="s">
        <v>1666</v>
      </c>
      <c r="I3319" s="1106" t="s">
        <v>1558</v>
      </c>
      <c r="J3319" s="1105">
        <v>14.5</v>
      </c>
      <c r="K3319" s="1105">
        <v>15</v>
      </c>
      <c r="L3319" s="1103">
        <f>INT(base[[#This Row],[Data de liquidação]])</f>
        <v>46223</v>
      </c>
      <c r="M3319" s="1105">
        <f>base[[#This Row],[L/P Bruto]]-base[[#This Row],[L/P Líquido]]</f>
        <v>0.67523560209424183</v>
      </c>
      <c r="N3319" s="1105">
        <f>base[[#This Row],[L/P Líquido]]/base[[#This Row],[Stake/Responsabilidade]]</f>
        <v>0.95533333333333337</v>
      </c>
      <c r="O3319" s="1107">
        <f>IF(base[[#This Row],[L/P Líquido]]&gt;0,1,0)</f>
        <v>1</v>
      </c>
      <c r="P3319" s="1107"/>
      <c r="Q3319" s="1107" t="str">
        <f>LEFT(base[[#This Row],[Evento / Mercado]],FIND("vs",base[[#This Row],[Evento / Mercado]])-2)</f>
        <v>Nacional Potosi</v>
      </c>
      <c r="R3319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4" t="str">
        <f>LEFT(base[[#This Row],[Evento / Mercado]],FIND("/",base[[#This Row],[Evento / Mercado]])-2)</f>
        <v>Nacional Potosi vs CDT Real Oruro</v>
      </c>
      <c r="T3319" s="1420">
        <f>base[[#This Row],[Data de liquidação]]</f>
        <v>46223.867372685185</v>
      </c>
    </row>
    <row r="3320" spans="2:22" ht="15" customHeight="1">
      <c r="B3320" s="1109" t="s">
        <v>3954</v>
      </c>
      <c r="C3320" s="935" t="s">
        <v>3556</v>
      </c>
      <c r="D3320" s="1399">
        <v>46224.61954861111</v>
      </c>
      <c r="E3320" s="1111">
        <v>9.74</v>
      </c>
      <c r="F3320" s="654">
        <v>4.4999999999999998E-2</v>
      </c>
      <c r="G3320" s="1112">
        <f t="shared" ref="G3320:G3333" si="90">IF(E3320&gt;0,E3320/(1-F3320),E3320)</f>
        <v>10.198952879581153</v>
      </c>
      <c r="H3320" s="1053" t="s">
        <v>3817</v>
      </c>
      <c r="I3320" s="1113"/>
      <c r="J3320" s="1112">
        <v>50</v>
      </c>
      <c r="K3320" s="1112">
        <v>499.8</v>
      </c>
      <c r="L3320" s="1110">
        <f>INT(base[[#This Row],[Data de liquidação]])</f>
        <v>46224</v>
      </c>
      <c r="M3320" s="1112">
        <f>base[[#This Row],[L/P Bruto]]-base[[#This Row],[L/P Líquido]]</f>
        <v>0.45895287958115283</v>
      </c>
      <c r="N3320" s="1112">
        <f>base[[#This Row],[L/P Líquido]]/base[[#This Row],[Stake/Responsabilidade]]</f>
        <v>1.948779511804722E-2</v>
      </c>
      <c r="O3320" s="1114">
        <f>IF(base[[#This Row],[L/P Líquido]]&gt;0,1,0)</f>
        <v>1</v>
      </c>
      <c r="P3320" s="1114"/>
      <c r="Q3320" s="1114" t="str">
        <f>LEFT(base[[#This Row],[Evento / Mercado]],FIND("vs",base[[#This Row],[Evento / Mercado]])-2)</f>
        <v>Mjällby AIF</v>
      </c>
      <c r="R332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4" t="str">
        <f>LEFT(base[[#This Row],[Evento / Mercado]],FIND("/",base[[#This Row],[Evento / Mercado]])-2)</f>
        <v>Mjällby AIF vs Lincoln Red Imps FC</v>
      </c>
      <c r="T3320" s="1420">
        <f>base[[#This Row],[Data de liquidação]]</f>
        <v>46224.61954861111</v>
      </c>
    </row>
    <row r="3321" spans="2:22" ht="15" customHeight="1">
      <c r="B3321" s="1109" t="s">
        <v>3953</v>
      </c>
      <c r="C3321" s="935" t="s">
        <v>3556</v>
      </c>
      <c r="D3321" s="1399">
        <v>46224.661597222221</v>
      </c>
      <c r="E3321" s="1111">
        <v>-100</v>
      </c>
      <c r="F3321" s="654">
        <v>4.4999999999999998E-2</v>
      </c>
      <c r="G3321" s="1112">
        <f t="shared" si="90"/>
        <v>-100</v>
      </c>
      <c r="H3321" s="1112" t="s">
        <v>3333</v>
      </c>
      <c r="I3321" s="1113" t="s">
        <v>3388</v>
      </c>
      <c r="J3321" s="1112">
        <f>(1.81*25+2.2*25+2.96*50)/100</f>
        <v>2.4824999999999999</v>
      </c>
      <c r="K3321" s="1112">
        <v>100</v>
      </c>
      <c r="L3321" s="1110">
        <f>INT(base[[#This Row],[Data de liquidação]])</f>
        <v>46224</v>
      </c>
      <c r="M3321" s="1112">
        <f>base[[#This Row],[L/P Bruto]]-base[[#This Row],[L/P Líquido]]</f>
        <v>0</v>
      </c>
      <c r="N3321" s="1112">
        <f>base[[#This Row],[L/P Líquido]]/base[[#This Row],[Stake/Responsabilidade]]</f>
        <v>-1</v>
      </c>
      <c r="O3321" s="1114">
        <f>IF(base[[#This Row],[L/P Líquido]]&gt;0,1,0)</f>
        <v>0</v>
      </c>
      <c r="P3321" s="1114"/>
      <c r="Q3321" s="1114" t="str">
        <f>LEFT(base[[#This Row],[Evento / Mercado]],FIND("vs",base[[#This Row],[Evento / Mercado]])-2)</f>
        <v>IFK Göteborg</v>
      </c>
      <c r="R332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4" t="str">
        <f>LEFT(base[[#This Row],[Evento / Mercado]],FIND("/",base[[#This Row],[Evento / Mercado]])-2)</f>
        <v>IFK Göteborg vs Tallinna FC Levadia</v>
      </c>
      <c r="T3321" s="1420">
        <f>base[[#This Row],[Data de liquidação]]</f>
        <v>46224.661597222221</v>
      </c>
    </row>
    <row r="3322" spans="2:22" ht="15" customHeight="1">
      <c r="B3322" s="1109" t="s">
        <v>3952</v>
      </c>
      <c r="C3322" s="935" t="s">
        <v>3556</v>
      </c>
      <c r="D3322" s="1399">
        <v>46224.661608796298</v>
      </c>
      <c r="E3322" s="1111">
        <v>-30</v>
      </c>
      <c r="F3322" s="654">
        <v>4.4999999999999998E-2</v>
      </c>
      <c r="G3322" s="1112">
        <f t="shared" si="90"/>
        <v>-30</v>
      </c>
      <c r="H3322" s="1112" t="s">
        <v>1666</v>
      </c>
      <c r="I3322" s="1113" t="s">
        <v>1777</v>
      </c>
      <c r="J3322" s="1112">
        <v>2.4</v>
      </c>
      <c r="K3322" s="1112">
        <v>30</v>
      </c>
      <c r="L3322" s="1110">
        <f>INT(base[[#This Row],[Data de liquidação]])</f>
        <v>46224</v>
      </c>
      <c r="M3322" s="1112">
        <f>base[[#This Row],[L/P Bruto]]-base[[#This Row],[L/P Líquido]]</f>
        <v>0</v>
      </c>
      <c r="N3322" s="1112">
        <f>base[[#This Row],[L/P Líquido]]/base[[#This Row],[Stake/Responsabilidade]]</f>
        <v>-1</v>
      </c>
      <c r="O3322" s="1114">
        <f>IF(base[[#This Row],[L/P Líquido]]&gt;0,1,0)</f>
        <v>0</v>
      </c>
      <c r="P3322" s="1114"/>
      <c r="Q3322" s="1114" t="str">
        <f>LEFT(base[[#This Row],[Evento / Mercado]],FIND("vs",base[[#This Row],[Evento / Mercado]])-2)</f>
        <v>IFK Göteborg</v>
      </c>
      <c r="R332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4" t="str">
        <f>LEFT(base[[#This Row],[Evento / Mercado]],FIND("/",base[[#This Row],[Evento / Mercado]])-2)</f>
        <v>IFK Göteborg vs Tallinna FC Levadia</v>
      </c>
      <c r="T3322" s="1420">
        <f>base[[#This Row],[Data de liquidação]]</f>
        <v>46224.661608796298</v>
      </c>
    </row>
    <row r="3323" spans="2:22" ht="15" customHeight="1">
      <c r="B3323" s="1109" t="s">
        <v>3951</v>
      </c>
      <c r="C3323" s="935" t="s">
        <v>3556</v>
      </c>
      <c r="D3323" s="1399">
        <v>46224.694236111114</v>
      </c>
      <c r="E3323" s="1111">
        <v>14.33</v>
      </c>
      <c r="F3323" s="654">
        <v>4.4999999999999998E-2</v>
      </c>
      <c r="G3323" s="1112">
        <f t="shared" si="90"/>
        <v>15.005235602094242</v>
      </c>
      <c r="H3323" s="1112" t="s">
        <v>1666</v>
      </c>
      <c r="I3323" s="1113" t="s">
        <v>1558</v>
      </c>
      <c r="J3323" s="1112">
        <v>9.1999999999999993</v>
      </c>
      <c r="K3323" s="1112">
        <v>15</v>
      </c>
      <c r="L3323" s="1110">
        <f>INT(base[[#This Row],[Data de liquidação]])</f>
        <v>46224</v>
      </c>
      <c r="M3323" s="1112">
        <f>base[[#This Row],[L/P Bruto]]-base[[#This Row],[L/P Líquido]]</f>
        <v>0.67523560209424183</v>
      </c>
      <c r="N3323" s="1112">
        <f>base[[#This Row],[L/P Líquido]]/base[[#This Row],[Stake/Responsabilidade]]</f>
        <v>0.95533333333333337</v>
      </c>
      <c r="O3323" s="1114">
        <f>IF(base[[#This Row],[L/P Líquido]]&gt;0,1,0)</f>
        <v>1</v>
      </c>
      <c r="P3323" s="1114"/>
      <c r="Q3323" s="1114" t="str">
        <f>LEFT(base[[#This Row],[Evento / Mercado]],FIND("vs",base[[#This Row],[Evento / Mercado]])-2)</f>
        <v>SK Puntigamer Sturm Graz</v>
      </c>
      <c r="R332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4" t="str">
        <f>LEFT(base[[#This Row],[Evento / Mercado]],FIND("/",base[[#This Row],[Evento / Mercado]])-2)</f>
        <v>SK Puntigamer Sturm Graz vs Hearts</v>
      </c>
      <c r="T3323" s="1420">
        <f>base[[#This Row],[Data de liquidação]]</f>
        <v>46224.694236111114</v>
      </c>
    </row>
    <row r="3324" spans="2:22" ht="15" customHeight="1">
      <c r="B3324" s="1109" t="s">
        <v>3950</v>
      </c>
      <c r="C3324" s="935" t="s">
        <v>3556</v>
      </c>
      <c r="D3324" s="1399">
        <v>46224.697766203702</v>
      </c>
      <c r="E3324" s="1111">
        <v>-11.95</v>
      </c>
      <c r="F3324" s="654">
        <v>4.4999999999999998E-2</v>
      </c>
      <c r="G3324" s="1112">
        <f t="shared" si="90"/>
        <v>-11.95</v>
      </c>
      <c r="H3324" s="1112" t="s">
        <v>1666</v>
      </c>
      <c r="I3324" s="1113" t="s">
        <v>1558</v>
      </c>
      <c r="J3324" s="1112">
        <v>11.5</v>
      </c>
      <c r="K3324" s="1112">
        <v>15</v>
      </c>
      <c r="L3324" s="1110">
        <f>INT(base[[#This Row],[Data de liquidação]])</f>
        <v>46224</v>
      </c>
      <c r="M3324" s="1112">
        <f>base[[#This Row],[L/P Bruto]]-base[[#This Row],[L/P Líquido]]</f>
        <v>0</v>
      </c>
      <c r="N3324" s="1112">
        <f>base[[#This Row],[L/P Líquido]]/base[[#This Row],[Stake/Responsabilidade]]</f>
        <v>-0.79666666666666663</v>
      </c>
      <c r="O3324" s="1114">
        <f>IF(base[[#This Row],[L/P Líquido]]&gt;0,1,0)</f>
        <v>0</v>
      </c>
      <c r="P3324" s="1114"/>
      <c r="Q3324" s="1114" t="str">
        <f>LEFT(base[[#This Row],[Evento / Mercado]],FIND("vs",base[[#This Row],[Evento / Mercado]])-2)</f>
        <v>FC Thun</v>
      </c>
      <c r="R3324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4" t="str">
        <f>LEFT(base[[#This Row],[Evento / Mercado]],FIND("/",base[[#This Row],[Evento / Mercado]])-2)</f>
        <v>FC Thun vs Dinamo Zagreb</v>
      </c>
      <c r="T3324" s="1420">
        <f>base[[#This Row],[Data de liquidação]]</f>
        <v>46224.697766203702</v>
      </c>
    </row>
    <row r="3325" spans="2:22" ht="15" customHeight="1">
      <c r="B3325" s="1109" t="s">
        <v>3949</v>
      </c>
      <c r="C3325" s="935" t="s">
        <v>3556</v>
      </c>
      <c r="D3325" s="1399">
        <v>46224.703136574077</v>
      </c>
      <c r="E3325" s="1111">
        <v>-5.25</v>
      </c>
      <c r="F3325" s="654">
        <v>4.4999999999999998E-2</v>
      </c>
      <c r="G3325" s="1112">
        <f t="shared" si="90"/>
        <v>-5.25</v>
      </c>
      <c r="H3325" s="1112" t="s">
        <v>1666</v>
      </c>
      <c r="I3325" s="1113" t="s">
        <v>1558</v>
      </c>
      <c r="J3325" s="1112">
        <v>7.67</v>
      </c>
      <c r="K3325" s="1112">
        <v>15</v>
      </c>
      <c r="L3325" s="1110">
        <f>INT(base[[#This Row],[Data de liquidação]])</f>
        <v>46224</v>
      </c>
      <c r="M3325" s="1112">
        <f>base[[#This Row],[L/P Bruto]]-base[[#This Row],[L/P Líquido]]</f>
        <v>0</v>
      </c>
      <c r="N3325" s="1112">
        <f>base[[#This Row],[L/P Líquido]]/base[[#This Row],[Stake/Responsabilidade]]</f>
        <v>-0.35</v>
      </c>
      <c r="O3325" s="1114">
        <f>IF(base[[#This Row],[L/P Líquido]]&gt;0,1,0)</f>
        <v>0</v>
      </c>
      <c r="P3325" s="1114"/>
      <c r="Q3325" s="1114" t="str">
        <f>LEFT(base[[#This Row],[Evento / Mercado]],FIND("vs",base[[#This Row],[Evento / Mercado]])-2)</f>
        <v>Fenerbahçe SK</v>
      </c>
      <c r="R3325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4" t="str">
        <f>LEFT(base[[#This Row],[Evento / Mercado]],FIND("/",base[[#This Row],[Evento / Mercado]])-2)</f>
        <v>Fenerbahçe SK vs Górnik Zabrze</v>
      </c>
      <c r="T3325" s="1420">
        <f>base[[#This Row],[Data de liquidação]]</f>
        <v>46224.703136574077</v>
      </c>
    </row>
    <row r="3326" spans="2:22" ht="15" customHeight="1">
      <c r="B3326" s="1109" t="s">
        <v>3948</v>
      </c>
      <c r="C3326" s="935" t="s">
        <v>3556</v>
      </c>
      <c r="D3326" s="1399">
        <v>46224.868101851855</v>
      </c>
      <c r="E3326" s="1111">
        <v>3.87</v>
      </c>
      <c r="F3326" s="654">
        <v>4.4999999999999998E-2</v>
      </c>
      <c r="G3326" s="1112">
        <f t="shared" si="90"/>
        <v>4.0523560209424083</v>
      </c>
      <c r="H3326" s="1112" t="s">
        <v>1666</v>
      </c>
      <c r="I3326" s="1113" t="s">
        <v>2883</v>
      </c>
      <c r="J3326" s="1112">
        <v>1.81</v>
      </c>
      <c r="K3326" s="1112">
        <v>5</v>
      </c>
      <c r="L3326" s="1110">
        <f>INT(base[[#This Row],[Data de liquidação]])</f>
        <v>46224</v>
      </c>
      <c r="M3326" s="1112">
        <f>base[[#This Row],[L/P Bruto]]-base[[#This Row],[L/P Líquido]]</f>
        <v>0.18235602094240821</v>
      </c>
      <c r="N3326" s="1112">
        <f>base[[#This Row],[L/P Líquido]]/base[[#This Row],[Stake/Responsabilidade]]</f>
        <v>0.77400000000000002</v>
      </c>
      <c r="O3326" s="1114">
        <f>IF(base[[#This Row],[L/P Líquido]]&gt;0,1,0)</f>
        <v>1</v>
      </c>
      <c r="P3326" s="1114"/>
      <c r="Q3326" s="1114" t="str">
        <f>LEFT(base[[#This Row],[Evento / Mercado]],FIND("vs",base[[#This Row],[Evento / Mercado]])-2)</f>
        <v>Atlético Mineiro</v>
      </c>
      <c r="R3326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4" t="str">
        <f>LEFT(base[[#This Row],[Evento / Mercado]],FIND("/",base[[#This Row],[Evento / Mercado]])-2)</f>
        <v>Atlético Mineiro vs Esporte Clube Bahia</v>
      </c>
      <c r="T3326" s="1420">
        <f>base[[#This Row],[Data de liquidação]]</f>
        <v>46224.868101851855</v>
      </c>
    </row>
    <row r="3327" spans="2:22" ht="15" customHeight="1">
      <c r="B3327" s="1109" t="s">
        <v>3947</v>
      </c>
      <c r="C3327" s="935" t="s">
        <v>3556</v>
      </c>
      <c r="D3327" s="1399">
        <v>46224.885937500003</v>
      </c>
      <c r="E3327" s="1111">
        <v>7.3057499999999997</v>
      </c>
      <c r="F3327" s="654">
        <v>4.4999999999999998E-2</v>
      </c>
      <c r="G3327" s="1112">
        <f t="shared" si="90"/>
        <v>7.65</v>
      </c>
      <c r="H3327" s="1112" t="s">
        <v>1666</v>
      </c>
      <c r="I3327" s="1113" t="s">
        <v>2301</v>
      </c>
      <c r="J3327" s="1112">
        <v>1.51</v>
      </c>
      <c r="K3327" s="1112">
        <v>15</v>
      </c>
      <c r="L3327" s="1110">
        <f>INT(base[[#This Row],[Data de liquidação]])</f>
        <v>46224</v>
      </c>
      <c r="M3327" s="1112">
        <f>base[[#This Row],[L/P Bruto]]-base[[#This Row],[L/P Líquido]]</f>
        <v>0.34425000000000061</v>
      </c>
      <c r="N3327" s="1112">
        <f>base[[#This Row],[L/P Líquido]]/base[[#This Row],[Stake/Responsabilidade]]</f>
        <v>0.48704999999999998</v>
      </c>
      <c r="O3327" s="1114">
        <f>IF(base[[#This Row],[L/P Líquido]]&gt;0,1,0)</f>
        <v>1</v>
      </c>
      <c r="P3327" s="1114"/>
      <c r="Q3327" s="1114" t="str">
        <f>LEFT(base[[#This Row],[Evento / Mercado]],FIND("vs",base[[#This Row],[Evento / Mercado]])-2)</f>
        <v>Gremio Novorizontino</v>
      </c>
      <c r="R3327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4" t="str">
        <f>LEFT(base[[#This Row],[Evento / Mercado]],FIND("/",base[[#This Row],[Evento / Mercado]])-2)</f>
        <v>Gremio Novorizontino vs Criciúma EC</v>
      </c>
      <c r="T3327" s="142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109" t="s">
        <v>3947</v>
      </c>
      <c r="C3328" s="935" t="s">
        <v>3556</v>
      </c>
      <c r="D3328" s="1399">
        <v>46224.885937500003</v>
      </c>
      <c r="E3328" s="1111">
        <v>22.919999999999998</v>
      </c>
      <c r="F3328" s="654">
        <v>4.4999999999999998E-2</v>
      </c>
      <c r="G3328" s="1112">
        <f t="shared" ref="G3328" si="92">IF(E3328&gt;0,E3328/(1-F3328),E3328)</f>
        <v>24</v>
      </c>
      <c r="H3328" s="1112" t="s">
        <v>3581</v>
      </c>
      <c r="I3328" s="1113" t="s">
        <v>75</v>
      </c>
      <c r="J3328" s="1112">
        <v>1.48</v>
      </c>
      <c r="K3328" s="1112">
        <v>50</v>
      </c>
      <c r="L3328" s="1110">
        <f>INT(base[[#This Row],[Data de liquidação]])</f>
        <v>46224</v>
      </c>
      <c r="M3328" s="1112">
        <f>base[[#This Row],[L/P Bruto]]-base[[#This Row],[L/P Líquido]]</f>
        <v>1.0800000000000018</v>
      </c>
      <c r="N3328" s="1112">
        <f>base[[#This Row],[L/P Líquido]]/base[[#This Row],[Stake/Responsabilidade]]</f>
        <v>0.45839999999999997</v>
      </c>
      <c r="O3328" s="1114">
        <f>IF(base[[#This Row],[L/P Líquido]]&gt;0,1,0)</f>
        <v>1</v>
      </c>
      <c r="P3328" s="1114"/>
      <c r="Q3328" s="1114" t="str">
        <f>LEFT(base[[#This Row],[Evento / Mercado]],FIND("vs",base[[#This Row],[Evento / Mercado]])-2)</f>
        <v>Gremio Novorizontino</v>
      </c>
      <c r="R3328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4" t="str">
        <f>LEFT(base[[#This Row],[Evento / Mercado]],FIND("/",base[[#This Row],[Evento / Mercado]])-2)</f>
        <v>Gremio Novorizontino vs Criciúma EC</v>
      </c>
      <c r="T3328" s="142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109" t="s">
        <v>3946</v>
      </c>
      <c r="C3329" s="935" t="s">
        <v>3556</v>
      </c>
      <c r="D3329" s="1399">
        <v>46224.891180555554</v>
      </c>
      <c r="E3329" s="1111">
        <v>-19.77</v>
      </c>
      <c r="F3329" s="654">
        <v>4.4999999999999998E-2</v>
      </c>
      <c r="G3329" s="1112">
        <f t="shared" si="90"/>
        <v>-19.77</v>
      </c>
      <c r="H3329" s="1112" t="s">
        <v>3333</v>
      </c>
      <c r="I3329" s="1113" t="s">
        <v>13</v>
      </c>
      <c r="J3329" s="1112">
        <f>(2.52+4.1)/2</f>
        <v>3.3099999999999996</v>
      </c>
      <c r="K3329" s="1112">
        <v>100</v>
      </c>
      <c r="L3329" s="1110">
        <f>INT(base[[#This Row],[Data de liquidação]])</f>
        <v>46224</v>
      </c>
      <c r="M3329" s="1112">
        <f>base[[#This Row],[L/P Bruto]]-base[[#This Row],[L/P Líquido]]</f>
        <v>0</v>
      </c>
      <c r="N3329" s="1112">
        <f>base[[#This Row],[L/P Líquido]]/base[[#This Row],[Stake/Responsabilidade]]</f>
        <v>-0.19769999999999999</v>
      </c>
      <c r="O3329" s="1114">
        <f>IF(base[[#This Row],[L/P Líquido]]&gt;0,1,0)</f>
        <v>0</v>
      </c>
      <c r="P3329" s="1114"/>
      <c r="Q3329" s="1114" t="str">
        <f>LEFT(base[[#This Row],[Evento / Mercado]],FIND("vs",base[[#This Row],[Evento / Mercado]])-2)</f>
        <v>Avaí FC</v>
      </c>
      <c r="R3329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4" t="str">
        <f>LEFT(base[[#This Row],[Evento / Mercado]],FIND("/",base[[#This Row],[Evento / Mercado]])-2)</f>
        <v>Avaí FC vs América-MG</v>
      </c>
      <c r="T3329" s="1420">
        <f>base[[#This Row],[Data de liquidação]]</f>
        <v>46224.891180555554</v>
      </c>
    </row>
    <row r="3330" spans="2:20" ht="15" customHeight="1">
      <c r="B3330" s="1109" t="s">
        <v>3945</v>
      </c>
      <c r="C3330" s="935" t="s">
        <v>3556</v>
      </c>
      <c r="D3330" s="1399">
        <v>46224.896412037036</v>
      </c>
      <c r="E3330" s="1111">
        <v>14.47</v>
      </c>
      <c r="F3330" s="654">
        <v>4.4999999999999998E-2</v>
      </c>
      <c r="G3330" s="1112">
        <f t="shared" si="90"/>
        <v>15.151832460732985</v>
      </c>
      <c r="H3330" s="1113" t="s">
        <v>3922</v>
      </c>
      <c r="I3330" s="1113"/>
      <c r="J3330" s="1112">
        <v>34</v>
      </c>
      <c r="K3330" s="1112">
        <v>499.95</v>
      </c>
      <c r="L3330" s="1110">
        <f>INT(base[[#This Row],[Data de liquidação]])</f>
        <v>46224</v>
      </c>
      <c r="M3330" s="1112">
        <f>base[[#This Row],[L/P Bruto]]-base[[#This Row],[L/P Líquido]]</f>
        <v>0.6818324607329842</v>
      </c>
      <c r="N3330" s="1112">
        <f>base[[#This Row],[L/P Líquido]]/base[[#This Row],[Stake/Responsabilidade]]</f>
        <v>2.8942894289428946E-2</v>
      </c>
      <c r="O3330" s="1114">
        <f>IF(base[[#This Row],[L/P Líquido]]&gt;0,1,0)</f>
        <v>1</v>
      </c>
      <c r="P3330" s="1114"/>
      <c r="Q3330" s="1114" t="str">
        <f>LEFT(base[[#This Row],[Evento / Mercado]],FIND("vs",base[[#This Row],[Evento / Mercado]])-2)</f>
        <v>Avaí FC</v>
      </c>
      <c r="R333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4" t="str">
        <f>LEFT(base[[#This Row],[Evento / Mercado]],FIND("/",base[[#This Row],[Evento / Mercado]])-2)</f>
        <v>Avaí FC vs América-MG</v>
      </c>
      <c r="T3330" s="1420">
        <f>base[[#This Row],[Data de liquidação]]</f>
        <v>46224.896412037036</v>
      </c>
    </row>
    <row r="3331" spans="2:20" ht="15" customHeight="1">
      <c r="B3331" s="1109" t="s">
        <v>3955</v>
      </c>
      <c r="C3331" s="1109" t="s">
        <v>3555</v>
      </c>
      <c r="D3331" s="1399">
        <v>46224.999363425923</v>
      </c>
      <c r="E3331" s="1111">
        <v>-26.09</v>
      </c>
      <c r="F3331" s="654">
        <v>4.4999999999999998E-2</v>
      </c>
      <c r="G3331" s="1112">
        <f t="shared" si="90"/>
        <v>-26.09</v>
      </c>
      <c r="H3331" s="938" t="s">
        <v>3253</v>
      </c>
      <c r="I3331" s="939" t="s">
        <v>3254</v>
      </c>
      <c r="J3331" s="1112">
        <v>12.5</v>
      </c>
      <c r="K3331" s="1112">
        <v>26.09</v>
      </c>
      <c r="L3331" s="1110">
        <f>INT(base[[#This Row],[Data de liquidação]])</f>
        <v>46224</v>
      </c>
      <c r="M3331" s="1112">
        <f>base[[#This Row],[L/P Bruto]]-base[[#This Row],[L/P Líquido]]</f>
        <v>0</v>
      </c>
      <c r="N3331" s="1112">
        <f>base[[#This Row],[L/P Líquido]]/base[[#This Row],[Stake/Responsabilidade]]</f>
        <v>-1</v>
      </c>
      <c r="O3331" s="1114">
        <f>IF(base[[#This Row],[L/P Líquido]]&gt;0,1,0)</f>
        <v>0</v>
      </c>
      <c r="P3331" s="1114"/>
      <c r="Q3331" s="1114" t="str">
        <f>LEFT(base[[#This Row],[Evento / Mercado]],FIND("vs",base[[#This Row],[Evento / Mercado]])-2)</f>
        <v>Cruz Azul</v>
      </c>
      <c r="R333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4" t="str">
        <f>LEFT(base[[#This Row],[Evento / Mercado]],FIND("/",base[[#This Row],[Evento / Mercado]])-2)</f>
        <v>Cruz Azul vs Puebla</v>
      </c>
      <c r="T3331" s="1420">
        <f>base[[#This Row],[Data de liquidação]]</f>
        <v>46224.999363425923</v>
      </c>
    </row>
    <row r="3332" spans="2:20" ht="15" customHeight="1">
      <c r="B3332" s="1109" t="s">
        <v>3944</v>
      </c>
      <c r="C3332" s="935" t="s">
        <v>3556</v>
      </c>
      <c r="D3332" s="1399">
        <v>46224.999479166669</v>
      </c>
      <c r="E3332" s="1111">
        <v>23.67</v>
      </c>
      <c r="F3332" s="654">
        <v>4.4999999999999998E-2</v>
      </c>
      <c r="G3332" s="1112">
        <f t="shared" si="90"/>
        <v>24.785340314136128</v>
      </c>
      <c r="H3332" s="1112" t="s">
        <v>3330</v>
      </c>
      <c r="I3332" s="1113" t="s">
        <v>3566</v>
      </c>
      <c r="J3332" s="1112">
        <f>(3.25*97.83+100.04*9.2)/base[[#This Row],[Stake/Responsabilidade]]</f>
        <v>6.2582276241977048</v>
      </c>
      <c r="K3332" s="1112">
        <f>100.04+97.83</f>
        <v>197.87</v>
      </c>
      <c r="L3332" s="1110">
        <f>INT(base[[#This Row],[Data de liquidação]])</f>
        <v>46224</v>
      </c>
      <c r="M3332" s="1112">
        <f>base[[#This Row],[L/P Bruto]]-base[[#This Row],[L/P Líquido]]</f>
        <v>1.1153403141361267</v>
      </c>
      <c r="N3332" s="1112">
        <f>base[[#This Row],[L/P Líquido]]/base[[#This Row],[Stake/Responsabilidade]]</f>
        <v>0.11962399555263557</v>
      </c>
      <c r="O3332" s="1114">
        <f>IF(base[[#This Row],[L/P Líquido]]&gt;0,1,0)</f>
        <v>1</v>
      </c>
      <c r="P3332" s="1114"/>
      <c r="Q3332" s="1114" t="str">
        <f>LEFT(base[[#This Row],[Evento / Mercado]],FIND("vs",base[[#This Row],[Evento / Mercado]])-2)</f>
        <v>Cruz Azul</v>
      </c>
      <c r="R333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4" t="str">
        <f>LEFT(base[[#This Row],[Evento / Mercado]],FIND("/",base[[#This Row],[Evento / Mercado]])-2)</f>
        <v>Cruz Azul vs Puebla</v>
      </c>
      <c r="T3332" s="1420">
        <f>base[[#This Row],[Data de liquidação]]</f>
        <v>46224.999479166669</v>
      </c>
    </row>
    <row r="3333" spans="2:20" ht="15" customHeight="1">
      <c r="B3333" s="1109" t="s">
        <v>3944</v>
      </c>
      <c r="C3333" s="1109" t="s">
        <v>3555</v>
      </c>
      <c r="D3333" s="1399">
        <v>46224.999479166669</v>
      </c>
      <c r="E3333" s="1111">
        <v>35.89</v>
      </c>
      <c r="F3333" s="654">
        <v>4.4999999999999998E-2</v>
      </c>
      <c r="G3333" s="1112">
        <f t="shared" si="90"/>
        <v>37.581151832460733</v>
      </c>
      <c r="H3333" s="938" t="s">
        <v>3253</v>
      </c>
      <c r="I3333" s="939" t="s">
        <v>1555</v>
      </c>
      <c r="J3333" s="1112">
        <v>6.2</v>
      </c>
      <c r="K3333" s="1112">
        <v>299.99</v>
      </c>
      <c r="L3333" s="1110">
        <f>INT(base[[#This Row],[Data de liquidação]])</f>
        <v>46224</v>
      </c>
      <c r="M3333" s="1112">
        <f>base[[#This Row],[L/P Bruto]]-base[[#This Row],[L/P Líquido]]</f>
        <v>1.6911518324607329</v>
      </c>
      <c r="N3333" s="1112">
        <f>base[[#This Row],[L/P Líquido]]/base[[#This Row],[Stake/Responsabilidade]]</f>
        <v>0.11963732124404147</v>
      </c>
      <c r="O3333" s="1114">
        <f>IF(base[[#This Row],[L/P Líquido]]&gt;0,1,0)</f>
        <v>1</v>
      </c>
      <c r="P3333" s="1114"/>
      <c r="Q3333" s="1114" t="str">
        <f>LEFT(base[[#This Row],[Evento / Mercado]],FIND("vs",base[[#This Row],[Evento / Mercado]])-2)</f>
        <v>Cruz Azul</v>
      </c>
      <c r="R333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4" t="str">
        <f>LEFT(base[[#This Row],[Evento / Mercado]],FIND("/",base[[#This Row],[Evento / Mercado]])-2)</f>
        <v>Cruz Azul vs Puebla</v>
      </c>
      <c r="T3333" s="1420">
        <f>base[[#This Row],[Data de liquidação]]</f>
        <v>46224.999479166669</v>
      </c>
    </row>
    <row r="3334" spans="2:20" ht="15" customHeight="1">
      <c r="B3334" s="1117" t="s">
        <v>3974</v>
      </c>
      <c r="C3334" s="935" t="s">
        <v>3556</v>
      </c>
      <c r="D3334" s="1400">
        <v>46225.893217592595</v>
      </c>
      <c r="E3334" s="1118">
        <v>20.76</v>
      </c>
      <c r="F3334" s="654">
        <v>4.4999999999999998E-2</v>
      </c>
      <c r="G3334" s="1116">
        <f t="shared" ref="G3334:G3356" si="93">IF(E3334&gt;0,E3334/(1-F3334),E3334)</f>
        <v>21.738219895287962</v>
      </c>
      <c r="H3334" s="1113" t="s">
        <v>3922</v>
      </c>
      <c r="I3334" s="1115"/>
      <c r="J3334" s="1116">
        <v>24</v>
      </c>
      <c r="K3334" s="1116">
        <v>500.02</v>
      </c>
      <c r="L3334" s="1119">
        <f>INT(base[[#This Row],[Data de liquidação]])</f>
        <v>46225</v>
      </c>
      <c r="M3334" s="1116">
        <f>base[[#This Row],[L/P Bruto]]-base[[#This Row],[L/P Líquido]]</f>
        <v>0.97821989528796038</v>
      </c>
      <c r="N3334" s="1116">
        <f>base[[#This Row],[L/P Líquido]]/base[[#This Row],[Stake/Responsabilidade]]</f>
        <v>4.1518339266429345E-2</v>
      </c>
      <c r="O3334" s="1120">
        <f>IF(base[[#This Row],[L/P Líquido]]&gt;0,1,0)</f>
        <v>1</v>
      </c>
      <c r="P3334" s="1120"/>
      <c r="Q3334" s="1120" t="str">
        <f>LEFT(base[[#This Row],[Evento / Mercado]],FIND("vs",base[[#This Row],[Evento / Mercado]])-2)</f>
        <v>Ceará SC</v>
      </c>
      <c r="R333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4" t="str">
        <f>LEFT(base[[#This Row],[Evento / Mercado]],FIND("/",base[[#This Row],[Evento / Mercado]])-2)</f>
        <v>Ceará SC vs CRB</v>
      </c>
      <c r="T3334" s="1420">
        <f>base[[#This Row],[Data de liquidação]]</f>
        <v>46225.893217592595</v>
      </c>
    </row>
    <row r="3335" spans="2:20" ht="15" customHeight="1">
      <c r="B3335" s="1117" t="s">
        <v>3973</v>
      </c>
      <c r="C3335" s="935" t="s">
        <v>3556</v>
      </c>
      <c r="D3335" s="1400">
        <v>46225.896469907406</v>
      </c>
      <c r="E3335" s="1118">
        <v>39.79</v>
      </c>
      <c r="F3335" s="654">
        <v>4.4999999999999998E-2</v>
      </c>
      <c r="G3335" s="1116">
        <f t="shared" si="93"/>
        <v>41.66492146596859</v>
      </c>
      <c r="H3335" s="1116" t="s">
        <v>3868</v>
      </c>
      <c r="I3335" s="1115" t="s">
        <v>694</v>
      </c>
      <c r="J3335" s="1116">
        <v>13</v>
      </c>
      <c r="K3335" s="1116">
        <v>500.04</v>
      </c>
      <c r="L3335" s="1119">
        <f>INT(base[[#This Row],[Data de liquidação]])</f>
        <v>46225</v>
      </c>
      <c r="M3335" s="1116">
        <f>base[[#This Row],[L/P Bruto]]-base[[#This Row],[L/P Líquido]]</f>
        <v>1.8749214659685904</v>
      </c>
      <c r="N3335" s="1116">
        <f>base[[#This Row],[L/P Líquido]]/base[[#This Row],[Stake/Responsabilidade]]</f>
        <v>7.9573634109271249E-2</v>
      </c>
      <c r="O3335" s="1120">
        <f>IF(base[[#This Row],[L/P Líquido]]&gt;0,1,0)</f>
        <v>1</v>
      </c>
      <c r="P3335" s="1120"/>
      <c r="Q3335" s="1120" t="str">
        <f>LEFT(base[[#This Row],[Evento / Mercado]],FIND("vs",base[[#This Row],[Evento / Mercado]])-2)</f>
        <v>Coritiba</v>
      </c>
      <c r="R333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4" t="str">
        <f>LEFT(base[[#This Row],[Evento / Mercado]],FIND("/",base[[#This Row],[Evento / Mercado]])-2)</f>
        <v>Coritiba vs Palmeiras</v>
      </c>
      <c r="T3335" s="1420">
        <f>base[[#This Row],[Data de liquidação]]</f>
        <v>46225.896469907406</v>
      </c>
    </row>
    <row r="3336" spans="2:20" ht="15" customHeight="1">
      <c r="B3336" s="1117" t="s">
        <v>3976</v>
      </c>
      <c r="C3336" s="1109" t="s">
        <v>3555</v>
      </c>
      <c r="D3336" s="1400">
        <v>46225.897766203707</v>
      </c>
      <c r="E3336" s="1118">
        <v>-28.57</v>
      </c>
      <c r="F3336" s="654">
        <v>4.4999999999999998E-2</v>
      </c>
      <c r="G3336" s="1116">
        <f t="shared" si="93"/>
        <v>-28.57</v>
      </c>
      <c r="H3336" s="938" t="s">
        <v>3253</v>
      </c>
      <c r="I3336" s="939" t="s">
        <v>3254</v>
      </c>
      <c r="J3336" s="1116">
        <v>11.5</v>
      </c>
      <c r="K3336" s="1116">
        <v>28.57</v>
      </c>
      <c r="L3336" s="1119">
        <f>INT(base[[#This Row],[Data de liquidação]])</f>
        <v>46225</v>
      </c>
      <c r="M3336" s="1116">
        <f>base[[#This Row],[L/P Bruto]]-base[[#This Row],[L/P Líquido]]</f>
        <v>0</v>
      </c>
      <c r="N3336" s="1116">
        <f>base[[#This Row],[L/P Líquido]]/base[[#This Row],[Stake/Responsabilidade]]</f>
        <v>-1</v>
      </c>
      <c r="O3336" s="1120">
        <f>IF(base[[#This Row],[L/P Líquido]]&gt;0,1,0)</f>
        <v>0</v>
      </c>
      <c r="P3336" s="1120"/>
      <c r="Q3336" s="1120" t="str">
        <f>LEFT(base[[#This Row],[Evento / Mercado]],FIND("vs",base[[#This Row],[Evento / Mercado]])-2)</f>
        <v>Operário Ferroviário</v>
      </c>
      <c r="R333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4" t="str">
        <f>LEFT(base[[#This Row],[Evento / Mercado]],FIND("/",base[[#This Row],[Evento / Mercado]])-2)</f>
        <v>Operário Ferroviário vs Atlética Ponte Preta</v>
      </c>
      <c r="T3336" s="1420">
        <f>base[[#This Row],[Data de liquidação]]</f>
        <v>46225.897766203707</v>
      </c>
    </row>
    <row r="3337" spans="2:20" ht="15" customHeight="1">
      <c r="B3337" s="1117" t="s">
        <v>3972</v>
      </c>
      <c r="C3337" s="1109" t="s">
        <v>3555</v>
      </c>
      <c r="D3337" s="1400">
        <v>46225.897962962961</v>
      </c>
      <c r="E3337" s="1118">
        <v>-44.45</v>
      </c>
      <c r="F3337" s="654">
        <v>4.4999999999999998E-2</v>
      </c>
      <c r="G3337" s="1116">
        <f t="shared" si="93"/>
        <v>-44.45</v>
      </c>
      <c r="H3337" s="938" t="s">
        <v>3253</v>
      </c>
      <c r="I3337" s="939" t="s">
        <v>1555</v>
      </c>
      <c r="J3337" s="1116">
        <v>5.5</v>
      </c>
      <c r="K3337" s="1116">
        <v>300.02</v>
      </c>
      <c r="L3337" s="1119">
        <f>INT(base[[#This Row],[Data de liquidação]])</f>
        <v>46225</v>
      </c>
      <c r="M3337" s="1116">
        <f>base[[#This Row],[L/P Bruto]]-base[[#This Row],[L/P Líquido]]</f>
        <v>0</v>
      </c>
      <c r="N3337" s="1116">
        <f>base[[#This Row],[L/P Líquido]]/base[[#This Row],[Stake/Responsabilidade]]</f>
        <v>-0.14815678954736353</v>
      </c>
      <c r="O3337" s="1120">
        <f>IF(base[[#This Row],[L/P Líquido]]&gt;0,1,0)</f>
        <v>0</v>
      </c>
      <c r="P3337" s="1120"/>
      <c r="Q3337" s="1120" t="str">
        <f>LEFT(base[[#This Row],[Evento / Mercado]],FIND("vs",base[[#This Row],[Evento / Mercado]])-2)</f>
        <v>Operário Ferroviário</v>
      </c>
      <c r="R333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4" t="str">
        <f>LEFT(base[[#This Row],[Evento / Mercado]],FIND("/",base[[#This Row],[Evento / Mercado]])-2)</f>
        <v>Operário Ferroviário vs Atlética Ponte Preta</v>
      </c>
      <c r="T3337" s="1420">
        <f>base[[#This Row],[Data de liquidação]]</f>
        <v>46225.897962962961</v>
      </c>
    </row>
    <row r="3338" spans="2:20" ht="15" customHeight="1">
      <c r="B3338" s="1117" t="s">
        <v>3972</v>
      </c>
      <c r="C3338" s="935" t="s">
        <v>3556</v>
      </c>
      <c r="D3338" s="1400">
        <v>46225.897974537038</v>
      </c>
      <c r="E3338" s="1118">
        <v>13.48</v>
      </c>
      <c r="F3338" s="654">
        <v>4.4999999999999998E-2</v>
      </c>
      <c r="G3338" s="1116">
        <f t="shared" si="93"/>
        <v>14.115183246073299</v>
      </c>
      <c r="H3338" s="1116" t="s">
        <v>3330</v>
      </c>
      <c r="I3338" s="1115" t="s">
        <v>3566</v>
      </c>
      <c r="J3338" s="1116">
        <f>(13*99.96+3.75*99.99)/base[[#This Row],[Stake/Responsabilidade]]</f>
        <v>8.3743060765191313</v>
      </c>
      <c r="K3338" s="1116">
        <f>99.96+99.99</f>
        <v>199.95</v>
      </c>
      <c r="L3338" s="1119">
        <f>INT(base[[#This Row],[Data de liquidação]])</f>
        <v>46225</v>
      </c>
      <c r="M3338" s="1116">
        <f>base[[#This Row],[L/P Bruto]]-base[[#This Row],[L/P Líquido]]</f>
        <v>0.63518324607329824</v>
      </c>
      <c r="N3338" s="1116">
        <f>base[[#This Row],[L/P Líquido]]/base[[#This Row],[Stake/Responsabilidade]]</f>
        <v>6.7416854213553395E-2</v>
      </c>
      <c r="O3338" s="1120">
        <f>IF(base[[#This Row],[L/P Líquido]]&gt;0,1,0)</f>
        <v>1</v>
      </c>
      <c r="P3338" s="1120"/>
      <c r="Q3338" s="1120" t="str">
        <f>LEFT(base[[#This Row],[Evento / Mercado]],FIND("vs",base[[#This Row],[Evento / Mercado]])-2)</f>
        <v>Operário Ferroviário</v>
      </c>
      <c r="R333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4" t="str">
        <f>LEFT(base[[#This Row],[Evento / Mercado]],FIND("/",base[[#This Row],[Evento / Mercado]])-2)</f>
        <v>Operário Ferroviário vs Atlética Ponte Preta</v>
      </c>
      <c r="T3338" s="1420">
        <f>base[[#This Row],[Data de liquidação]]</f>
        <v>46225.897974537038</v>
      </c>
    </row>
    <row r="3339" spans="2:20" ht="15" customHeight="1">
      <c r="B3339" s="1117" t="s">
        <v>3971</v>
      </c>
      <c r="C3339" s="935" t="s">
        <v>3556</v>
      </c>
      <c r="D3339" s="1400">
        <v>46225.939456018517</v>
      </c>
      <c r="E3339" s="1118">
        <v>22.04</v>
      </c>
      <c r="F3339" s="654">
        <v>4.4999999999999998E-2</v>
      </c>
      <c r="G3339" s="1116">
        <f t="shared" si="93"/>
        <v>23.078534031413614</v>
      </c>
      <c r="H3339" s="1116" t="s">
        <v>3271</v>
      </c>
      <c r="I3339" s="1115" t="s">
        <v>627</v>
      </c>
      <c r="J3339" s="1116">
        <v>14</v>
      </c>
      <c r="K3339" s="1116">
        <v>300.04000000000002</v>
      </c>
      <c r="L3339" s="1119">
        <f>INT(base[[#This Row],[Data de liquidação]])</f>
        <v>46225</v>
      </c>
      <c r="M3339" s="1116">
        <f>base[[#This Row],[L/P Bruto]]-base[[#This Row],[L/P Líquido]]</f>
        <v>1.0385340314136151</v>
      </c>
      <c r="N3339" s="1116">
        <f>base[[#This Row],[L/P Líquido]]/base[[#This Row],[Stake/Responsabilidade]]</f>
        <v>7.3456872417011057E-2</v>
      </c>
      <c r="O3339" s="1120">
        <f>IF(base[[#This Row],[L/P Líquido]]&gt;0,1,0)</f>
        <v>1</v>
      </c>
      <c r="P3339" s="1120"/>
      <c r="Q3339" s="1120" t="str">
        <f>LEFT(base[[#This Row],[Evento / Mercado]],FIND("vs",base[[#This Row],[Evento / Mercado]])-2)</f>
        <v>New England Revolution</v>
      </c>
      <c r="R333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4" t="str">
        <f>LEFT(base[[#This Row],[Evento / Mercado]],FIND("/",base[[#This Row],[Evento / Mercado]])-2)</f>
        <v>New England Revolution vs Toronto FC</v>
      </c>
      <c r="T3339" s="1420">
        <f>base[[#This Row],[Data de liquidação]]</f>
        <v>46225.939456018517</v>
      </c>
    </row>
    <row r="3340" spans="2:20" ht="15" customHeight="1">
      <c r="B3340" s="1117" t="s">
        <v>3971</v>
      </c>
      <c r="C3340" s="1109" t="s">
        <v>3555</v>
      </c>
      <c r="D3340" s="1400">
        <v>46225.939456018517</v>
      </c>
      <c r="E3340" s="1118">
        <v>-9.58</v>
      </c>
      <c r="F3340" s="654">
        <v>4.4999999999999998E-2</v>
      </c>
      <c r="G3340" s="1116">
        <f t="shared" si="93"/>
        <v>-9.58</v>
      </c>
      <c r="H3340" s="938" t="s">
        <v>3253</v>
      </c>
      <c r="I3340" s="939" t="s">
        <v>3254</v>
      </c>
      <c r="J3340" s="1116">
        <v>8.4</v>
      </c>
      <c r="K3340" s="1116">
        <v>40.54</v>
      </c>
      <c r="L3340" s="1119">
        <f>INT(base[[#This Row],[Data de liquidação]])</f>
        <v>46225</v>
      </c>
      <c r="M3340" s="1116">
        <f>base[[#This Row],[L/P Bruto]]-base[[#This Row],[L/P Líquido]]</f>
        <v>0</v>
      </c>
      <c r="N3340" s="1116">
        <f>base[[#This Row],[L/P Líquido]]/base[[#This Row],[Stake/Responsabilidade]]</f>
        <v>-0.23630981746423285</v>
      </c>
      <c r="O3340" s="1120">
        <f>IF(base[[#This Row],[L/P Líquido]]&gt;0,1,0)</f>
        <v>0</v>
      </c>
      <c r="P3340" s="1120"/>
      <c r="Q3340" s="1120" t="str">
        <f>LEFT(base[[#This Row],[Evento / Mercado]],FIND("vs",base[[#This Row],[Evento / Mercado]])-2)</f>
        <v>New England Revolution</v>
      </c>
      <c r="R334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4" t="str">
        <f>LEFT(base[[#This Row],[Evento / Mercado]],FIND("/",base[[#This Row],[Evento / Mercado]])-2)</f>
        <v>New England Revolution vs Toronto FC</v>
      </c>
      <c r="T3340" s="1420">
        <f>base[[#This Row],[Data de liquidação]]</f>
        <v>46225.939456018517</v>
      </c>
    </row>
    <row r="3341" spans="2:20" ht="15" customHeight="1">
      <c r="B3341" s="1117" t="s">
        <v>3970</v>
      </c>
      <c r="C3341" s="935" t="s">
        <v>3556</v>
      </c>
      <c r="D3341" s="1400">
        <v>46225.939629629633</v>
      </c>
      <c r="E3341" s="1118">
        <v>5.55</v>
      </c>
      <c r="F3341" s="654">
        <v>4.4999999999999998E-2</v>
      </c>
      <c r="G3341" s="1116">
        <f t="shared" si="93"/>
        <v>5.8115183246073299</v>
      </c>
      <c r="H3341" s="1116" t="s">
        <v>3330</v>
      </c>
      <c r="I3341" s="1248" t="s">
        <v>4368</v>
      </c>
      <c r="J3341" s="1116">
        <v>4.0999999999999996</v>
      </c>
      <c r="K3341" s="1116">
        <v>100.01</v>
      </c>
      <c r="L3341" s="1119">
        <f>INT(base[[#This Row],[Data de liquidação]])</f>
        <v>46225</v>
      </c>
      <c r="M3341" s="1116">
        <f>base[[#This Row],[L/P Bruto]]-base[[#This Row],[L/P Líquido]]</f>
        <v>0.26151832460733004</v>
      </c>
      <c r="N3341" s="1116">
        <f>base[[#This Row],[L/P Líquido]]/base[[#This Row],[Stake/Responsabilidade]]</f>
        <v>5.5494450554944501E-2</v>
      </c>
      <c r="O3341" s="1120">
        <f>IF(base[[#This Row],[L/P Líquido]]&gt;0,1,0)</f>
        <v>1</v>
      </c>
      <c r="P3341" s="1120"/>
      <c r="Q3341" s="1120" t="str">
        <f>LEFT(base[[#This Row],[Evento / Mercado]],FIND("vs",base[[#This Row],[Evento / Mercado]])-2)</f>
        <v>New England Revolution</v>
      </c>
      <c r="R334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4" t="str">
        <f>LEFT(base[[#This Row],[Evento / Mercado]],FIND("/",base[[#This Row],[Evento / Mercado]])-2)</f>
        <v>New England Revolution vs Toronto FC</v>
      </c>
      <c r="T3341" s="1420">
        <f>base[[#This Row],[Data de liquidação]]</f>
        <v>46225.939629629633</v>
      </c>
    </row>
    <row r="3342" spans="2:20" ht="15" customHeight="1">
      <c r="B3342" s="1117" t="s">
        <v>3970</v>
      </c>
      <c r="C3342" s="1109" t="s">
        <v>3555</v>
      </c>
      <c r="D3342" s="1400">
        <v>46225.939629629633</v>
      </c>
      <c r="E3342" s="1118">
        <v>-87.48</v>
      </c>
      <c r="F3342" s="654">
        <v>4.4999999999999998E-2</v>
      </c>
      <c r="G3342" s="1116">
        <f t="shared" si="93"/>
        <v>-87.48</v>
      </c>
      <c r="H3342" s="938" t="s">
        <v>3253</v>
      </c>
      <c r="I3342" s="939" t="s">
        <v>1555</v>
      </c>
      <c r="J3342" s="1116">
        <v>3.95</v>
      </c>
      <c r="K3342" s="1116">
        <v>299.99</v>
      </c>
      <c r="L3342" s="1119">
        <f>INT(base[[#This Row],[Data de liquidação]])</f>
        <v>46225</v>
      </c>
      <c r="M3342" s="1116">
        <f>base[[#This Row],[L/P Bruto]]-base[[#This Row],[L/P Líquido]]</f>
        <v>0</v>
      </c>
      <c r="N3342" s="1116">
        <f>base[[#This Row],[L/P Líquido]]/base[[#This Row],[Stake/Responsabilidade]]</f>
        <v>-0.29160972032401078</v>
      </c>
      <c r="O3342" s="1120">
        <f>IF(base[[#This Row],[L/P Líquido]]&gt;0,1,0)</f>
        <v>0</v>
      </c>
      <c r="P3342" s="1120"/>
      <c r="Q3342" s="1120" t="str">
        <f>LEFT(base[[#This Row],[Evento / Mercado]],FIND("vs",base[[#This Row],[Evento / Mercado]])-2)</f>
        <v>New England Revolution</v>
      </c>
      <c r="R334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4" t="str">
        <f>LEFT(base[[#This Row],[Evento / Mercado]],FIND("/",base[[#This Row],[Evento / Mercado]])-2)</f>
        <v>New England Revolution vs Toronto FC</v>
      </c>
      <c r="T3342" s="1420">
        <f>base[[#This Row],[Data de liquidação]]</f>
        <v>46225.939629629633</v>
      </c>
    </row>
    <row r="3343" spans="2:20" ht="15" customHeight="1">
      <c r="B3343" s="1117" t="s">
        <v>3969</v>
      </c>
      <c r="C3343" s="935" t="s">
        <v>3556</v>
      </c>
      <c r="D3343" s="1400">
        <v>46225.944837962961</v>
      </c>
      <c r="E3343" s="1118">
        <v>18.059999999999999</v>
      </c>
      <c r="F3343" s="654">
        <v>4.4999999999999998E-2</v>
      </c>
      <c r="G3343" s="1116">
        <f t="shared" si="93"/>
        <v>18.910994764397905</v>
      </c>
      <c r="H3343" s="1116" t="s">
        <v>74</v>
      </c>
      <c r="I3343" s="1115" t="s">
        <v>693</v>
      </c>
      <c r="J3343" s="1116">
        <v>17.5</v>
      </c>
      <c r="K3343" s="1116">
        <v>312.02</v>
      </c>
      <c r="L3343" s="1119">
        <f>INT(base[[#This Row],[Data de liquidação]])</f>
        <v>46225</v>
      </c>
      <c r="M3343" s="1116">
        <f>base[[#This Row],[L/P Bruto]]-base[[#This Row],[L/P Líquido]]</f>
        <v>0.85099476439790678</v>
      </c>
      <c r="N3343" s="1116">
        <f>base[[#This Row],[L/P Líquido]]/base[[#This Row],[Stake/Responsabilidade]]</f>
        <v>5.788090507018781E-2</v>
      </c>
      <c r="O3343" s="1120">
        <f>IF(base[[#This Row],[L/P Líquido]]&gt;0,1,0)</f>
        <v>1</v>
      </c>
      <c r="P3343" s="1120"/>
      <c r="Q3343" s="1120" t="str">
        <f>LEFT(base[[#This Row],[Evento / Mercado]],FIND("vs",base[[#This Row],[Evento / Mercado]])-2)</f>
        <v>FC Cincinnati</v>
      </c>
      <c r="R334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4" t="str">
        <f>LEFT(base[[#This Row],[Evento / Mercado]],FIND("/",base[[#This Row],[Evento / Mercado]])-2)</f>
        <v>FC Cincinnati vs Vancouver Whitecaps</v>
      </c>
      <c r="T3343" s="1420">
        <f>base[[#This Row],[Data de liquidação]]</f>
        <v>46225.944837962961</v>
      </c>
    </row>
    <row r="3344" spans="2:20" ht="15" customHeight="1">
      <c r="B3344" s="1117" t="s">
        <v>3968</v>
      </c>
      <c r="C3344" s="935" t="s">
        <v>3556</v>
      </c>
      <c r="D3344" s="1400">
        <v>46225.967766203707</v>
      </c>
      <c r="E3344" s="1118">
        <v>2.62</v>
      </c>
      <c r="F3344" s="654">
        <v>4.4999999999999998E-2</v>
      </c>
      <c r="G3344" s="1116">
        <f t="shared" si="93"/>
        <v>2.743455497382199</v>
      </c>
      <c r="H3344" s="1116" t="s">
        <v>1666</v>
      </c>
      <c r="I3344" s="1115" t="s">
        <v>2883</v>
      </c>
      <c r="J3344" s="1116">
        <v>1.55</v>
      </c>
      <c r="K3344" s="1116">
        <v>5</v>
      </c>
      <c r="L3344" s="1119">
        <f>INT(base[[#This Row],[Data de liquidação]])</f>
        <v>46225</v>
      </c>
      <c r="M3344" s="1116">
        <f>base[[#This Row],[L/P Bruto]]-base[[#This Row],[L/P Líquido]]</f>
        <v>0.12345549738219885</v>
      </c>
      <c r="N3344" s="1116">
        <f>base[[#This Row],[L/P Líquido]]/base[[#This Row],[Stake/Responsabilidade]]</f>
        <v>0.52400000000000002</v>
      </c>
      <c r="O3344" s="1120">
        <f>IF(base[[#This Row],[L/P Líquido]]&gt;0,1,0)</f>
        <v>1</v>
      </c>
      <c r="P3344" s="1120"/>
      <c r="Q3344" s="1120" t="str">
        <f>LEFT(base[[#This Row],[Evento / Mercado]],FIND("vs",base[[#This Row],[Evento / Mercado]])-2)</f>
        <v>Sporting Kansas City</v>
      </c>
      <c r="R334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4" t="str">
        <f>LEFT(base[[#This Row],[Evento / Mercado]],FIND("/",base[[#This Row],[Evento / Mercado]])-2)</f>
        <v>Sporting Kansas City vs Minnesota United</v>
      </c>
      <c r="T3344" s="1420">
        <f>base[[#This Row],[Data de liquidação]]</f>
        <v>46225.967766203707</v>
      </c>
    </row>
    <row r="3345" spans="2:20" ht="15" customHeight="1">
      <c r="B3345" s="1117" t="s">
        <v>3967</v>
      </c>
      <c r="C3345" s="935" t="s">
        <v>3556</v>
      </c>
      <c r="D3345" s="1400">
        <v>46225.969375000001</v>
      </c>
      <c r="E3345" s="1118">
        <v>83.09</v>
      </c>
      <c r="F3345" s="654">
        <v>4.4999999999999998E-2</v>
      </c>
      <c r="G3345" s="1116">
        <f t="shared" si="93"/>
        <v>87.005235602094245</v>
      </c>
      <c r="H3345" s="1116" t="s">
        <v>314</v>
      </c>
      <c r="I3345" s="1115" t="s">
        <v>349</v>
      </c>
      <c r="J3345" s="1116">
        <v>1.87</v>
      </c>
      <c r="K3345" s="1116">
        <v>100</v>
      </c>
      <c r="L3345" s="1119">
        <f>INT(base[[#This Row],[Data de liquidação]])</f>
        <v>46225</v>
      </c>
      <c r="M3345" s="1116">
        <f>base[[#This Row],[L/P Bruto]]-base[[#This Row],[L/P Líquido]]</f>
        <v>3.915235602094242</v>
      </c>
      <c r="N3345" s="1116">
        <f>base[[#This Row],[L/P Líquido]]/base[[#This Row],[Stake/Responsabilidade]]</f>
        <v>0.83090000000000008</v>
      </c>
      <c r="O3345" s="1120">
        <f>IF(base[[#This Row],[L/P Líquido]]&gt;0,1,0)</f>
        <v>1</v>
      </c>
      <c r="P3345" s="1120"/>
      <c r="Q3345" s="1120" t="str">
        <f>LEFT(base[[#This Row],[Evento / Mercado]],FIND("vs",base[[#This Row],[Evento / Mercado]])-2)</f>
        <v>SC Internacional</v>
      </c>
      <c r="R334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4" t="str">
        <f>LEFT(base[[#This Row],[Evento / Mercado]],FIND("/",base[[#This Row],[Evento / Mercado]])-2)</f>
        <v>SC Internacional vs Cruzeiro</v>
      </c>
      <c r="T3345" s="1420">
        <f>base[[#This Row],[Data de liquidação]]</f>
        <v>46225.969375000001</v>
      </c>
    </row>
    <row r="3346" spans="2:20" ht="15" customHeight="1">
      <c r="B3346" s="1117" t="s">
        <v>3966</v>
      </c>
      <c r="C3346" s="935" t="s">
        <v>3556</v>
      </c>
      <c r="D3346" s="1400">
        <v>46225.974733796298</v>
      </c>
      <c r="E3346" s="1118">
        <v>10.87</v>
      </c>
      <c r="F3346" s="654">
        <v>4.4999999999999998E-2</v>
      </c>
      <c r="G3346" s="1116">
        <f t="shared" si="93"/>
        <v>11.38219895287958</v>
      </c>
      <c r="H3346" s="1116" t="s">
        <v>74</v>
      </c>
      <c r="I3346" s="1115" t="s">
        <v>694</v>
      </c>
      <c r="J3346" s="1116">
        <v>30</v>
      </c>
      <c r="K3346" s="1116">
        <v>330.02</v>
      </c>
      <c r="L3346" s="1119">
        <f>INT(base[[#This Row],[Data de liquidação]])</f>
        <v>46225</v>
      </c>
      <c r="M3346" s="1116">
        <f>base[[#This Row],[L/P Bruto]]-base[[#This Row],[L/P Líquido]]</f>
        <v>0.51219895287958117</v>
      </c>
      <c r="N3346" s="1116">
        <f>base[[#This Row],[L/P Líquido]]/base[[#This Row],[Stake/Responsabilidade]]</f>
        <v>3.2937397733470701E-2</v>
      </c>
      <c r="O3346" s="1120">
        <f>IF(base[[#This Row],[L/P Líquido]]&gt;0,1,0)</f>
        <v>1</v>
      </c>
      <c r="P3346" s="1120"/>
      <c r="Q3346" s="1120" t="str">
        <f>LEFT(base[[#This Row],[Evento / Mercado]],FIND("vs",base[[#This Row],[Evento / Mercado]])-2)</f>
        <v>Chapecoense</v>
      </c>
      <c r="R334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4" t="str">
        <f>LEFT(base[[#This Row],[Evento / Mercado]],FIND("/",base[[#This Row],[Evento / Mercado]])-2)</f>
        <v>Chapecoense vs Flamengo</v>
      </c>
      <c r="T3346" s="1420">
        <f>base[[#This Row],[Data de liquidação]]</f>
        <v>46225.974733796298</v>
      </c>
    </row>
    <row r="3347" spans="2:20" ht="15" customHeight="1">
      <c r="B3347" s="1117" t="s">
        <v>3966</v>
      </c>
      <c r="C3347" s="1109" t="s">
        <v>3555</v>
      </c>
      <c r="D3347" s="1400">
        <v>46225.974733796298</v>
      </c>
      <c r="E3347" s="1118">
        <v>-78.67</v>
      </c>
      <c r="F3347" s="654">
        <v>4.4999999999999998E-2</v>
      </c>
      <c r="G3347" s="1116">
        <f t="shared" si="93"/>
        <v>-78.67</v>
      </c>
      <c r="H3347" s="1113" t="s">
        <v>3922</v>
      </c>
      <c r="I3347" s="1115"/>
      <c r="J3347" s="1116">
        <v>7</v>
      </c>
      <c r="K3347" s="1116">
        <v>300</v>
      </c>
      <c r="L3347" s="1119">
        <f>INT(base[[#This Row],[Data de liquidação]])</f>
        <v>46225</v>
      </c>
      <c r="M3347" s="1116">
        <f>base[[#This Row],[L/P Bruto]]-base[[#This Row],[L/P Líquido]]</f>
        <v>0</v>
      </c>
      <c r="N3347" s="1116">
        <f>base[[#This Row],[L/P Líquido]]/base[[#This Row],[Stake/Responsabilidade]]</f>
        <v>-0.26223333333333332</v>
      </c>
      <c r="O3347" s="1120">
        <f>IF(base[[#This Row],[L/P Líquido]]&gt;0,1,0)</f>
        <v>0</v>
      </c>
      <c r="P3347" s="1120"/>
      <c r="Q3347" s="1120" t="str">
        <f>LEFT(base[[#This Row],[Evento / Mercado]],FIND("vs",base[[#This Row],[Evento / Mercado]])-2)</f>
        <v>Chapecoense</v>
      </c>
      <c r="R334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4" t="str">
        <f>LEFT(base[[#This Row],[Evento / Mercado]],FIND("/",base[[#This Row],[Evento / Mercado]])-2)</f>
        <v>Chapecoense vs Flamengo</v>
      </c>
      <c r="T3347" s="1420">
        <f>base[[#This Row],[Data de liquidação]]</f>
        <v>46225.974733796298</v>
      </c>
    </row>
    <row r="3348" spans="2:20" ht="15" customHeight="1">
      <c r="B3348" s="1117" t="s">
        <v>3965</v>
      </c>
      <c r="C3348" s="935" t="s">
        <v>3556</v>
      </c>
      <c r="D3348" s="1400">
        <v>46225.974976851852</v>
      </c>
      <c r="E3348" s="1118">
        <v>36.08</v>
      </c>
      <c r="F3348" s="654">
        <v>4.4999999999999998E-2</v>
      </c>
      <c r="G3348" s="1116">
        <f t="shared" si="93"/>
        <v>37.780104712041883</v>
      </c>
      <c r="H3348" s="1116" t="s">
        <v>179</v>
      </c>
      <c r="I3348" s="1115" t="s">
        <v>391</v>
      </c>
      <c r="J3348" s="1116">
        <v>10</v>
      </c>
      <c r="K3348" s="1116">
        <v>340.02</v>
      </c>
      <c r="L3348" s="1119">
        <f>INT(base[[#This Row],[Data de liquidação]])</f>
        <v>46225</v>
      </c>
      <c r="M3348" s="1116">
        <f>base[[#This Row],[L/P Bruto]]-base[[#This Row],[L/P Líquido]]</f>
        <v>1.7001047120418846</v>
      </c>
      <c r="N3348" s="1116">
        <f>base[[#This Row],[L/P Líquido]]/base[[#This Row],[Stake/Responsabilidade]]</f>
        <v>0.10611140521145815</v>
      </c>
      <c r="O3348" s="1120">
        <f>IF(base[[#This Row],[L/P Líquido]]&gt;0,1,0)</f>
        <v>1</v>
      </c>
      <c r="P3348" s="1120"/>
      <c r="Q3348" s="1120" t="str">
        <f>LEFT(base[[#This Row],[Evento / Mercado]],FIND("vs",base[[#This Row],[Evento / Mercado]])-2)</f>
        <v>Chapecoense</v>
      </c>
      <c r="R334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4" t="str">
        <f>LEFT(base[[#This Row],[Evento / Mercado]],FIND("/",base[[#This Row],[Evento / Mercado]])-2)</f>
        <v>Chapecoense vs Flamengo</v>
      </c>
      <c r="T3348" s="1420">
        <f>base[[#This Row],[Data de liquidação]]</f>
        <v>46225.974976851852</v>
      </c>
    </row>
    <row r="3349" spans="2:20" ht="15" customHeight="1">
      <c r="B3349" s="1117" t="s">
        <v>3964</v>
      </c>
      <c r="C3349" s="935" t="s">
        <v>3556</v>
      </c>
      <c r="D3349" s="1400">
        <v>46225.978703703702</v>
      </c>
      <c r="E3349" s="1118">
        <v>20.76</v>
      </c>
      <c r="F3349" s="654">
        <v>4.4999999999999998E-2</v>
      </c>
      <c r="G3349" s="1116">
        <f t="shared" si="93"/>
        <v>21.738219895287962</v>
      </c>
      <c r="H3349" s="1113" t="s">
        <v>3922</v>
      </c>
      <c r="I3349" s="1115"/>
      <c r="J3349" s="1116">
        <v>24</v>
      </c>
      <c r="K3349" s="1116">
        <v>500.02</v>
      </c>
      <c r="L3349" s="1119">
        <f>INT(base[[#This Row],[Data de liquidação]])</f>
        <v>46225</v>
      </c>
      <c r="M3349" s="1116">
        <f>base[[#This Row],[L/P Bruto]]-base[[#This Row],[L/P Líquido]]</f>
        <v>0.97821989528796038</v>
      </c>
      <c r="N3349" s="1116">
        <f>base[[#This Row],[L/P Líquido]]/base[[#This Row],[Stake/Responsabilidade]]</f>
        <v>4.1518339266429345E-2</v>
      </c>
      <c r="O3349" s="1120">
        <f>IF(base[[#This Row],[L/P Líquido]]&gt;0,1,0)</f>
        <v>1</v>
      </c>
      <c r="P3349" s="1120"/>
      <c r="Q3349" s="1120" t="str">
        <f>LEFT(base[[#This Row],[Evento / Mercado]],FIND("vs",base[[#This Row],[Evento / Mercado]])-2)</f>
        <v>SC Internacional</v>
      </c>
      <c r="R334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4" t="str">
        <f>LEFT(base[[#This Row],[Evento / Mercado]],FIND("/",base[[#This Row],[Evento / Mercado]])-2)</f>
        <v>SC Internacional vs Cruzeiro</v>
      </c>
      <c r="T3349" s="1420">
        <f>base[[#This Row],[Data de liquidação]]</f>
        <v>46225.978703703702</v>
      </c>
    </row>
    <row r="3350" spans="2:20" ht="15" customHeight="1">
      <c r="B3350" s="1117" t="s">
        <v>3963</v>
      </c>
      <c r="C3350" s="935" t="s">
        <v>3556</v>
      </c>
      <c r="D3350" s="1400">
        <v>46225.979988425926</v>
      </c>
      <c r="E3350" s="1118">
        <v>13.67</v>
      </c>
      <c r="F3350" s="654">
        <v>4.4999999999999998E-2</v>
      </c>
      <c r="G3350" s="1116">
        <f t="shared" si="93"/>
        <v>14.31413612565445</v>
      </c>
      <c r="H3350" s="1113" t="s">
        <v>3922</v>
      </c>
      <c r="I3350" s="1115"/>
      <c r="J3350" s="1116">
        <v>14.5</v>
      </c>
      <c r="K3350" s="1116">
        <v>500.04</v>
      </c>
      <c r="L3350" s="1119">
        <f>INT(base[[#This Row],[Data de liquidação]])</f>
        <v>46225</v>
      </c>
      <c r="M3350" s="1116">
        <f>base[[#This Row],[L/P Bruto]]-base[[#This Row],[L/P Líquido]]</f>
        <v>0.64413612565445</v>
      </c>
      <c r="N3350" s="1116">
        <f>base[[#This Row],[L/P Líquido]]/base[[#This Row],[Stake/Responsabilidade]]</f>
        <v>2.7337812974962003E-2</v>
      </c>
      <c r="O3350" s="1120">
        <f>IF(base[[#This Row],[L/P Líquido]]&gt;0,1,0)</f>
        <v>1</v>
      </c>
      <c r="P3350" s="1120"/>
      <c r="Q3350" s="1120" t="str">
        <f>LEFT(base[[#This Row],[Evento / Mercado]],FIND("vs",base[[#This Row],[Evento / Mercado]])-2)</f>
        <v>Clube Náutico Capibaribe</v>
      </c>
      <c r="R335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4" t="str">
        <f>LEFT(base[[#This Row],[Evento / Mercado]],FIND("/",base[[#This Row],[Evento / Mercado]])-2)</f>
        <v>Clube Náutico Capibaribe vs Londrina</v>
      </c>
      <c r="T3350" s="1420">
        <f>base[[#This Row],[Data de liquidação]]</f>
        <v>46225.979988425926</v>
      </c>
    </row>
    <row r="3351" spans="2:20" ht="15" customHeight="1">
      <c r="B3351" s="1117" t="s">
        <v>3962</v>
      </c>
      <c r="C3351" s="935" t="s">
        <v>3556</v>
      </c>
      <c r="D3351" s="1400">
        <v>46225.98096064815</v>
      </c>
      <c r="E3351" s="1118">
        <v>19.100000000000001</v>
      </c>
      <c r="F3351" s="654">
        <v>4.4999999999999998E-2</v>
      </c>
      <c r="G3351" s="1116">
        <f t="shared" si="93"/>
        <v>20.000000000000004</v>
      </c>
      <c r="H3351" s="1116" t="s">
        <v>74</v>
      </c>
      <c r="I3351" s="1115" t="s">
        <v>694</v>
      </c>
      <c r="J3351" s="1116">
        <v>17.5</v>
      </c>
      <c r="K3351" s="1116">
        <v>330</v>
      </c>
      <c r="L3351" s="1119">
        <f>INT(base[[#This Row],[Data de liquidação]])</f>
        <v>46225</v>
      </c>
      <c r="M3351" s="1116">
        <f>base[[#This Row],[L/P Bruto]]-base[[#This Row],[L/P Líquido]]</f>
        <v>0.90000000000000213</v>
      </c>
      <c r="N3351" s="1116">
        <f>base[[#This Row],[L/P Líquido]]/base[[#This Row],[Stake/Responsabilidade]]</f>
        <v>5.7878787878787884E-2</v>
      </c>
      <c r="O3351" s="1120">
        <f>IF(base[[#This Row],[L/P Líquido]]&gt;0,1,0)</f>
        <v>1</v>
      </c>
      <c r="P3351" s="1120"/>
      <c r="Q3351" s="1120" t="str">
        <f>LEFT(base[[#This Row],[Evento / Mercado]],FIND("vs",base[[#This Row],[Evento / Mercado]])-2)</f>
        <v>Sporting Kansas City</v>
      </c>
      <c r="R335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4" t="str">
        <f>LEFT(base[[#This Row],[Evento / Mercado]],FIND("/",base[[#This Row],[Evento / Mercado]])-2)</f>
        <v>Sporting Kansas City vs Minnesota United</v>
      </c>
      <c r="T3351" s="1420">
        <f>base[[#This Row],[Data de liquidação]]</f>
        <v>46225.98096064815</v>
      </c>
    </row>
    <row r="3352" spans="2:20" ht="15" customHeight="1">
      <c r="B3352" s="1117" t="s">
        <v>3975</v>
      </c>
      <c r="C3352" s="1109" t="s">
        <v>3555</v>
      </c>
      <c r="D3352" s="1400">
        <v>46225.981238425928</v>
      </c>
      <c r="E3352" s="1118">
        <v>-42.86</v>
      </c>
      <c r="F3352" s="654">
        <v>4.4999999999999998E-2</v>
      </c>
      <c r="G3352" s="1116">
        <f t="shared" si="93"/>
        <v>-42.86</v>
      </c>
      <c r="H3352" s="938" t="s">
        <v>3253</v>
      </c>
      <c r="I3352" s="939" t="s">
        <v>3254</v>
      </c>
      <c r="J3352" s="1116">
        <v>8</v>
      </c>
      <c r="K3352" s="1116">
        <v>42.86</v>
      </c>
      <c r="L3352" s="1119">
        <f>INT(base[[#This Row],[Data de liquidação]])</f>
        <v>46225</v>
      </c>
      <c r="M3352" s="1116">
        <f>base[[#This Row],[L/P Bruto]]-base[[#This Row],[L/P Líquido]]</f>
        <v>0</v>
      </c>
      <c r="N3352" s="1116">
        <f>base[[#This Row],[L/P Líquido]]/base[[#This Row],[Stake/Responsabilidade]]</f>
        <v>-1</v>
      </c>
      <c r="O3352" s="1120">
        <f>IF(base[[#This Row],[L/P Líquido]]&gt;0,1,0)</f>
        <v>0</v>
      </c>
      <c r="P3352" s="1120"/>
      <c r="Q3352" s="1120" t="str">
        <f>LEFT(base[[#This Row],[Evento / Mercado]],FIND("vs",base[[#This Row],[Evento / Mercado]])-2)</f>
        <v>Charlotte FC</v>
      </c>
      <c r="R335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4" t="str">
        <f>LEFT(base[[#This Row],[Evento / Mercado]],FIND("/",base[[#This Row],[Evento / Mercado]])-2)</f>
        <v>Charlotte FC vs Atlanta United FC</v>
      </c>
      <c r="T3352" s="1420">
        <f>base[[#This Row],[Data de liquidação]]</f>
        <v>46225.981238425928</v>
      </c>
    </row>
    <row r="3353" spans="2:20" ht="15" customHeight="1">
      <c r="B3353" s="1117" t="s">
        <v>3961</v>
      </c>
      <c r="C3353" s="1109" t="s">
        <v>3555</v>
      </c>
      <c r="D3353" s="1400">
        <v>46225.981504629628</v>
      </c>
      <c r="E3353" s="1118">
        <v>68.16</v>
      </c>
      <c r="F3353" s="654">
        <v>4.4999999999999998E-2</v>
      </c>
      <c r="G3353" s="1116">
        <f t="shared" si="93"/>
        <v>71.3717277486911</v>
      </c>
      <c r="H3353" s="938" t="s">
        <v>3253</v>
      </c>
      <c r="I3353" s="939" t="s">
        <v>1555</v>
      </c>
      <c r="J3353" s="1116">
        <v>3.75</v>
      </c>
      <c r="K3353" s="1116">
        <v>300</v>
      </c>
      <c r="L3353" s="1119">
        <f>INT(base[[#This Row],[Data de liquidação]])</f>
        <v>46225</v>
      </c>
      <c r="M3353" s="1116">
        <f>base[[#This Row],[L/P Bruto]]-base[[#This Row],[L/P Líquido]]</f>
        <v>3.2117277486911036</v>
      </c>
      <c r="N3353" s="1116">
        <f>base[[#This Row],[L/P Líquido]]/base[[#This Row],[Stake/Responsabilidade]]</f>
        <v>0.22719999999999999</v>
      </c>
      <c r="O3353" s="1120">
        <f>IF(base[[#This Row],[L/P Líquido]]&gt;0,1,0)</f>
        <v>1</v>
      </c>
      <c r="P3353" s="1120"/>
      <c r="Q3353" s="1120" t="str">
        <f>LEFT(base[[#This Row],[Evento / Mercado]],FIND("vs",base[[#This Row],[Evento / Mercado]])-2)</f>
        <v>Charlotte FC</v>
      </c>
      <c r="R335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4" t="str">
        <f>LEFT(base[[#This Row],[Evento / Mercado]],FIND("/",base[[#This Row],[Evento / Mercado]])-2)</f>
        <v>Charlotte FC vs Atlanta United FC</v>
      </c>
      <c r="T3353" s="1420">
        <f>base[[#This Row],[Data de liquidação]]</f>
        <v>46225.981504629628</v>
      </c>
    </row>
    <row r="3354" spans="2:20" ht="15" customHeight="1">
      <c r="B3354" s="1117" t="s">
        <v>3961</v>
      </c>
      <c r="C3354" s="935" t="s">
        <v>3556</v>
      </c>
      <c r="D3354" s="1400">
        <v>46225.981516203705</v>
      </c>
      <c r="E3354" s="1118">
        <v>19.329999999999998</v>
      </c>
      <c r="F3354" s="654">
        <v>4.4999999999999998E-2</v>
      </c>
      <c r="G3354" s="1116">
        <f t="shared" si="93"/>
        <v>20.240837696335078</v>
      </c>
      <c r="H3354" s="1116" t="s">
        <v>3330</v>
      </c>
      <c r="I3354" s="1248" t="s">
        <v>4368</v>
      </c>
      <c r="J3354" s="1116">
        <v>3.6</v>
      </c>
      <c r="K3354" s="1116">
        <v>100</v>
      </c>
      <c r="L3354" s="1119">
        <f>INT(base[[#This Row],[Data de liquidação]])</f>
        <v>46225</v>
      </c>
      <c r="M3354" s="1116">
        <f>base[[#This Row],[L/P Bruto]]-base[[#This Row],[L/P Líquido]]</f>
        <v>0.91083769633507927</v>
      </c>
      <c r="N3354" s="1116">
        <f>base[[#This Row],[L/P Líquido]]/base[[#This Row],[Stake/Responsabilidade]]</f>
        <v>0.19329999999999997</v>
      </c>
      <c r="O3354" s="1120">
        <f>IF(base[[#This Row],[L/P Líquido]]&gt;0,1,0)</f>
        <v>1</v>
      </c>
      <c r="P3354" s="1120"/>
      <c r="Q3354" s="1120" t="str">
        <f>LEFT(base[[#This Row],[Evento / Mercado]],FIND("vs",base[[#This Row],[Evento / Mercado]])-2)</f>
        <v>Charlotte FC</v>
      </c>
      <c r="R335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4" t="str">
        <f>LEFT(base[[#This Row],[Evento / Mercado]],FIND("/",base[[#This Row],[Evento / Mercado]])-2)</f>
        <v>Charlotte FC vs Atlanta United FC</v>
      </c>
      <c r="T3354" s="1420">
        <f>base[[#This Row],[Data de liquidação]]</f>
        <v>46225.981516203705</v>
      </c>
    </row>
    <row r="3355" spans="2:20" ht="15" customHeight="1">
      <c r="B3355" s="1117" t="s">
        <v>3960</v>
      </c>
      <c r="C3355" s="935" t="s">
        <v>3556</v>
      </c>
      <c r="D3355" s="1400">
        <v>46225.982604166667</v>
      </c>
      <c r="E3355" s="1118">
        <v>22.92</v>
      </c>
      <c r="F3355" s="654">
        <v>4.4999999999999998E-2</v>
      </c>
      <c r="G3355" s="1116">
        <f t="shared" si="93"/>
        <v>24.000000000000004</v>
      </c>
      <c r="H3355" s="1116" t="s">
        <v>3271</v>
      </c>
      <c r="I3355" s="1115" t="s">
        <v>627</v>
      </c>
      <c r="J3355" s="1116">
        <v>13.5</v>
      </c>
      <c r="K3355" s="1116">
        <v>300</v>
      </c>
      <c r="L3355" s="1119">
        <f>INT(base[[#This Row],[Data de liquidação]])</f>
        <v>46225</v>
      </c>
      <c r="M3355" s="1116">
        <f>base[[#This Row],[L/P Bruto]]-base[[#This Row],[L/P Líquido]]</f>
        <v>1.0800000000000018</v>
      </c>
      <c r="N3355" s="1116">
        <f>base[[#This Row],[L/P Líquido]]/base[[#This Row],[Stake/Responsabilidade]]</f>
        <v>7.640000000000001E-2</v>
      </c>
      <c r="O3355" s="1120">
        <f>IF(base[[#This Row],[L/P Líquido]]&gt;0,1,0)</f>
        <v>1</v>
      </c>
      <c r="P3355" s="1120"/>
      <c r="Q3355" s="1120" t="str">
        <f>LEFT(base[[#This Row],[Evento / Mercado]],FIND("vs",base[[#This Row],[Evento / Mercado]])-2)</f>
        <v>Nashville Soccer Club</v>
      </c>
      <c r="R335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4" t="str">
        <f>LEFT(base[[#This Row],[Evento / Mercado]],FIND("/",base[[#This Row],[Evento / Mercado]])-2)</f>
        <v>Nashville Soccer Club vs CF Montreal</v>
      </c>
      <c r="T3355" s="1420">
        <f>base[[#This Row],[Data de liquidação]]</f>
        <v>46225.982604166667</v>
      </c>
    </row>
    <row r="3356" spans="2:20" ht="15" customHeight="1">
      <c r="B3356" s="1117" t="s">
        <v>3959</v>
      </c>
      <c r="C3356" s="935" t="s">
        <v>3556</v>
      </c>
      <c r="D3356" s="1400">
        <v>46225.987280092595</v>
      </c>
      <c r="E3356" s="1118">
        <v>3.7</v>
      </c>
      <c r="F3356" s="654">
        <v>4.4999999999999998E-2</v>
      </c>
      <c r="G3356" s="1116">
        <f t="shared" si="93"/>
        <v>3.8743455497382202</v>
      </c>
      <c r="H3356" s="1116" t="s">
        <v>1666</v>
      </c>
      <c r="I3356" s="1115" t="s">
        <v>1759</v>
      </c>
      <c r="J3356" s="1116">
        <v>32</v>
      </c>
      <c r="K3356" s="1116">
        <v>119.97</v>
      </c>
      <c r="L3356" s="1119">
        <f>INT(base[[#This Row],[Data de liquidação]])</f>
        <v>46225</v>
      </c>
      <c r="M3356" s="1116">
        <f>base[[#This Row],[L/P Bruto]]-base[[#This Row],[L/P Líquido]]</f>
        <v>0.17434554973822003</v>
      </c>
      <c r="N3356" s="1116">
        <f>base[[#This Row],[L/P Líquido]]/base[[#This Row],[Stake/Responsabilidade]]</f>
        <v>3.0841043594231891E-2</v>
      </c>
      <c r="O3356" s="1120">
        <f>IF(base[[#This Row],[L/P Líquido]]&gt;0,1,0)</f>
        <v>1</v>
      </c>
      <c r="P3356" s="1120"/>
      <c r="Q3356" s="1120" t="str">
        <f>LEFT(base[[#This Row],[Evento / Mercado]],FIND("vs",base[[#This Row],[Evento / Mercado]])-2)</f>
        <v>Houston Dynamo</v>
      </c>
      <c r="R335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4" t="str">
        <f>LEFT(base[[#This Row],[Evento / Mercado]],FIND("/",base[[#This Row],[Evento / Mercado]])-2)</f>
        <v>Houston Dynamo vs DC United</v>
      </c>
      <c r="T3356" s="1420">
        <f>base[[#This Row],[Data de liquidação]]</f>
        <v>46225.987280092595</v>
      </c>
    </row>
    <row r="3357" spans="2:20" ht="15" customHeight="1">
      <c r="B3357" s="1130" t="s">
        <v>4020</v>
      </c>
      <c r="C3357" s="935" t="s">
        <v>3556</v>
      </c>
      <c r="D3357" s="1401">
        <v>46226.042349537034</v>
      </c>
      <c r="E3357" s="1132">
        <v>-39.51</v>
      </c>
      <c r="F3357" s="654">
        <v>4.4999999999999998E-2</v>
      </c>
      <c r="G3357" s="1133">
        <f t="shared" ref="G3357:G3383" si="94">IF(E3357&gt;0,E3357/(1-F3357),E3357)</f>
        <v>-39.51</v>
      </c>
      <c r="H3357" s="1133" t="s">
        <v>3868</v>
      </c>
      <c r="I3357" s="1134" t="s">
        <v>627</v>
      </c>
      <c r="J3357" s="1133">
        <v>23</v>
      </c>
      <c r="K3357" s="1133">
        <v>500.06</v>
      </c>
      <c r="L3357" s="1131">
        <f>INT(base[[#This Row],[Data de liquidação]])</f>
        <v>46226</v>
      </c>
      <c r="M3357" s="1133">
        <f>base[[#This Row],[L/P Bruto]]-base[[#This Row],[L/P Líquido]]</f>
        <v>0</v>
      </c>
      <c r="N3357" s="1133">
        <f>base[[#This Row],[L/P Líquido]]/base[[#This Row],[Stake/Responsabilidade]]</f>
        <v>-7.9010518737751459E-2</v>
      </c>
      <c r="O3357" s="1135">
        <f>IF(base[[#This Row],[L/P Líquido]]&gt;0,1,0)</f>
        <v>0</v>
      </c>
      <c r="P3357" s="1135"/>
      <c r="Q3357" s="1135" t="str">
        <f>LEFT(base[[#This Row],[Evento / Mercado]],FIND("vs",base[[#This Row],[Evento / Mercado]])-2)</f>
        <v>Colorado Rapids</v>
      </c>
      <c r="R335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5" t="str">
        <f>LEFT(base[[#This Row],[Evento / Mercado]],FIND("/",base[[#This Row],[Evento / Mercado]])-2)</f>
        <v>Colorado Rapids vs San Diego FC</v>
      </c>
      <c r="T3357" s="1420">
        <f>base[[#This Row],[Data de liquidação]]</f>
        <v>46226.042349537034</v>
      </c>
    </row>
    <row r="3358" spans="2:20" ht="15" customHeight="1">
      <c r="B3358" s="1130" t="s">
        <v>4019</v>
      </c>
      <c r="C3358" s="935" t="s">
        <v>3556</v>
      </c>
      <c r="D3358" s="1401">
        <v>46226.065254629626</v>
      </c>
      <c r="E3358" s="1132">
        <v>13.7</v>
      </c>
      <c r="F3358" s="654">
        <v>4.4999999999999998E-2</v>
      </c>
      <c r="G3358" s="1133">
        <f t="shared" si="94"/>
        <v>14.345549738219896</v>
      </c>
      <c r="H3358" s="1133" t="s">
        <v>3271</v>
      </c>
      <c r="I3358" s="1134" t="s">
        <v>627</v>
      </c>
      <c r="J3358" s="1133">
        <v>24</v>
      </c>
      <c r="K3358" s="1133">
        <v>330.05</v>
      </c>
      <c r="L3358" s="1131">
        <f>INT(base[[#This Row],[Data de liquidação]])</f>
        <v>46226</v>
      </c>
      <c r="M3358" s="1133">
        <f>base[[#This Row],[L/P Bruto]]-base[[#This Row],[L/P Líquido]]</f>
        <v>0.6455497382198967</v>
      </c>
      <c r="N3358" s="1133">
        <f>base[[#This Row],[L/P Líquido]]/base[[#This Row],[Stake/Responsabilidade]]</f>
        <v>4.1508862293591874E-2</v>
      </c>
      <c r="O3358" s="1135">
        <f>IF(base[[#This Row],[L/P Líquido]]&gt;0,1,0)</f>
        <v>1</v>
      </c>
      <c r="P3358" s="1135"/>
      <c r="Q3358" s="1135" t="str">
        <f>LEFT(base[[#This Row],[Evento / Mercado]],FIND("vs",base[[#This Row],[Evento / Mercado]])-2)</f>
        <v>Los Angeles FC</v>
      </c>
      <c r="R335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5" t="str">
        <f>LEFT(base[[#This Row],[Evento / Mercado]],FIND("/",base[[#This Row],[Evento / Mercado]])-2)</f>
        <v>Los Angeles FC vs Real Salt Lake</v>
      </c>
      <c r="T3358" s="1420">
        <f>base[[#This Row],[Data de liquidação]]</f>
        <v>46226.065254629626</v>
      </c>
    </row>
    <row r="3359" spans="2:20" ht="15" customHeight="1">
      <c r="B3359" s="1130" t="s">
        <v>4019</v>
      </c>
      <c r="C3359" s="1109" t="s">
        <v>3555</v>
      </c>
      <c r="D3359" s="1401">
        <v>46226.065254629626</v>
      </c>
      <c r="E3359" s="1132">
        <v>21.13</v>
      </c>
      <c r="F3359" s="654">
        <v>4.4999999999999998E-2</v>
      </c>
      <c r="G3359" s="1133">
        <f t="shared" si="94"/>
        <v>22.125654450261781</v>
      </c>
      <c r="H3359" s="1133" t="s">
        <v>3868</v>
      </c>
      <c r="I3359" s="1134" t="s">
        <v>627</v>
      </c>
      <c r="J3359" s="1133">
        <v>24</v>
      </c>
      <c r="K3359" s="1133">
        <v>500.02</v>
      </c>
      <c r="L3359" s="1131">
        <f>INT(base[[#This Row],[Data de liquidação]])</f>
        <v>46226</v>
      </c>
      <c r="M3359" s="1133">
        <f>base[[#This Row],[L/P Bruto]]-base[[#This Row],[L/P Líquido]]</f>
        <v>0.99565445026178168</v>
      </c>
      <c r="N3359" s="1133">
        <f>base[[#This Row],[L/P Líquido]]/base[[#This Row],[Stake/Responsabilidade]]</f>
        <v>4.2258309667613292E-2</v>
      </c>
      <c r="O3359" s="1135">
        <f>IF(base[[#This Row],[L/P Líquido]]&gt;0,1,0)</f>
        <v>1</v>
      </c>
      <c r="P3359" s="1135"/>
      <c r="Q3359" s="1135" t="str">
        <f>LEFT(base[[#This Row],[Evento / Mercado]],FIND("vs",base[[#This Row],[Evento / Mercado]])-2)</f>
        <v>Los Angeles FC</v>
      </c>
      <c r="R335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5" t="str">
        <f>LEFT(base[[#This Row],[Evento / Mercado]],FIND("/",base[[#This Row],[Evento / Mercado]])-2)</f>
        <v>Los Angeles FC vs Real Salt Lake</v>
      </c>
      <c r="T3359" s="1420">
        <f>base[[#This Row],[Data de liquidação]]</f>
        <v>46226.065254629626</v>
      </c>
    </row>
    <row r="3360" spans="2:20" ht="15" customHeight="1">
      <c r="B3360" s="1130" t="s">
        <v>4018</v>
      </c>
      <c r="C3360" s="935" t="s">
        <v>3556</v>
      </c>
      <c r="D3360" s="1401">
        <v>46226.067800925928</v>
      </c>
      <c r="E3360" s="1132">
        <v>-54.57</v>
      </c>
      <c r="F3360" s="654">
        <v>4.4999999999999998E-2</v>
      </c>
      <c r="G3360" s="1133">
        <f t="shared" si="94"/>
        <v>-54.57</v>
      </c>
      <c r="H3360" s="1133" t="s">
        <v>3661</v>
      </c>
      <c r="I3360" s="1134" t="s">
        <v>392</v>
      </c>
      <c r="J3360" s="1133">
        <v>8</v>
      </c>
      <c r="K3360" s="1133">
        <v>300.02</v>
      </c>
      <c r="L3360" s="1131">
        <f>INT(base[[#This Row],[Data de liquidação]])</f>
        <v>46226</v>
      </c>
      <c r="M3360" s="1133">
        <f>base[[#This Row],[L/P Bruto]]-base[[#This Row],[L/P Líquido]]</f>
        <v>0</v>
      </c>
      <c r="N3360" s="1133">
        <f>base[[#This Row],[L/P Líquido]]/base[[#This Row],[Stake/Responsabilidade]]</f>
        <v>-0.18188787414172389</v>
      </c>
      <c r="O3360" s="1135">
        <f>IF(base[[#This Row],[L/P Líquido]]&gt;0,1,0)</f>
        <v>0</v>
      </c>
      <c r="P3360" s="1135"/>
      <c r="Q3360" s="1135" t="str">
        <f>LEFT(base[[#This Row],[Evento / Mercado]],FIND("vs",base[[#This Row],[Evento / Mercado]])-2)</f>
        <v>San Jose Earthquakes</v>
      </c>
      <c r="R336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5" t="str">
        <f>LEFT(base[[#This Row],[Evento / Mercado]],FIND("/",base[[#This Row],[Evento / Mercado]])-2)</f>
        <v>San Jose Earthquakes vs Orlando City</v>
      </c>
      <c r="T3360" s="1420">
        <f>base[[#This Row],[Data de liquidação]]</f>
        <v>46226.067800925928</v>
      </c>
    </row>
    <row r="3361" spans="2:20" ht="15" customHeight="1">
      <c r="B3361" s="1130" t="s">
        <v>4018</v>
      </c>
      <c r="C3361" s="1109" t="s">
        <v>3555</v>
      </c>
      <c r="D3361" s="1401">
        <v>46226.067800925928</v>
      </c>
      <c r="E3361" s="1132">
        <v>-25</v>
      </c>
      <c r="F3361" s="654">
        <v>4.4999999999999998E-2</v>
      </c>
      <c r="G3361" s="1133">
        <f t="shared" si="94"/>
        <v>-25</v>
      </c>
      <c r="H3361" s="938" t="s">
        <v>3253</v>
      </c>
      <c r="I3361" s="939" t="s">
        <v>3254</v>
      </c>
      <c r="J3361" s="1133">
        <v>13</v>
      </c>
      <c r="K3361" s="1133">
        <v>25</v>
      </c>
      <c r="L3361" s="1131">
        <f>INT(base[[#This Row],[Data de liquidação]])</f>
        <v>46226</v>
      </c>
      <c r="M3361" s="1133">
        <f>base[[#This Row],[L/P Bruto]]-base[[#This Row],[L/P Líquido]]</f>
        <v>0</v>
      </c>
      <c r="N3361" s="1133">
        <f>base[[#This Row],[L/P Líquido]]/base[[#This Row],[Stake/Responsabilidade]]</f>
        <v>-1</v>
      </c>
      <c r="O3361" s="1135">
        <f>IF(base[[#This Row],[L/P Líquido]]&gt;0,1,0)</f>
        <v>0</v>
      </c>
      <c r="P3361" s="1135"/>
      <c r="Q3361" s="1135" t="str">
        <f>LEFT(base[[#This Row],[Evento / Mercado]],FIND("vs",base[[#This Row],[Evento / Mercado]])-2)</f>
        <v>San Jose Earthquakes</v>
      </c>
      <c r="R336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5" t="str">
        <f>LEFT(base[[#This Row],[Evento / Mercado]],FIND("/",base[[#This Row],[Evento / Mercado]])-2)</f>
        <v>San Jose Earthquakes vs Orlando City</v>
      </c>
      <c r="T3361" s="1420">
        <f>base[[#This Row],[Data de liquidação]]</f>
        <v>46226.067800925928</v>
      </c>
    </row>
    <row r="3362" spans="2:20" ht="15" customHeight="1">
      <c r="B3362" s="1130" t="s">
        <v>4017</v>
      </c>
      <c r="C3362" s="935" t="s">
        <v>3556</v>
      </c>
      <c r="D3362" s="1401">
        <v>46226.068032407406</v>
      </c>
      <c r="E3362" s="1132">
        <v>-200</v>
      </c>
      <c r="F3362" s="654">
        <v>4.4999999999999998E-2</v>
      </c>
      <c r="G3362" s="1133">
        <f t="shared" si="94"/>
        <v>-200</v>
      </c>
      <c r="H3362" s="1133" t="s">
        <v>3330</v>
      </c>
      <c r="I3362" s="1134" t="s">
        <v>3566</v>
      </c>
      <c r="J3362" s="1133">
        <f>(4.9+2.6)/2</f>
        <v>3.75</v>
      </c>
      <c r="K3362" s="1133">
        <v>200</v>
      </c>
      <c r="L3362" s="1131">
        <f>INT(base[[#This Row],[Data de liquidação]])</f>
        <v>46226</v>
      </c>
      <c r="M3362" s="1133">
        <f>base[[#This Row],[L/P Bruto]]-base[[#This Row],[L/P Líquido]]</f>
        <v>0</v>
      </c>
      <c r="N3362" s="1133">
        <f>base[[#This Row],[L/P Líquido]]/base[[#This Row],[Stake/Responsabilidade]]</f>
        <v>-1</v>
      </c>
      <c r="O3362" s="1135">
        <f>IF(base[[#This Row],[L/P Líquido]]&gt;0,1,0)</f>
        <v>0</v>
      </c>
      <c r="P3362" s="1135"/>
      <c r="Q3362" s="1135" t="str">
        <f>LEFT(base[[#This Row],[Evento / Mercado]],FIND("vs",base[[#This Row],[Evento / Mercado]])-2)</f>
        <v>San Jose Earthquakes</v>
      </c>
      <c r="R336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5" t="str">
        <f>LEFT(base[[#This Row],[Evento / Mercado]],FIND("/",base[[#This Row],[Evento / Mercado]])-2)</f>
        <v>San Jose Earthquakes vs Orlando City</v>
      </c>
      <c r="T3362" s="1420">
        <f>base[[#This Row],[Data de liquidação]]</f>
        <v>46226.068032407406</v>
      </c>
    </row>
    <row r="3363" spans="2:20" ht="15" customHeight="1">
      <c r="B3363" s="1130" t="s">
        <v>4017</v>
      </c>
      <c r="C3363" s="1109" t="s">
        <v>3555</v>
      </c>
      <c r="D3363" s="1401">
        <v>46226.068032407406</v>
      </c>
      <c r="E3363" s="1132">
        <v>9.34</v>
      </c>
      <c r="F3363" s="654">
        <v>4.4999999999999998E-2</v>
      </c>
      <c r="G3363" s="1133">
        <f t="shared" si="94"/>
        <v>9.7801047120418847</v>
      </c>
      <c r="H3363" s="938" t="s">
        <v>3253</v>
      </c>
      <c r="I3363" s="939" t="s">
        <v>1555</v>
      </c>
      <c r="J3363" s="1133">
        <v>4.9000000000000004</v>
      </c>
      <c r="K3363" s="1133">
        <v>299.99</v>
      </c>
      <c r="L3363" s="1131">
        <f>INT(base[[#This Row],[Data de liquidação]])</f>
        <v>46226</v>
      </c>
      <c r="M3363" s="1133">
        <f>base[[#This Row],[L/P Bruto]]-base[[#This Row],[L/P Líquido]]</f>
        <v>0.44010471204188484</v>
      </c>
      <c r="N3363" s="1133">
        <f>base[[#This Row],[L/P Líquido]]/base[[#This Row],[Stake/Responsabilidade]]</f>
        <v>3.1134371145704855E-2</v>
      </c>
      <c r="O3363" s="1135">
        <f>IF(base[[#This Row],[L/P Líquido]]&gt;0,1,0)</f>
        <v>1</v>
      </c>
      <c r="P3363" s="1135"/>
      <c r="Q3363" s="1135" t="str">
        <f>LEFT(base[[#This Row],[Evento / Mercado]],FIND("vs",base[[#This Row],[Evento / Mercado]])-2)</f>
        <v>San Jose Earthquakes</v>
      </c>
      <c r="R336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5" t="str">
        <f>LEFT(base[[#This Row],[Evento / Mercado]],FIND("/",base[[#This Row],[Evento / Mercado]])-2)</f>
        <v>San Jose Earthquakes vs Orlando City</v>
      </c>
      <c r="T3363" s="1420">
        <f>base[[#This Row],[Data de liquidação]]</f>
        <v>46226.068032407406</v>
      </c>
    </row>
    <row r="3364" spans="2:20" ht="15" customHeight="1">
      <c r="B3364" s="1130" t="s">
        <v>4016</v>
      </c>
      <c r="C3364" s="935" t="s">
        <v>3556</v>
      </c>
      <c r="D3364" s="1401">
        <v>46226.618344907409</v>
      </c>
      <c r="E3364" s="1132">
        <v>-51.76</v>
      </c>
      <c r="F3364" s="654">
        <v>4.4999999999999998E-2</v>
      </c>
      <c r="G3364" s="1133">
        <f t="shared" si="94"/>
        <v>-51.76</v>
      </c>
      <c r="H3364" s="1133" t="s">
        <v>1666</v>
      </c>
      <c r="I3364" s="1134" t="s">
        <v>2950</v>
      </c>
      <c r="J3364" s="1133">
        <v>15.5</v>
      </c>
      <c r="K3364" s="1133">
        <v>51.77</v>
      </c>
      <c r="L3364" s="1131">
        <f>INT(base[[#This Row],[Data de liquidação]])</f>
        <v>46226</v>
      </c>
      <c r="M3364" s="1133">
        <f>base[[#This Row],[L/P Bruto]]-base[[#This Row],[L/P Líquido]]</f>
        <v>0</v>
      </c>
      <c r="N3364" s="1133">
        <f>base[[#This Row],[L/P Líquido]]/base[[#This Row],[Stake/Responsabilidade]]</f>
        <v>-0.99980683793702907</v>
      </c>
      <c r="O3364" s="1135">
        <f>IF(base[[#This Row],[L/P Líquido]]&gt;0,1,0)</f>
        <v>0</v>
      </c>
      <c r="P3364" s="1135"/>
      <c r="Q3364" s="1135" t="str">
        <f>LEFT(base[[#This Row],[Evento / Mercado]],FIND("vs",base[[#This Row],[Evento / Mercado]])-2)</f>
        <v>Paide Linnameeskond</v>
      </c>
      <c r="R336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5" t="str">
        <f>LEFT(base[[#This Row],[Evento / Mercado]],FIND("/",base[[#This Row],[Evento / Mercado]])-2)</f>
        <v>Paide Linnameeskond vs Zira IK</v>
      </c>
      <c r="T3364" s="1420">
        <f>base[[#This Row],[Data de liquidação]]</f>
        <v>46226.618344907409</v>
      </c>
    </row>
    <row r="3365" spans="2:20" ht="15" customHeight="1">
      <c r="B3365" s="1130" t="s">
        <v>4015</v>
      </c>
      <c r="C3365" s="935" t="s">
        <v>3556</v>
      </c>
      <c r="D3365" s="1401">
        <v>46226.620821759258</v>
      </c>
      <c r="E3365" s="1132">
        <v>4.41</v>
      </c>
      <c r="F3365" s="654">
        <v>4.4999999999999998E-2</v>
      </c>
      <c r="G3365" s="1133">
        <f t="shared" si="94"/>
        <v>4.6178010471204196</v>
      </c>
      <c r="H3365" s="1133" t="s">
        <v>1666</v>
      </c>
      <c r="I3365" s="1134" t="s">
        <v>1759</v>
      </c>
      <c r="J3365" s="1133">
        <v>27</v>
      </c>
      <c r="K3365" s="1133">
        <v>120.12</v>
      </c>
      <c r="L3365" s="1131">
        <f>INT(base[[#This Row],[Data de liquidação]])</f>
        <v>46226</v>
      </c>
      <c r="M3365" s="1133">
        <f>base[[#This Row],[L/P Bruto]]-base[[#This Row],[L/P Líquido]]</f>
        <v>0.20780104712041947</v>
      </c>
      <c r="N3365" s="1133">
        <f>base[[#This Row],[L/P Líquido]]/base[[#This Row],[Stake/Responsabilidade]]</f>
        <v>3.6713286713286712E-2</v>
      </c>
      <c r="O3365" s="1135">
        <f>IF(base[[#This Row],[L/P Líquido]]&gt;0,1,0)</f>
        <v>1</v>
      </c>
      <c r="P3365" s="1135"/>
      <c r="Q3365" s="1135" t="str">
        <f>LEFT(base[[#This Row],[Evento / Mercado]],FIND("vs",base[[#This Row],[Evento / Mercado]])-2)</f>
        <v>Debreceni VSC</v>
      </c>
      <c r="R336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5" t="str">
        <f>LEFT(base[[#This Row],[Evento / Mercado]],FIND("/",base[[#This Row],[Evento / Mercado]])-2)</f>
        <v>Debreceni VSC vs Pyunik FC</v>
      </c>
      <c r="T3365" s="1420">
        <f>base[[#This Row],[Data de liquidação]]</f>
        <v>46226.620821759258</v>
      </c>
    </row>
    <row r="3366" spans="2:20" ht="15" customHeight="1">
      <c r="B3366" s="1130" t="s">
        <v>4021</v>
      </c>
      <c r="C3366" s="1109" t="s">
        <v>3555</v>
      </c>
      <c r="D3366" s="1401">
        <v>46226.893576388888</v>
      </c>
      <c r="E3366" s="1132">
        <v>-36.590000000000003</v>
      </c>
      <c r="F3366" s="654">
        <v>4.4999999999999998E-2</v>
      </c>
      <c r="G3366" s="1133">
        <f t="shared" si="94"/>
        <v>-36.590000000000003</v>
      </c>
      <c r="H3366" s="938" t="s">
        <v>3253</v>
      </c>
      <c r="I3366" s="939" t="s">
        <v>3254</v>
      </c>
      <c r="J3366" s="1133">
        <v>9.1999999999999993</v>
      </c>
      <c r="K3366" s="1133">
        <v>36.590000000000003</v>
      </c>
      <c r="L3366" s="1131">
        <f>INT(base[[#This Row],[Data de liquidação]])</f>
        <v>46226</v>
      </c>
      <c r="M3366" s="1133">
        <f>base[[#This Row],[L/P Bruto]]-base[[#This Row],[L/P Líquido]]</f>
        <v>0</v>
      </c>
      <c r="N3366" s="1133">
        <f>base[[#This Row],[L/P Líquido]]/base[[#This Row],[Stake/Responsabilidade]]</f>
        <v>-1</v>
      </c>
      <c r="O3366" s="1135">
        <f>IF(base[[#This Row],[L/P Líquido]]&gt;0,1,0)</f>
        <v>0</v>
      </c>
      <c r="P3366" s="1135"/>
      <c r="Q3366" s="1135" t="str">
        <f>LEFT(base[[#This Row],[Evento / Mercado]],FIND("vs",base[[#This Row],[Evento / Mercado]])-2)</f>
        <v>Corinthians</v>
      </c>
      <c r="R336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5" t="str">
        <f>LEFT(base[[#This Row],[Evento / Mercado]],FIND("/",base[[#This Row],[Evento / Mercado]])-2)</f>
        <v>Corinthians vs Clube do Remo</v>
      </c>
      <c r="T3366" s="1420">
        <f>base[[#This Row],[Data de liquidação]]</f>
        <v>46226.893576388888</v>
      </c>
    </row>
    <row r="3367" spans="2:20" ht="15" customHeight="1">
      <c r="B3367" s="1130" t="s">
        <v>4012</v>
      </c>
      <c r="C3367" s="1130" t="s">
        <v>3554</v>
      </c>
      <c r="D3367" s="1401">
        <v>46226.893750000003</v>
      </c>
      <c r="E3367" s="1132">
        <v>0.39</v>
      </c>
      <c r="F3367" s="654">
        <v>4.4999999999999998E-2</v>
      </c>
      <c r="G3367" s="1133">
        <f t="shared" si="94"/>
        <v>0.40837696335078538</v>
      </c>
      <c r="H3367" s="1133" t="s">
        <v>3209</v>
      </c>
      <c r="I3367" s="1134" t="s">
        <v>3211</v>
      </c>
      <c r="J3367" s="1133"/>
      <c r="K3367" s="1133">
        <v>100</v>
      </c>
      <c r="L3367" s="1131">
        <f>INT(base[[#This Row],[Data de liquidação]])</f>
        <v>46226</v>
      </c>
      <c r="M3367" s="1133">
        <f>base[[#This Row],[L/P Bruto]]-base[[#This Row],[L/P Líquido]]</f>
        <v>1.8376963350785369E-2</v>
      </c>
      <c r="N3367" s="1133">
        <f>base[[#This Row],[L/P Líquido]]/base[[#This Row],[Stake/Responsabilidade]]</f>
        <v>3.9000000000000003E-3</v>
      </c>
      <c r="O3367" s="1135">
        <f>IF(base[[#This Row],[L/P Líquido]]&gt;0,1,0)</f>
        <v>1</v>
      </c>
      <c r="P3367" s="1135"/>
      <c r="Q3367" s="1135" t="str">
        <f>LEFT(base[[#This Row],[Evento / Mercado]],FIND("vs",base[[#This Row],[Evento / Mercado]])-2)</f>
        <v>Botafogo FR</v>
      </c>
      <c r="R336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5" t="str">
        <f>LEFT(base[[#This Row],[Evento / Mercado]],FIND("/",base[[#This Row],[Evento / Mercado]])-2)</f>
        <v>Botafogo FR vs EC Vitória</v>
      </c>
      <c r="T3367" s="1420">
        <f>base[[#This Row],[Data de liquidação]]</f>
        <v>46226.893750000003</v>
      </c>
    </row>
    <row r="3368" spans="2:20" ht="15" customHeight="1">
      <c r="B3368" s="1130" t="s">
        <v>4014</v>
      </c>
      <c r="C3368" s="935" t="s">
        <v>3556</v>
      </c>
      <c r="D3368" s="1401">
        <v>46226.893773148149</v>
      </c>
      <c r="E3368" s="1132">
        <v>9.1</v>
      </c>
      <c r="F3368" s="654">
        <v>4.4999999999999998E-2</v>
      </c>
      <c r="G3368" s="1133">
        <f t="shared" si="94"/>
        <v>9.5287958115183251</v>
      </c>
      <c r="H3368" s="1133" t="s">
        <v>3330</v>
      </c>
      <c r="I3368" s="1134" t="s">
        <v>3566</v>
      </c>
      <c r="J3368" s="1133">
        <v>8</v>
      </c>
      <c r="K3368" s="1133">
        <v>100.03</v>
      </c>
      <c r="L3368" s="1131">
        <f>INT(base[[#This Row],[Data de liquidação]])</f>
        <v>46226</v>
      </c>
      <c r="M3368" s="1133">
        <f>base[[#This Row],[L/P Bruto]]-base[[#This Row],[L/P Líquido]]</f>
        <v>0.42879581151832546</v>
      </c>
      <c r="N3368" s="1133">
        <f>base[[#This Row],[L/P Líquido]]/base[[#This Row],[Stake/Responsabilidade]]</f>
        <v>9.097270818754373E-2</v>
      </c>
      <c r="O3368" s="1135">
        <f>IF(base[[#This Row],[L/P Líquido]]&gt;0,1,0)</f>
        <v>1</v>
      </c>
      <c r="P3368" s="1135"/>
      <c r="Q3368" s="1135" t="str">
        <f>LEFT(base[[#This Row],[Evento / Mercado]],FIND("vs",base[[#This Row],[Evento / Mercado]])-2)</f>
        <v>Corinthians</v>
      </c>
      <c r="R336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5" t="str">
        <f>LEFT(base[[#This Row],[Evento / Mercado]],FIND("/",base[[#This Row],[Evento / Mercado]])-2)</f>
        <v>Corinthians vs Clube do Remo</v>
      </c>
      <c r="T3368" s="1420">
        <f>base[[#This Row],[Data de liquidação]]</f>
        <v>46226.893773148149</v>
      </c>
    </row>
    <row r="3369" spans="2:20" ht="15" customHeight="1">
      <c r="B3369" s="1130" t="s">
        <v>4014</v>
      </c>
      <c r="C3369" s="1109" t="s">
        <v>3555</v>
      </c>
      <c r="D3369" s="1401">
        <v>46226.893773148149</v>
      </c>
      <c r="E3369" s="1132">
        <v>70.67</v>
      </c>
      <c r="F3369" s="654">
        <v>4.4999999999999998E-2</v>
      </c>
      <c r="G3369" s="1133">
        <f t="shared" si="94"/>
        <v>74</v>
      </c>
      <c r="H3369" s="938" t="s">
        <v>3253</v>
      </c>
      <c r="I3369" s="939" t="s">
        <v>1555</v>
      </c>
      <c r="J3369" s="1133">
        <v>4.4000000000000004</v>
      </c>
      <c r="K3369" s="1133">
        <v>300.02</v>
      </c>
      <c r="L3369" s="1131">
        <f>INT(base[[#This Row],[Data de liquidação]])</f>
        <v>46226</v>
      </c>
      <c r="M3369" s="1133">
        <f>base[[#This Row],[L/P Bruto]]-base[[#This Row],[L/P Líquido]]</f>
        <v>3.3299999999999983</v>
      </c>
      <c r="N3369" s="1133">
        <f>base[[#This Row],[L/P Líquido]]/base[[#This Row],[Stake/Responsabilidade]]</f>
        <v>0.2355509632691154</v>
      </c>
      <c r="O3369" s="1135">
        <f>IF(base[[#This Row],[L/P Líquido]]&gt;0,1,0)</f>
        <v>1</v>
      </c>
      <c r="P3369" s="1135"/>
      <c r="Q3369" s="1135" t="str">
        <f>LEFT(base[[#This Row],[Evento / Mercado]],FIND("vs",base[[#This Row],[Evento / Mercado]])-2)</f>
        <v>Corinthians</v>
      </c>
      <c r="R336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5" t="str">
        <f>LEFT(base[[#This Row],[Evento / Mercado]],FIND("/",base[[#This Row],[Evento / Mercado]])-2)</f>
        <v>Corinthians vs Clube do Remo</v>
      </c>
      <c r="T3369" s="1420">
        <f>base[[#This Row],[Data de liquidação]]</f>
        <v>46226.893773148149</v>
      </c>
    </row>
    <row r="3370" spans="2:20" ht="15" customHeight="1">
      <c r="B3370" s="1130" t="s">
        <v>4013</v>
      </c>
      <c r="C3370" s="935" t="s">
        <v>3556</v>
      </c>
      <c r="D3370" s="1401">
        <v>46226.893912037034</v>
      </c>
      <c r="E3370" s="1132">
        <v>1.41</v>
      </c>
      <c r="F3370" s="654">
        <v>4.4999999999999998E-2</v>
      </c>
      <c r="G3370" s="1133">
        <f t="shared" si="94"/>
        <v>1.4764397905759161</v>
      </c>
      <c r="H3370" s="1053" t="s">
        <v>3817</v>
      </c>
      <c r="I3370" s="1134"/>
      <c r="J3370" s="1133">
        <v>26</v>
      </c>
      <c r="K3370" s="1133">
        <v>500</v>
      </c>
      <c r="L3370" s="1131">
        <f>INT(base[[#This Row],[Data de liquidação]])</f>
        <v>46226</v>
      </c>
      <c r="M3370" s="1133">
        <f>base[[#This Row],[L/P Bruto]]-base[[#This Row],[L/P Líquido]]</f>
        <v>6.6439790575916202E-2</v>
      </c>
      <c r="N3370" s="1133">
        <f>base[[#This Row],[L/P Líquido]]/base[[#This Row],[Stake/Responsabilidade]]</f>
        <v>2.82E-3</v>
      </c>
      <c r="O3370" s="1135">
        <f>IF(base[[#This Row],[L/P Líquido]]&gt;0,1,0)</f>
        <v>1</v>
      </c>
      <c r="P3370" s="1135"/>
      <c r="Q3370" s="1135" t="str">
        <f>LEFT(base[[#This Row],[Evento / Mercado]],FIND("vs",base[[#This Row],[Evento / Mercado]])-2)</f>
        <v>Belgrano</v>
      </c>
      <c r="R337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5" t="str">
        <f>LEFT(base[[#This Row],[Evento / Mercado]],FIND("/",base[[#This Row],[Evento / Mercado]])-2)</f>
        <v>Belgrano vs Rosario Central</v>
      </c>
      <c r="T3370" s="1420">
        <f>base[[#This Row],[Data de liquidação]]</f>
        <v>46226.893912037034</v>
      </c>
    </row>
    <row r="3371" spans="2:20" ht="15" customHeight="1">
      <c r="B3371" s="1130" t="s">
        <v>4012</v>
      </c>
      <c r="C3371" s="1109" t="s">
        <v>3555</v>
      </c>
      <c r="D3371" s="1401">
        <v>46226.893958333334</v>
      </c>
      <c r="E3371" s="1132">
        <v>-13.2</v>
      </c>
      <c r="F3371" s="654">
        <v>4.4999999999999998E-2</v>
      </c>
      <c r="G3371" s="1133">
        <f t="shared" si="94"/>
        <v>-13.2</v>
      </c>
      <c r="H3371" s="938" t="s">
        <v>3253</v>
      </c>
      <c r="I3371" s="939" t="s">
        <v>3254</v>
      </c>
      <c r="J3371" s="1133">
        <v>8.1999999999999993</v>
      </c>
      <c r="K3371" s="1133">
        <v>41.67</v>
      </c>
      <c r="L3371" s="1131">
        <f>INT(base[[#This Row],[Data de liquidação]])</f>
        <v>46226</v>
      </c>
      <c r="M3371" s="1133">
        <f>base[[#This Row],[L/P Bruto]]-base[[#This Row],[L/P Líquido]]</f>
        <v>0</v>
      </c>
      <c r="N3371" s="1133">
        <f>base[[#This Row],[L/P Líquido]]/base[[#This Row],[Stake/Responsabilidade]]</f>
        <v>-0.31677465802735777</v>
      </c>
      <c r="O3371" s="1135">
        <f>IF(base[[#This Row],[L/P Líquido]]&gt;0,1,0)</f>
        <v>0</v>
      </c>
      <c r="P3371" s="1135"/>
      <c r="Q3371" s="1135" t="str">
        <f>LEFT(base[[#This Row],[Evento / Mercado]],FIND("vs",base[[#This Row],[Evento / Mercado]])-2)</f>
        <v>Botafogo FR</v>
      </c>
      <c r="R337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5" t="str">
        <f>LEFT(base[[#This Row],[Evento / Mercado]],FIND("/",base[[#This Row],[Evento / Mercado]])-2)</f>
        <v>Botafogo FR vs EC Vitória</v>
      </c>
      <c r="T3371" s="1420">
        <f>base[[#This Row],[Data de liquidação]]</f>
        <v>46226.893958333334</v>
      </c>
    </row>
    <row r="3372" spans="2:20" ht="15" customHeight="1">
      <c r="B3372" s="1130" t="s">
        <v>4012</v>
      </c>
      <c r="C3372" s="935" t="s">
        <v>3556</v>
      </c>
      <c r="D3372" s="1401">
        <v>46226.893969907411</v>
      </c>
      <c r="E3372" s="1132">
        <v>21.49</v>
      </c>
      <c r="F3372" s="654">
        <v>4.4999999999999998E-2</v>
      </c>
      <c r="G3372" s="1133">
        <f t="shared" si="94"/>
        <v>22.502617801047119</v>
      </c>
      <c r="H3372" s="1133" t="s">
        <v>3271</v>
      </c>
      <c r="I3372" s="1134" t="s">
        <v>627</v>
      </c>
      <c r="J3372" s="1133">
        <v>17</v>
      </c>
      <c r="K3372" s="1133">
        <v>360</v>
      </c>
      <c r="L3372" s="1131">
        <f>INT(base[[#This Row],[Data de liquidação]])</f>
        <v>46226</v>
      </c>
      <c r="M3372" s="1133">
        <f>base[[#This Row],[L/P Bruto]]-base[[#This Row],[L/P Líquido]]</f>
        <v>1.0126178010471207</v>
      </c>
      <c r="N3372" s="1133">
        <f>base[[#This Row],[L/P Líquido]]/base[[#This Row],[Stake/Responsabilidade]]</f>
        <v>5.9694444444444439E-2</v>
      </c>
      <c r="O3372" s="1135">
        <f>IF(base[[#This Row],[L/P Líquido]]&gt;0,1,0)</f>
        <v>1</v>
      </c>
      <c r="P3372" s="1135"/>
      <c r="Q3372" s="1135" t="str">
        <f>LEFT(base[[#This Row],[Evento / Mercado]],FIND("vs",base[[#This Row],[Evento / Mercado]])-2)</f>
        <v>Botafogo FR</v>
      </c>
      <c r="R337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5" t="str">
        <f>LEFT(base[[#This Row],[Evento / Mercado]],FIND("/",base[[#This Row],[Evento / Mercado]])-2)</f>
        <v>Botafogo FR vs EC Vitória</v>
      </c>
      <c r="T3372" s="1420">
        <f>base[[#This Row],[Data de liquidação]]</f>
        <v>46226.893969907411</v>
      </c>
    </row>
    <row r="3373" spans="2:20" ht="15" customHeight="1">
      <c r="B3373" s="1130" t="s">
        <v>4011</v>
      </c>
      <c r="C3373" s="935" t="s">
        <v>3556</v>
      </c>
      <c r="D3373" s="1401">
        <v>46226.894085648149</v>
      </c>
      <c r="E3373" s="1132">
        <v>-5</v>
      </c>
      <c r="F3373" s="654">
        <v>4.4999999999999998E-2</v>
      </c>
      <c r="G3373" s="1133">
        <f t="shared" si="94"/>
        <v>-5</v>
      </c>
      <c r="H3373" s="1133" t="s">
        <v>1666</v>
      </c>
      <c r="I3373" s="1134" t="s">
        <v>2883</v>
      </c>
      <c r="J3373" s="1133">
        <v>1.75</v>
      </c>
      <c r="K3373" s="1133">
        <v>5</v>
      </c>
      <c r="L3373" s="1131">
        <f>INT(base[[#This Row],[Data de liquidação]])</f>
        <v>46226</v>
      </c>
      <c r="M3373" s="1133">
        <f>base[[#This Row],[L/P Bruto]]-base[[#This Row],[L/P Líquido]]</f>
        <v>0</v>
      </c>
      <c r="N3373" s="1133">
        <f>base[[#This Row],[L/P Líquido]]/base[[#This Row],[Stake/Responsabilidade]]</f>
        <v>-1</v>
      </c>
      <c r="O3373" s="1135">
        <f>IF(base[[#This Row],[L/P Líquido]]&gt;0,1,0)</f>
        <v>0</v>
      </c>
      <c r="P3373" s="1135"/>
      <c r="Q3373" s="1135" t="str">
        <f>LEFT(base[[#This Row],[Evento / Mercado]],FIND("vs",base[[#This Row],[Evento / Mercado]])-2)</f>
        <v>Botafogo FR</v>
      </c>
      <c r="R337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5" t="str">
        <f>LEFT(base[[#This Row],[Evento / Mercado]],FIND("/",base[[#This Row],[Evento / Mercado]])-2)</f>
        <v>Botafogo FR vs EC Vitória</v>
      </c>
      <c r="T3373" s="1420">
        <f>base[[#This Row],[Data de liquidação]]</f>
        <v>46226.894085648149</v>
      </c>
    </row>
    <row r="3374" spans="2:20" ht="15" customHeight="1">
      <c r="B3374" s="1130" t="s">
        <v>4010</v>
      </c>
      <c r="C3374" s="935" t="s">
        <v>3556</v>
      </c>
      <c r="D3374" s="1401">
        <v>46226.894097222219</v>
      </c>
      <c r="E3374" s="1132">
        <v>8.06</v>
      </c>
      <c r="F3374" s="654">
        <v>4.4999999999999998E-2</v>
      </c>
      <c r="G3374" s="1133">
        <f t="shared" si="94"/>
        <v>8.4397905759162306</v>
      </c>
      <c r="H3374" s="1133" t="s">
        <v>3330</v>
      </c>
      <c r="I3374" s="1248" t="s">
        <v>4368</v>
      </c>
      <c r="J3374" s="1133">
        <v>5.0999999999999996</v>
      </c>
      <c r="K3374" s="1133">
        <v>100</v>
      </c>
      <c r="L3374" s="1131">
        <f>INT(base[[#This Row],[Data de liquidação]])</f>
        <v>46226</v>
      </c>
      <c r="M3374" s="1133">
        <f>base[[#This Row],[L/P Bruto]]-base[[#This Row],[L/P Líquido]]</f>
        <v>0.37979057591623011</v>
      </c>
      <c r="N3374" s="1133">
        <f>base[[#This Row],[L/P Líquido]]/base[[#This Row],[Stake/Responsabilidade]]</f>
        <v>8.0600000000000005E-2</v>
      </c>
      <c r="O3374" s="1135">
        <f>IF(base[[#This Row],[L/P Líquido]]&gt;0,1,0)</f>
        <v>1</v>
      </c>
      <c r="P3374" s="1135"/>
      <c r="Q3374" s="1135" t="str">
        <f>LEFT(base[[#This Row],[Evento / Mercado]],FIND("vs",base[[#This Row],[Evento / Mercado]])-2)</f>
        <v>Botafogo FR</v>
      </c>
      <c r="R337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5" t="str">
        <f>LEFT(base[[#This Row],[Evento / Mercado]],FIND("/",base[[#This Row],[Evento / Mercado]])-2)</f>
        <v>Botafogo FR vs EC Vitória</v>
      </c>
      <c r="T3374" s="1420">
        <f>base[[#This Row],[Data de liquidação]]</f>
        <v>46226.894097222219</v>
      </c>
    </row>
    <row r="3375" spans="2:20" ht="15" customHeight="1">
      <c r="B3375" s="1130" t="s">
        <v>4010</v>
      </c>
      <c r="C3375" s="1109" t="s">
        <v>3555</v>
      </c>
      <c r="D3375" s="1401">
        <v>46226.894097222219</v>
      </c>
      <c r="E3375" s="1132">
        <v>-92.18</v>
      </c>
      <c r="F3375" s="654">
        <v>4.4999999999999998E-2</v>
      </c>
      <c r="G3375" s="1133">
        <f t="shared" si="94"/>
        <v>-92.18</v>
      </c>
      <c r="H3375" s="938" t="s">
        <v>3253</v>
      </c>
      <c r="I3375" s="939" t="s">
        <v>1555</v>
      </c>
      <c r="J3375" s="1133">
        <v>3.9</v>
      </c>
      <c r="K3375" s="1133">
        <v>300.01</v>
      </c>
      <c r="L3375" s="1131">
        <f>INT(base[[#This Row],[Data de liquidação]])</f>
        <v>46226</v>
      </c>
      <c r="M3375" s="1133">
        <f>base[[#This Row],[L/P Bruto]]-base[[#This Row],[L/P Líquido]]</f>
        <v>0</v>
      </c>
      <c r="N3375" s="1133">
        <f>base[[#This Row],[L/P Líquido]]/base[[#This Row],[Stake/Responsabilidade]]</f>
        <v>-0.30725642478584053</v>
      </c>
      <c r="O3375" s="1135">
        <f>IF(base[[#This Row],[L/P Líquido]]&gt;0,1,0)</f>
        <v>0</v>
      </c>
      <c r="P3375" s="1135"/>
      <c r="Q3375" s="1135" t="str">
        <f>LEFT(base[[#This Row],[Evento / Mercado]],FIND("vs",base[[#This Row],[Evento / Mercado]])-2)</f>
        <v>Botafogo FR</v>
      </c>
      <c r="R337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5" t="str">
        <f>LEFT(base[[#This Row],[Evento / Mercado]],FIND("/",base[[#This Row],[Evento / Mercado]])-2)</f>
        <v>Botafogo FR vs EC Vitória</v>
      </c>
      <c r="T3375" s="1420">
        <f>base[[#This Row],[Data de liquidação]]</f>
        <v>46226.894097222219</v>
      </c>
    </row>
    <row r="3376" spans="2:20" ht="15" customHeight="1">
      <c r="B3376" s="1130" t="s">
        <v>4009</v>
      </c>
      <c r="C3376" s="935" t="s">
        <v>3556</v>
      </c>
      <c r="D3376" s="1401">
        <v>46226.895115740743</v>
      </c>
      <c r="E3376" s="1132">
        <v>-11.43</v>
      </c>
      <c r="F3376" s="654">
        <v>4.4999999999999998E-2</v>
      </c>
      <c r="G3376" s="1133">
        <f t="shared" si="94"/>
        <v>-11.43</v>
      </c>
      <c r="H3376" s="1113" t="s">
        <v>3922</v>
      </c>
      <c r="I3376" s="1134"/>
      <c r="J3376" s="1133">
        <v>36</v>
      </c>
      <c r="K3376" s="1133">
        <v>500.15</v>
      </c>
      <c r="L3376" s="1131">
        <f>INT(base[[#This Row],[Data de liquidação]])</f>
        <v>46226</v>
      </c>
      <c r="M3376" s="1133">
        <f>base[[#This Row],[L/P Bruto]]-base[[#This Row],[L/P Líquido]]</f>
        <v>0</v>
      </c>
      <c r="N3376" s="1133">
        <f>base[[#This Row],[L/P Líquido]]/base[[#This Row],[Stake/Responsabilidade]]</f>
        <v>-2.2853144056782966E-2</v>
      </c>
      <c r="O3376" s="1135">
        <f>IF(base[[#This Row],[L/P Líquido]]&gt;0,1,0)</f>
        <v>0</v>
      </c>
      <c r="P3376" s="1135"/>
      <c r="Q3376" s="1135" t="str">
        <f>LEFT(base[[#This Row],[Evento / Mercado]],FIND("vs",base[[#This Row],[Evento / Mercado]])-2)</f>
        <v>Athletic Club MG</v>
      </c>
      <c r="R337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5" t="str">
        <f>LEFT(base[[#This Row],[Evento / Mercado]],FIND("/",base[[#This Row],[Evento / Mercado]])-2)</f>
        <v>Athletic Club MG vs São Bernardo FC</v>
      </c>
      <c r="T3376" s="1420">
        <f>base[[#This Row],[Data de liquidação]]</f>
        <v>46226.895115740743</v>
      </c>
    </row>
    <row r="3377" spans="2:22" ht="15" customHeight="1">
      <c r="B3377" s="1130" t="s">
        <v>4008</v>
      </c>
      <c r="C3377" s="935" t="s">
        <v>3556</v>
      </c>
      <c r="D3377" s="1401">
        <v>46226.896145833336</v>
      </c>
      <c r="E3377" s="1132">
        <v>-17.239999999999998</v>
      </c>
      <c r="F3377" s="654">
        <v>4.4999999999999998E-2</v>
      </c>
      <c r="G3377" s="1133">
        <f t="shared" si="94"/>
        <v>-17.239999999999998</v>
      </c>
      <c r="H3377" s="1053" t="s">
        <v>3817</v>
      </c>
      <c r="I3377" s="1134"/>
      <c r="J3377" s="1133">
        <v>30</v>
      </c>
      <c r="K3377" s="1133">
        <f>351.05+149.06</f>
        <v>500.11</v>
      </c>
      <c r="L3377" s="1131">
        <f>INT(base[[#This Row],[Data de liquidação]])</f>
        <v>46226</v>
      </c>
      <c r="M3377" s="1133">
        <f>base[[#This Row],[L/P Bruto]]-base[[#This Row],[L/P Líquido]]</f>
        <v>0</v>
      </c>
      <c r="N3377" s="1133">
        <f>base[[#This Row],[L/P Líquido]]/base[[#This Row],[Stake/Responsabilidade]]</f>
        <v>-3.4472416068464934E-2</v>
      </c>
      <c r="O3377" s="1135">
        <f>IF(base[[#This Row],[L/P Líquido]]&gt;0,1,0)</f>
        <v>0</v>
      </c>
      <c r="P3377" s="1135"/>
      <c r="Q3377" s="1135" t="str">
        <f>LEFT(base[[#This Row],[Evento / Mercado]],FIND("vs",base[[#This Row],[Evento / Mercado]])-2)</f>
        <v>Club Atlético Sarmiento</v>
      </c>
      <c r="R337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5" t="str">
        <f>LEFT(base[[#This Row],[Evento / Mercado]],FIND("/",base[[#This Row],[Evento / Mercado]])-2)</f>
        <v>Club Atlético Sarmiento vs Argentinos Juniors</v>
      </c>
      <c r="T3377" s="1420">
        <f>base[[#This Row],[Data de liquidação]]</f>
        <v>46226.896145833336</v>
      </c>
    </row>
    <row r="3378" spans="2:22" ht="15" customHeight="1">
      <c r="B3378" s="1130" t="s">
        <v>4007</v>
      </c>
      <c r="C3378" s="935" t="s">
        <v>3556</v>
      </c>
      <c r="D3378" s="1401">
        <v>46226.911238425928</v>
      </c>
      <c r="E3378" s="1132">
        <v>7.38</v>
      </c>
      <c r="F3378" s="654">
        <v>4.4999999999999998E-2</v>
      </c>
      <c r="G3378" s="1133">
        <f t="shared" si="94"/>
        <v>7.7277486910994764</v>
      </c>
      <c r="H3378" s="1133" t="s">
        <v>1666</v>
      </c>
      <c r="I3378" s="1134" t="s">
        <v>2301</v>
      </c>
      <c r="J3378" s="1133">
        <v>1.52</v>
      </c>
      <c r="K3378" s="1133">
        <v>15</v>
      </c>
      <c r="L3378" s="1131">
        <f>INT(base[[#This Row],[Data de liquidação]])</f>
        <v>46226</v>
      </c>
      <c r="M3378" s="1133">
        <f>base[[#This Row],[L/P Bruto]]-base[[#This Row],[L/P Líquido]]</f>
        <v>0.34774869109947648</v>
      </c>
      <c r="N3378" s="1133">
        <f>base[[#This Row],[L/P Líquido]]/base[[#This Row],[Stake/Responsabilidade]]</f>
        <v>0.49199999999999999</v>
      </c>
      <c r="O3378" s="1135">
        <f>IF(base[[#This Row],[L/P Líquido]]&gt;0,1,0)</f>
        <v>1</v>
      </c>
      <c r="P3378" s="1135"/>
      <c r="Q3378" s="1135" t="str">
        <f>LEFT(base[[#This Row],[Evento / Mercado]],FIND("vs",base[[#This Row],[Evento / Mercado]])-2)</f>
        <v>Cuiabá EC</v>
      </c>
      <c r="R337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5" t="str">
        <f>LEFT(base[[#This Row],[Evento / Mercado]],FIND("/",base[[#This Row],[Evento / Mercado]])-2)</f>
        <v>Cuiabá EC vs Atlético Goianiense</v>
      </c>
      <c r="T3378" s="1420">
        <f>base[[#This Row],[Data de liquidação]]</f>
        <v>46226.911238425928</v>
      </c>
    </row>
    <row r="3379" spans="2:22" ht="15" customHeight="1">
      <c r="B3379" s="1130" t="s">
        <v>4006</v>
      </c>
      <c r="C3379" s="935" t="s">
        <v>3556</v>
      </c>
      <c r="D3379" s="1401">
        <v>46226.957951388889</v>
      </c>
      <c r="E3379" s="1132">
        <v>286.52</v>
      </c>
      <c r="F3379" s="654">
        <v>4.4999999999999998E-2</v>
      </c>
      <c r="G3379" s="1133">
        <f t="shared" si="94"/>
        <v>300.02094240837698</v>
      </c>
      <c r="H3379" s="1133" t="s">
        <v>3253</v>
      </c>
      <c r="I3379" s="1134" t="s">
        <v>3254</v>
      </c>
      <c r="J3379" s="1133">
        <v>7.2</v>
      </c>
      <c r="K3379" s="1133">
        <v>48.39</v>
      </c>
      <c r="L3379" s="1131">
        <f>INT(base[[#This Row],[Data de liquidação]])</f>
        <v>46226</v>
      </c>
      <c r="M3379" s="1133">
        <f>base[[#This Row],[L/P Bruto]]-base[[#This Row],[L/P Líquido]]</f>
        <v>13.500942408377</v>
      </c>
      <c r="N3379" s="1133">
        <f>base[[#This Row],[L/P Líquido]]/base[[#This Row],[Stake/Responsabilidade]]</f>
        <v>5.921058069849142</v>
      </c>
      <c r="O3379" s="1135">
        <f>IF(base[[#This Row],[L/P Líquido]]&gt;0,1,0)</f>
        <v>1</v>
      </c>
      <c r="P3379" s="1135"/>
      <c r="Q3379" s="1135" t="str">
        <f>LEFT(base[[#This Row],[Evento / Mercado]],FIND("vs",base[[#This Row],[Evento / Mercado]])-2)</f>
        <v>Emelec</v>
      </c>
      <c r="R337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5" t="str">
        <f>LEFT(base[[#This Row],[Evento / Mercado]],FIND("/",base[[#This Row],[Evento / Mercado]])-2)</f>
        <v>Emelec vs Mushuc Runa</v>
      </c>
      <c r="T3379" s="1420">
        <f>base[[#This Row],[Data de liquidação]]</f>
        <v>46226.957951388889</v>
      </c>
    </row>
    <row r="3380" spans="2:22" ht="15" customHeight="1">
      <c r="B3380" s="1130" t="s">
        <v>4005</v>
      </c>
      <c r="C3380" s="935" t="s">
        <v>3556</v>
      </c>
      <c r="D3380" s="1401">
        <v>46226.958009259259</v>
      </c>
      <c r="E3380" s="1132">
        <v>-300</v>
      </c>
      <c r="F3380" s="654">
        <v>4.4999999999999998E-2</v>
      </c>
      <c r="G3380" s="1133">
        <f t="shared" si="94"/>
        <v>-300</v>
      </c>
      <c r="H3380" s="1133" t="s">
        <v>3253</v>
      </c>
      <c r="I3380" s="1082" t="s">
        <v>1555</v>
      </c>
      <c r="J3380" s="1133">
        <v>3.7</v>
      </c>
      <c r="K3380" s="1133">
        <v>300</v>
      </c>
      <c r="L3380" s="1131">
        <f>INT(base[[#This Row],[Data de liquidação]])</f>
        <v>46226</v>
      </c>
      <c r="M3380" s="1133">
        <f>base[[#This Row],[L/P Bruto]]-base[[#This Row],[L/P Líquido]]</f>
        <v>0</v>
      </c>
      <c r="N3380" s="1133">
        <f>base[[#This Row],[L/P Líquido]]/base[[#This Row],[Stake/Responsabilidade]]</f>
        <v>-1</v>
      </c>
      <c r="O3380" s="1135">
        <f>IF(base[[#This Row],[L/P Líquido]]&gt;0,1,0)</f>
        <v>0</v>
      </c>
      <c r="P3380" s="1135"/>
      <c r="Q3380" s="1135" t="str">
        <f>LEFT(base[[#This Row],[Evento / Mercado]],FIND("vs",base[[#This Row],[Evento / Mercado]])-2)</f>
        <v>Emelec</v>
      </c>
      <c r="R338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5" t="str">
        <f>LEFT(base[[#This Row],[Evento / Mercado]],FIND("/",base[[#This Row],[Evento / Mercado]])-2)</f>
        <v>Emelec vs Mushuc Runa</v>
      </c>
      <c r="T3380" s="1420">
        <f>base[[#This Row],[Data de liquidação]]</f>
        <v>46226.958009259259</v>
      </c>
    </row>
    <row r="3381" spans="2:22" ht="15" customHeight="1">
      <c r="B3381" s="1130" t="s">
        <v>4004</v>
      </c>
      <c r="C3381" s="935" t="s">
        <v>3556</v>
      </c>
      <c r="D3381" s="1401">
        <v>46226.976111111115</v>
      </c>
      <c r="E3381" s="1132">
        <v>6.79</v>
      </c>
      <c r="F3381" s="654">
        <v>4.4999999999999998E-2</v>
      </c>
      <c r="G3381" s="1133">
        <f t="shared" si="94"/>
        <v>7.1099476439790577</v>
      </c>
      <c r="H3381" s="1133" t="s">
        <v>3330</v>
      </c>
      <c r="I3381" s="1134" t="s">
        <v>3566</v>
      </c>
      <c r="J3381" s="1133">
        <v>12</v>
      </c>
      <c r="K3381" s="1133">
        <v>99.99</v>
      </c>
      <c r="L3381" s="1131">
        <f>INT(base[[#This Row],[Data de liquidação]])</f>
        <v>46226</v>
      </c>
      <c r="M3381" s="1133">
        <f>base[[#This Row],[L/P Bruto]]-base[[#This Row],[L/P Líquido]]</f>
        <v>0.31994764397905762</v>
      </c>
      <c r="N3381" s="1133">
        <f>base[[#This Row],[L/P Líquido]]/base[[#This Row],[Stake/Responsabilidade]]</f>
        <v>6.7906790679067908E-2</v>
      </c>
      <c r="O3381" s="1135">
        <f>IF(base[[#This Row],[L/P Líquido]]&gt;0,1,0)</f>
        <v>1</v>
      </c>
      <c r="P3381" s="1135"/>
      <c r="Q3381" s="1135" t="str">
        <f>LEFT(base[[#This Row],[Evento / Mercado]],FIND("vs",base[[#This Row],[Evento / Mercado]])-2)</f>
        <v>Santa Fe</v>
      </c>
      <c r="R338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5" t="str">
        <f>LEFT(base[[#This Row],[Evento / Mercado]],FIND("/",base[[#This Row],[Evento / Mercado]])-2)</f>
        <v>Santa Fe vs Caracas FC</v>
      </c>
      <c r="T3381" s="1420">
        <f>base[[#This Row],[Data de liquidação]]</f>
        <v>46226.976111111115</v>
      </c>
    </row>
    <row r="3382" spans="2:22" ht="15" customHeight="1">
      <c r="B3382" s="1130" t="s">
        <v>4003</v>
      </c>
      <c r="C3382" s="935" t="s">
        <v>3556</v>
      </c>
      <c r="D3382" s="1401">
        <v>46226.986296296294</v>
      </c>
      <c r="E3382" s="1132">
        <v>18.36</v>
      </c>
      <c r="F3382" s="654">
        <v>4.4999999999999998E-2</v>
      </c>
      <c r="G3382" s="1133">
        <f t="shared" si="94"/>
        <v>19.225130890052355</v>
      </c>
      <c r="H3382" s="1113" t="s">
        <v>3922</v>
      </c>
      <c r="I3382" s="1134"/>
      <c r="J3382" s="1133">
        <v>27</v>
      </c>
      <c r="K3382" s="1133">
        <v>499.98</v>
      </c>
      <c r="L3382" s="1131">
        <f>INT(base[[#This Row],[Data de liquidação]])</f>
        <v>46226</v>
      </c>
      <c r="M3382" s="1133">
        <f>base[[#This Row],[L/P Bruto]]-base[[#This Row],[L/P Líquido]]</f>
        <v>0.86513089005235599</v>
      </c>
      <c r="N3382" s="1133">
        <f>base[[#This Row],[L/P Líquido]]/base[[#This Row],[Stake/Responsabilidade]]</f>
        <v>3.6721468858754346E-2</v>
      </c>
      <c r="O3382" s="1135">
        <f>IF(base[[#This Row],[L/P Líquido]]&gt;0,1,0)</f>
        <v>1</v>
      </c>
      <c r="P3382" s="1135"/>
      <c r="Q3382" s="1135" t="str">
        <f>LEFT(base[[#This Row],[Evento / Mercado]],FIND("vs",base[[#This Row],[Evento / Mercado]])-2)</f>
        <v>Defensa y Justicia</v>
      </c>
      <c r="R338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5" t="str">
        <f>LEFT(base[[#This Row],[Evento / Mercado]],FIND("/",base[[#This Row],[Evento / Mercado]])-2)</f>
        <v>Defensa y Justicia vs Aldosivi</v>
      </c>
      <c r="T3382" s="1420">
        <f>base[[#This Row],[Data de liquidação]]</f>
        <v>46226.986296296294</v>
      </c>
    </row>
    <row r="3383" spans="2:22" ht="15" customHeight="1">
      <c r="B3383" s="1130" t="s">
        <v>4002</v>
      </c>
      <c r="C3383" s="935" t="s">
        <v>3556</v>
      </c>
      <c r="D3383" s="1401">
        <v>46226.98642361111</v>
      </c>
      <c r="E3383" s="1132">
        <v>-99.79</v>
      </c>
      <c r="F3383" s="654">
        <v>4.4999999999999998E-2</v>
      </c>
      <c r="G3383" s="1133">
        <f t="shared" si="94"/>
        <v>-99.79</v>
      </c>
      <c r="H3383" s="1133" t="s">
        <v>3921</v>
      </c>
      <c r="I3383" s="1133"/>
      <c r="J3383" s="1133">
        <v>1.52</v>
      </c>
      <c r="K3383" s="1133">
        <v>300</v>
      </c>
      <c r="L3383" s="1131">
        <f>INT(base[[#This Row],[Data de liquidação]])</f>
        <v>46226</v>
      </c>
      <c r="M3383" s="1133">
        <f>base[[#This Row],[L/P Bruto]]-base[[#This Row],[L/P Líquido]]</f>
        <v>0</v>
      </c>
      <c r="N3383" s="1133">
        <f>base[[#This Row],[L/P Líquido]]/base[[#This Row],[Stake/Responsabilidade]]</f>
        <v>-0.33263333333333334</v>
      </c>
      <c r="O3383" s="1135">
        <f>IF(base[[#This Row],[L/P Líquido]]&gt;0,1,0)</f>
        <v>0</v>
      </c>
      <c r="P3383" s="1135"/>
      <c r="Q3383" s="1135" t="str">
        <f>LEFT(base[[#This Row],[Evento / Mercado]],FIND("vs",base[[#This Row],[Evento / Mercado]])-2)</f>
        <v>Defensa y Justicia</v>
      </c>
      <c r="R338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5" t="str">
        <f>LEFT(base[[#This Row],[Evento / Mercado]],FIND("/",base[[#This Row],[Evento / Mercado]])-2)</f>
        <v>Defensa y Justicia vs Aldosivi</v>
      </c>
      <c r="T3383" s="1420">
        <f>base[[#This Row],[Data de liquidação]]</f>
        <v>46226.98642361111</v>
      </c>
    </row>
    <row r="3384" spans="2:22" ht="15" customHeight="1">
      <c r="B3384" s="1138" t="s">
        <v>4041</v>
      </c>
      <c r="C3384" s="935" t="s">
        <v>3556</v>
      </c>
      <c r="D3384" s="1402">
        <v>46227.660405092596</v>
      </c>
      <c r="E3384" s="1140">
        <v>10.67</v>
      </c>
      <c r="F3384" s="654">
        <v>4.4999999999999998E-2</v>
      </c>
      <c r="G3384" s="1141">
        <f t="shared" ref="G3384:G3402" si="95">IF(E3384&gt;0,E3384/(1-F3384),E3384)</f>
        <v>11.172774869109949</v>
      </c>
      <c r="H3384" s="1141" t="s">
        <v>3330</v>
      </c>
      <c r="I3384" s="1142" t="s">
        <v>3566</v>
      </c>
      <c r="J3384" s="1141">
        <v>5.7</v>
      </c>
      <c r="K3384" s="1141">
        <v>100.02</v>
      </c>
      <c r="L3384" s="1139">
        <f>INT(base[[#This Row],[Data de liquidação]])</f>
        <v>46227</v>
      </c>
      <c r="M3384" s="1141">
        <f>base[[#This Row],[L/P Bruto]]-base[[#This Row],[L/P Líquido]]</f>
        <v>0.50277486910994895</v>
      </c>
      <c r="N3384" s="1141">
        <f>base[[#This Row],[L/P Líquido]]/base[[#This Row],[Stake/Responsabilidade]]</f>
        <v>0.10667866426714658</v>
      </c>
      <c r="O3384" s="1143">
        <f>IF(base[[#This Row],[L/P Líquido]]&gt;0,1,0)</f>
        <v>1</v>
      </c>
      <c r="P3384" s="1143"/>
      <c r="Q3384" s="1143" t="str">
        <f>LEFT(base[[#This Row],[Evento / Mercado]],FIND("vs",base[[#This Row],[Evento / Mercado]])-2)</f>
        <v>Västerås SK FK</v>
      </c>
      <c r="R338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3" t="str">
        <f>LEFT(base[[#This Row],[Evento / Mercado]],FIND("/",base[[#This Row],[Evento / Mercado]])-2)</f>
        <v>Västerås SK FK vs Örgryte IS</v>
      </c>
      <c r="T3384" s="1420">
        <f>base[[#This Row],[Data de liquidação]]</f>
        <v>46227.660405092596</v>
      </c>
    </row>
    <row r="3385" spans="2:22" ht="15" customHeight="1">
      <c r="B3385" s="1138" t="s">
        <v>4040</v>
      </c>
      <c r="C3385" s="935" t="s">
        <v>3556</v>
      </c>
      <c r="D3385" s="1402">
        <v>46227.692395833335</v>
      </c>
      <c r="E3385" s="1140">
        <v>0.71</v>
      </c>
      <c r="F3385" s="654">
        <v>4.4999999999999998E-2</v>
      </c>
      <c r="G3385" s="1141">
        <f t="shared" si="95"/>
        <v>0.74345549738219896</v>
      </c>
      <c r="H3385" s="1141" t="s">
        <v>1666</v>
      </c>
      <c r="I3385" s="1142" t="s">
        <v>2362</v>
      </c>
      <c r="J3385" s="1141">
        <v>1.07</v>
      </c>
      <c r="K3385" s="1141">
        <v>10</v>
      </c>
      <c r="L3385" s="1139">
        <f>INT(base[[#This Row],[Data de liquidação]])</f>
        <v>46227</v>
      </c>
      <c r="M3385" s="1141">
        <f>base[[#This Row],[L/P Bruto]]-base[[#This Row],[L/P Líquido]]</f>
        <v>3.3455497382198995E-2</v>
      </c>
      <c r="N3385" s="1141">
        <f>base[[#This Row],[L/P Líquido]]/base[[#This Row],[Stake/Responsabilidade]]</f>
        <v>7.0999999999999994E-2</v>
      </c>
      <c r="O3385" s="1143">
        <f>IF(base[[#This Row],[L/P Líquido]]&gt;0,1,0)</f>
        <v>1</v>
      </c>
      <c r="P3385" s="1143"/>
      <c r="Q3385" s="1143" t="str">
        <f>LEFT(base[[#This Row],[Evento / Mercado]],FIND("vs",base[[#This Row],[Evento / Mercado]])-2)</f>
        <v>St. Patrick's Athletic</v>
      </c>
      <c r="R338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3" t="str">
        <f>LEFT(base[[#This Row],[Evento / Mercado]],FIND("/",base[[#This Row],[Evento / Mercado]])-2)</f>
        <v>St. Patrick's Athletic vs Dundalk</v>
      </c>
      <c r="T3385" s="1420">
        <f>base[[#This Row],[Data de liquidação]]</f>
        <v>46227.692395833335</v>
      </c>
    </row>
    <row r="3386" spans="2:22" ht="15" customHeight="1">
      <c r="B3386" s="1138" t="s">
        <v>4039</v>
      </c>
      <c r="C3386" s="935" t="s">
        <v>3556</v>
      </c>
      <c r="D3386" s="1402">
        <v>46227.745162037034</v>
      </c>
      <c r="E3386" s="1140">
        <v>14.668799999999999</v>
      </c>
      <c r="F3386" s="654">
        <v>4.4999999999999998E-2</v>
      </c>
      <c r="G3386" s="1141">
        <f t="shared" si="95"/>
        <v>15.36</v>
      </c>
      <c r="H3386" s="1141" t="s">
        <v>3334</v>
      </c>
      <c r="I3386" s="1142" t="s">
        <v>627</v>
      </c>
      <c r="J3386" s="1141">
        <v>29</v>
      </c>
      <c r="K3386" s="1141">
        <v>430.08</v>
      </c>
      <c r="L3386" s="1139">
        <f>INT(base[[#This Row],[Data de liquidação]])</f>
        <v>46227</v>
      </c>
      <c r="M3386" s="1141">
        <f>base[[#This Row],[L/P Bruto]]-base[[#This Row],[L/P Líquido]]</f>
        <v>0.69120000000000026</v>
      </c>
      <c r="N3386" s="1141">
        <f>base[[#This Row],[L/P Líquido]]/base[[#This Row],[Stake/Responsabilidade]]</f>
        <v>3.4107142857142857E-2</v>
      </c>
      <c r="O3386" s="1143">
        <f>IF(base[[#This Row],[L/P Líquido]]&gt;0,1,0)</f>
        <v>1</v>
      </c>
      <c r="P3386" s="1143"/>
      <c r="Q3386" s="1143" t="str">
        <f>LEFT(base[[#This Row],[Evento / Mercado]],FIND("vs",base[[#This Row],[Evento / Mercado]])-2)</f>
        <v>St. Patrick's Athletic</v>
      </c>
      <c r="R338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3" t="str">
        <f>LEFT(base[[#This Row],[Evento / Mercado]],FIND("/",base[[#This Row],[Evento / Mercado]])-2)</f>
        <v>St. Patrick's Athletic vs Dundalk</v>
      </c>
      <c r="T3386" s="142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138" t="s">
        <v>4039</v>
      </c>
      <c r="C3387" s="935" t="s">
        <v>3556</v>
      </c>
      <c r="D3387" s="1402">
        <v>46227.745162037034</v>
      </c>
      <c r="E3387" s="1140">
        <v>49.039250000000003</v>
      </c>
      <c r="F3387" s="654">
        <v>4.4999999999999998E-2</v>
      </c>
      <c r="G3387" s="1141">
        <f t="shared" ref="G3387" si="97">IF(E3387&gt;0,E3387/(1-F3387),E3387)</f>
        <v>51.35</v>
      </c>
      <c r="H3387" s="1141" t="s">
        <v>3271</v>
      </c>
      <c r="I3387" s="1142" t="s">
        <v>627</v>
      </c>
      <c r="J3387" s="1141">
        <v>8.4</v>
      </c>
      <c r="K3387" s="1141">
        <v>379.99</v>
      </c>
      <c r="L3387" s="1139">
        <f>INT(base[[#This Row],[Data de liquidação]])</f>
        <v>46227</v>
      </c>
      <c r="M3387" s="1141">
        <f>base[[#This Row],[L/P Bruto]]-base[[#This Row],[L/P Líquido]]</f>
        <v>2.3107499999999987</v>
      </c>
      <c r="N3387" s="1141">
        <f>base[[#This Row],[L/P Líquido]]/base[[#This Row],[Stake/Responsabilidade]]</f>
        <v>0.12905405405405407</v>
      </c>
      <c r="O3387" s="1143">
        <f>IF(base[[#This Row],[L/P Líquido]]&gt;0,1,0)</f>
        <v>1</v>
      </c>
      <c r="P3387" s="1143"/>
      <c r="Q3387" s="1143" t="str">
        <f>LEFT(base[[#This Row],[Evento / Mercado]],FIND("vs",base[[#This Row],[Evento / Mercado]])-2)</f>
        <v>St. Patrick's Athletic</v>
      </c>
      <c r="R338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3" t="str">
        <f>LEFT(base[[#This Row],[Evento / Mercado]],FIND("/",base[[#This Row],[Evento / Mercado]])-2)</f>
        <v>St. Patrick's Athletic vs Dundalk</v>
      </c>
      <c r="T3387" s="142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138" t="s">
        <v>4038</v>
      </c>
      <c r="C3388" s="935" t="s">
        <v>3556</v>
      </c>
      <c r="D3388" s="1402">
        <v>46227.747175925928</v>
      </c>
      <c r="E3388" s="1140">
        <v>11.95</v>
      </c>
      <c r="F3388" s="654">
        <v>4.4999999999999998E-2</v>
      </c>
      <c r="G3388" s="1141">
        <f t="shared" si="95"/>
        <v>12.513089005235601</v>
      </c>
      <c r="H3388" s="1113" t="s">
        <v>3922</v>
      </c>
      <c r="I3388" s="1142"/>
      <c r="J3388" s="1141">
        <v>38</v>
      </c>
      <c r="K3388" s="1141">
        <v>499.87</v>
      </c>
      <c r="L3388" s="1139">
        <f>INT(base[[#This Row],[Data de liquidação]])</f>
        <v>46227</v>
      </c>
      <c r="M3388" s="1141">
        <f>base[[#This Row],[L/P Bruto]]-base[[#This Row],[L/P Líquido]]</f>
        <v>0.5630890052356019</v>
      </c>
      <c r="N3388" s="1141">
        <f>base[[#This Row],[L/P Líquido]]/base[[#This Row],[Stake/Responsabilidade]]</f>
        <v>2.3906215616060173E-2</v>
      </c>
      <c r="O3388" s="1143">
        <f>IF(base[[#This Row],[L/P Líquido]]&gt;0,1,0)</f>
        <v>1</v>
      </c>
      <c r="P3388" s="1143"/>
      <c r="Q3388" s="1143" t="str">
        <f>LEFT(base[[#This Row],[Evento / Mercado]],FIND("vs",base[[#This Row],[Evento / Mercado]])-2)</f>
        <v>Club 2 de Mayo</v>
      </c>
      <c r="R338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3" t="str">
        <f>LEFT(base[[#This Row],[Evento / Mercado]],FIND("/",base[[#This Row],[Evento / Mercado]])-2)</f>
        <v>Club 2 de Mayo vs Rubio Ñú</v>
      </c>
      <c r="T3388" s="1420">
        <f>base[[#This Row],[Data de liquidação]]</f>
        <v>46227.747175925928</v>
      </c>
    </row>
    <row r="3389" spans="2:22" ht="15" customHeight="1">
      <c r="B3389" s="1138" t="s">
        <v>4037</v>
      </c>
      <c r="C3389" s="935" t="s">
        <v>3556</v>
      </c>
      <c r="D3389" s="1402">
        <v>46227.785057870373</v>
      </c>
      <c r="E3389" s="1140">
        <v>7.69</v>
      </c>
      <c r="F3389" s="654">
        <v>4.4999999999999998E-2</v>
      </c>
      <c r="G3389" s="1141">
        <f t="shared" si="95"/>
        <v>8.0523560209424083</v>
      </c>
      <c r="H3389" s="1141" t="s">
        <v>3330</v>
      </c>
      <c r="I3389" s="1142" t="s">
        <v>3566</v>
      </c>
      <c r="J3389" s="1141">
        <v>9.6</v>
      </c>
      <c r="K3389" s="1141">
        <v>100.02</v>
      </c>
      <c r="L3389" s="1139">
        <f>INT(base[[#This Row],[Data de liquidação]])</f>
        <v>46227</v>
      </c>
      <c r="M3389" s="1141">
        <f>base[[#This Row],[L/P Bruto]]-base[[#This Row],[L/P Líquido]]</f>
        <v>0.36235602094240793</v>
      </c>
      <c r="N3389" s="1141">
        <f>base[[#This Row],[L/P Líquido]]/base[[#This Row],[Stake/Responsabilidade]]</f>
        <v>7.6884623075384934E-2</v>
      </c>
      <c r="O3389" s="1143">
        <f>IF(base[[#This Row],[L/P Líquido]]&gt;0,1,0)</f>
        <v>1</v>
      </c>
      <c r="P3389" s="1143"/>
      <c r="Q3389" s="1143" t="str">
        <f>LEFT(base[[#This Row],[Evento / Mercado]],FIND("vs",base[[#This Row],[Evento / Mercado]])-2)</f>
        <v>Víkingur</v>
      </c>
      <c r="R338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3" t="str">
        <f>LEFT(base[[#This Row],[Evento / Mercado]],FIND("/",base[[#This Row],[Evento / Mercado]])-2)</f>
        <v>Víkingur vs Keflavik IF</v>
      </c>
      <c r="T3389" s="1420">
        <f>base[[#This Row],[Data de liquidação]]</f>
        <v>46227.785057870373</v>
      </c>
    </row>
    <row r="3390" spans="2:22" ht="15" customHeight="1">
      <c r="B3390" s="1138" t="s">
        <v>4036</v>
      </c>
      <c r="C3390" s="935" t="s">
        <v>3556</v>
      </c>
      <c r="D3390" s="1402">
        <v>46227.788773148146</v>
      </c>
      <c r="E3390" s="1140">
        <v>26.53</v>
      </c>
      <c r="F3390" s="654">
        <v>4.4999999999999998E-2</v>
      </c>
      <c r="G3390" s="1141">
        <f t="shared" si="95"/>
        <v>27.780104712041886</v>
      </c>
      <c r="H3390" s="1141" t="s">
        <v>3868</v>
      </c>
      <c r="I3390" s="1142" t="s">
        <v>627</v>
      </c>
      <c r="J3390" s="1141">
        <v>19</v>
      </c>
      <c r="K3390" s="1141">
        <v>500.04</v>
      </c>
      <c r="L3390" s="1139">
        <f>INT(base[[#This Row],[Data de liquidação]])</f>
        <v>46227</v>
      </c>
      <c r="M3390" s="1141">
        <f>base[[#This Row],[L/P Bruto]]-base[[#This Row],[L/P Líquido]]</f>
        <v>1.2501047120418853</v>
      </c>
      <c r="N3390" s="1141">
        <f>base[[#This Row],[L/P Líquido]]/base[[#This Row],[Stake/Responsabilidade]]</f>
        <v>5.3055755539556833E-2</v>
      </c>
      <c r="O3390" s="1143">
        <f>IF(base[[#This Row],[L/P Líquido]]&gt;0,1,0)</f>
        <v>1</v>
      </c>
      <c r="P3390" s="1143"/>
      <c r="Q3390" s="1143" t="str">
        <f>LEFT(base[[#This Row],[Evento / Mercado]],FIND("vs",base[[#This Row],[Evento / Mercado]])-2)</f>
        <v>Alianza Atletico</v>
      </c>
      <c r="R339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3" t="str">
        <f>LEFT(base[[#This Row],[Evento / Mercado]],FIND("/",base[[#This Row],[Evento / Mercado]])-2)</f>
        <v>Alianza Atletico vs CD Los Chankas</v>
      </c>
      <c r="T3390" s="1420">
        <f>base[[#This Row],[Data de liquidação]]</f>
        <v>46227.788773148146</v>
      </c>
    </row>
    <row r="3391" spans="2:22" ht="15" customHeight="1">
      <c r="B3391" s="1138" t="s">
        <v>4035</v>
      </c>
      <c r="C3391" s="935" t="s">
        <v>3556</v>
      </c>
      <c r="D3391" s="1402">
        <v>46227.855775462966</v>
      </c>
      <c r="E3391" s="1140">
        <v>-126.09</v>
      </c>
      <c r="F3391" s="654">
        <v>4.4999999999999998E-2</v>
      </c>
      <c r="G3391" s="1141">
        <f t="shared" si="95"/>
        <v>-126.09</v>
      </c>
      <c r="H3391" s="1133" t="s">
        <v>3921</v>
      </c>
      <c r="I3391" s="1142"/>
      <c r="J3391" s="1141">
        <v>1.6</v>
      </c>
      <c r="K3391" s="1141">
        <v>300</v>
      </c>
      <c r="L3391" s="1139">
        <f>INT(base[[#This Row],[Data de liquidação]])</f>
        <v>46227</v>
      </c>
      <c r="M3391" s="1141">
        <f>base[[#This Row],[L/P Bruto]]-base[[#This Row],[L/P Líquido]]</f>
        <v>0</v>
      </c>
      <c r="N3391" s="1141">
        <f>base[[#This Row],[L/P Líquido]]/base[[#This Row],[Stake/Responsabilidade]]</f>
        <v>-0.42030000000000001</v>
      </c>
      <c r="O3391" s="1143">
        <f>IF(base[[#This Row],[L/P Líquido]]&gt;0,1,0)</f>
        <v>0</v>
      </c>
      <c r="P3391" s="1143"/>
      <c r="Q3391" s="1143" t="str">
        <f>LEFT(base[[#This Row],[Evento / Mercado]],FIND("vs",base[[#This Row],[Evento / Mercado]])-2)</f>
        <v>Racing Club</v>
      </c>
      <c r="R339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3" t="str">
        <f>LEFT(base[[#This Row],[Evento / Mercado]],FIND("/",base[[#This Row],[Evento / Mercado]])-2)</f>
        <v>Racing Club vs Gimnasia y Esgrima La Plata</v>
      </c>
      <c r="T3391" s="1420">
        <f>base[[#This Row],[Data de liquidação]]</f>
        <v>46227.855775462966</v>
      </c>
    </row>
    <row r="3392" spans="2:22" ht="15" customHeight="1">
      <c r="B3392" s="1138" t="s">
        <v>4034</v>
      </c>
      <c r="C3392" s="935" t="s">
        <v>3556</v>
      </c>
      <c r="D3392" s="1402">
        <v>46227.858506944445</v>
      </c>
      <c r="E3392" s="1140">
        <v>2.88</v>
      </c>
      <c r="F3392" s="654">
        <v>4.4999999999999998E-2</v>
      </c>
      <c r="G3392" s="1141">
        <f t="shared" si="95"/>
        <v>3.0157068062827226</v>
      </c>
      <c r="H3392" s="1141" t="s">
        <v>1666</v>
      </c>
      <c r="I3392" s="1142" t="s">
        <v>2883</v>
      </c>
      <c r="J3392" s="1141">
        <v>1.6</v>
      </c>
      <c r="K3392" s="1141">
        <v>5</v>
      </c>
      <c r="L3392" s="1139">
        <f>INT(base[[#This Row],[Data de liquidação]])</f>
        <v>46227</v>
      </c>
      <c r="M3392" s="1141">
        <f>base[[#This Row],[L/P Bruto]]-base[[#This Row],[L/P Líquido]]</f>
        <v>0.13570680628272269</v>
      </c>
      <c r="N3392" s="1141">
        <f>base[[#This Row],[L/P Líquido]]/base[[#This Row],[Stake/Responsabilidade]]</f>
        <v>0.57599999999999996</v>
      </c>
      <c r="O3392" s="1143">
        <f>IF(base[[#This Row],[L/P Líquido]]&gt;0,1,0)</f>
        <v>1</v>
      </c>
      <c r="P3392" s="1143"/>
      <c r="Q3392" s="1143" t="str">
        <f>LEFT(base[[#This Row],[Evento / Mercado]],FIND("vs",base[[#This Row],[Evento / Mercado]])-2)</f>
        <v>Club Aurora</v>
      </c>
      <c r="R339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3" t="str">
        <f>LEFT(base[[#This Row],[Evento / Mercado]],FIND("/",base[[#This Row],[Evento / Mercado]])-2)</f>
        <v>Club Aurora vs Academia de Balompie Boliviano</v>
      </c>
      <c r="T3392" s="1420">
        <f>base[[#This Row],[Data de liquidação]]</f>
        <v>46227.858506944445</v>
      </c>
    </row>
    <row r="3393" spans="2:20" ht="15" customHeight="1">
      <c r="B3393" s="1138" t="s">
        <v>4033</v>
      </c>
      <c r="C3393" s="935" t="s">
        <v>3556</v>
      </c>
      <c r="D3393" s="1402">
        <v>46227.872743055559</v>
      </c>
      <c r="E3393" s="1140">
        <v>1.03</v>
      </c>
      <c r="F3393" s="654">
        <v>4.4999999999999998E-2</v>
      </c>
      <c r="G3393" s="1141">
        <f t="shared" si="95"/>
        <v>1.0785340314136127</v>
      </c>
      <c r="H3393" s="1113" t="s">
        <v>3922</v>
      </c>
      <c r="I3393" s="1142"/>
      <c r="J3393" s="1141">
        <v>22</v>
      </c>
      <c r="K3393" s="1141">
        <v>500.01</v>
      </c>
      <c r="L3393" s="1139">
        <f>INT(base[[#This Row],[Data de liquidação]])</f>
        <v>46227</v>
      </c>
      <c r="M3393" s="1141">
        <f>base[[#This Row],[L/P Bruto]]-base[[#This Row],[L/P Líquido]]</f>
        <v>4.8534031413612677E-2</v>
      </c>
      <c r="N3393" s="1141">
        <f>base[[#This Row],[L/P Líquido]]/base[[#This Row],[Stake/Responsabilidade]]</f>
        <v>2.0599588008239837E-3</v>
      </c>
      <c r="O3393" s="1143">
        <f>IF(base[[#This Row],[L/P Líquido]]&gt;0,1,0)</f>
        <v>1</v>
      </c>
      <c r="P3393" s="1143"/>
      <c r="Q3393" s="1143" t="str">
        <f>LEFT(base[[#This Row],[Evento / Mercado]],FIND("vs",base[[#This Row],[Evento / Mercado]])-2)</f>
        <v>Racing Club</v>
      </c>
      <c r="R339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3" t="str">
        <f>LEFT(base[[#This Row],[Evento / Mercado]],FIND("/",base[[#This Row],[Evento / Mercado]])-2)</f>
        <v>Racing Club vs Gimnasia y Esgrima La Plata</v>
      </c>
      <c r="T3393" s="1420">
        <f>base[[#This Row],[Data de liquidação]]</f>
        <v>46227.872743055559</v>
      </c>
    </row>
    <row r="3394" spans="2:20" ht="15" customHeight="1">
      <c r="B3394" s="1138" t="s">
        <v>4032</v>
      </c>
      <c r="C3394" s="935" t="s">
        <v>3556</v>
      </c>
      <c r="D3394" s="1402">
        <v>46227.874374999999</v>
      </c>
      <c r="E3394" s="1140">
        <v>-51.72</v>
      </c>
      <c r="F3394" s="654">
        <v>4.4999999999999998E-2</v>
      </c>
      <c r="G3394" s="1141">
        <f t="shared" si="95"/>
        <v>-51.72</v>
      </c>
      <c r="H3394" s="1133" t="s">
        <v>3253</v>
      </c>
      <c r="I3394" s="1134" t="s">
        <v>3254</v>
      </c>
      <c r="J3394" s="1141">
        <v>6.8</v>
      </c>
      <c r="K3394" s="1141">
        <v>51.72</v>
      </c>
      <c r="L3394" s="1139">
        <f>INT(base[[#This Row],[Data de liquidação]])</f>
        <v>46227</v>
      </c>
      <c r="M3394" s="1141">
        <f>base[[#This Row],[L/P Bruto]]-base[[#This Row],[L/P Líquido]]</f>
        <v>0</v>
      </c>
      <c r="N3394" s="1141">
        <f>base[[#This Row],[L/P Líquido]]/base[[#This Row],[Stake/Responsabilidade]]</f>
        <v>-1</v>
      </c>
      <c r="O3394" s="1143">
        <f>IF(base[[#This Row],[L/P Líquido]]&gt;0,1,0)</f>
        <v>0</v>
      </c>
      <c r="P3394" s="1143"/>
      <c r="Q3394" s="1143" t="str">
        <f>LEFT(base[[#This Row],[Evento / Mercado]],FIND("vs",base[[#This Row],[Evento / Mercado]])-2)</f>
        <v>Vélez Sársfield</v>
      </c>
      <c r="R339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3" t="str">
        <f>LEFT(base[[#This Row],[Evento / Mercado]],FIND("/",base[[#This Row],[Evento / Mercado]])-2)</f>
        <v>Vélez Sársfield vs Instituto de Córdoba</v>
      </c>
      <c r="T3394" s="1420">
        <f>base[[#This Row],[Data de liquidação]]</f>
        <v>46227.874374999999</v>
      </c>
    </row>
    <row r="3395" spans="2:20" ht="15" customHeight="1">
      <c r="B3395" s="1138" t="s">
        <v>4031</v>
      </c>
      <c r="C3395" s="935" t="s">
        <v>3556</v>
      </c>
      <c r="D3395" s="1402">
        <v>46227.874525462961</v>
      </c>
      <c r="E3395" s="1140">
        <v>136.43</v>
      </c>
      <c r="F3395" s="654">
        <v>4.4999999999999998E-2</v>
      </c>
      <c r="G3395" s="1141">
        <f t="shared" si="95"/>
        <v>142.85863874345551</v>
      </c>
      <c r="H3395" s="938" t="s">
        <v>3253</v>
      </c>
      <c r="I3395" s="939" t="s">
        <v>1555</v>
      </c>
      <c r="J3395" s="1141">
        <v>3.1</v>
      </c>
      <c r="K3395" s="1141">
        <v>300.01</v>
      </c>
      <c r="L3395" s="1139">
        <f>INT(base[[#This Row],[Data de liquidação]])</f>
        <v>46227</v>
      </c>
      <c r="M3395" s="1141">
        <f>base[[#This Row],[L/P Bruto]]-base[[#This Row],[L/P Líquido]]</f>
        <v>6.4286387434555081</v>
      </c>
      <c r="N3395" s="1141">
        <f>base[[#This Row],[L/P Líquido]]/base[[#This Row],[Stake/Responsabilidade]]</f>
        <v>0.45475150828305727</v>
      </c>
      <c r="O3395" s="1143">
        <f>IF(base[[#This Row],[L/P Líquido]]&gt;0,1,0)</f>
        <v>1</v>
      </c>
      <c r="P3395" s="1143"/>
      <c r="Q3395" s="1143" t="str">
        <f>LEFT(base[[#This Row],[Evento / Mercado]],FIND("vs",base[[#This Row],[Evento / Mercado]])-2)</f>
        <v>Vélez Sársfield</v>
      </c>
      <c r="R339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3" t="str">
        <f>LEFT(base[[#This Row],[Evento / Mercado]],FIND("/",base[[#This Row],[Evento / Mercado]])-2)</f>
        <v>Vélez Sársfield vs Instituto de Córdoba</v>
      </c>
      <c r="T3395" s="1420">
        <f>base[[#This Row],[Data de liquidação]]</f>
        <v>46227.874525462961</v>
      </c>
    </row>
    <row r="3396" spans="2:20" ht="15" customHeight="1">
      <c r="B3396" s="1138" t="s">
        <v>4030</v>
      </c>
      <c r="C3396" s="935" t="s">
        <v>3556</v>
      </c>
      <c r="D3396" s="1402">
        <v>46227.922129629631</v>
      </c>
      <c r="E3396" s="1140">
        <v>11.02</v>
      </c>
      <c r="F3396" s="654">
        <v>4.4999999999999998E-2</v>
      </c>
      <c r="G3396" s="1141">
        <f t="shared" si="95"/>
        <v>11.539267015706807</v>
      </c>
      <c r="H3396" s="1053" t="s">
        <v>3817</v>
      </c>
      <c r="I3396" s="1142"/>
      <c r="J3396" s="1141">
        <v>32</v>
      </c>
      <c r="K3396" s="1141">
        <v>500.03</v>
      </c>
      <c r="L3396" s="1139">
        <f>INT(base[[#This Row],[Data de liquidação]])</f>
        <v>46227</v>
      </c>
      <c r="M3396" s="1141">
        <f>base[[#This Row],[L/P Bruto]]-base[[#This Row],[L/P Líquido]]</f>
        <v>0.51926701570680756</v>
      </c>
      <c r="N3396" s="1141">
        <f>base[[#This Row],[L/P Líquido]]/base[[#This Row],[Stake/Responsabilidade]]</f>
        <v>2.2038677679339241E-2</v>
      </c>
      <c r="O3396" s="1143">
        <f>IF(base[[#This Row],[L/P Líquido]]&gt;0,1,0)</f>
        <v>1</v>
      </c>
      <c r="P3396" s="1143"/>
      <c r="Q3396" s="1143" t="str">
        <f>LEFT(base[[#This Row],[Evento / Mercado]],FIND("vs",base[[#This Row],[Evento / Mercado]])-2)</f>
        <v>Llaneros FC Villavicencio</v>
      </c>
      <c r="R339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3" t="str">
        <f>LEFT(base[[#This Row],[Evento / Mercado]],FIND("/",base[[#This Row],[Evento / Mercado]])-2)</f>
        <v>Llaneros FC Villavicencio vs Deportivo Pereira</v>
      </c>
      <c r="T3396" s="1420">
        <f>base[[#This Row],[Data de liquidação]]</f>
        <v>46227.922129629631</v>
      </c>
    </row>
    <row r="3397" spans="2:20" ht="15" customHeight="1">
      <c r="B3397" s="1138" t="s">
        <v>4029</v>
      </c>
      <c r="C3397" s="935" t="s">
        <v>3556</v>
      </c>
      <c r="D3397" s="1402">
        <v>46227.967673611114</v>
      </c>
      <c r="E3397" s="1140">
        <v>11.38</v>
      </c>
      <c r="F3397" s="654">
        <v>4.4999999999999998E-2</v>
      </c>
      <c r="G3397" s="1141">
        <f t="shared" si="95"/>
        <v>11.916230366492147</v>
      </c>
      <c r="H3397" s="1053" t="s">
        <v>3817</v>
      </c>
      <c r="I3397" s="1142"/>
      <c r="J3397" s="1141">
        <v>30</v>
      </c>
      <c r="K3397" s="1141">
        <v>499.96</v>
      </c>
      <c r="L3397" s="1139">
        <f>INT(base[[#This Row],[Data de liquidação]])</f>
        <v>46227</v>
      </c>
      <c r="M3397" s="1141">
        <f>base[[#This Row],[L/P Bruto]]-base[[#This Row],[L/P Líquido]]</f>
        <v>0.53623036649214662</v>
      </c>
      <c r="N3397" s="1141">
        <f>base[[#This Row],[L/P Líquido]]/base[[#This Row],[Stake/Responsabilidade]]</f>
        <v>2.2761820945675658E-2</v>
      </c>
      <c r="O3397" s="1143">
        <f>IF(base[[#This Row],[L/P Líquido]]&gt;0,1,0)</f>
        <v>1</v>
      </c>
      <c r="P3397" s="1143"/>
      <c r="Q3397" s="1143" t="str">
        <f>LEFT(base[[#This Row],[Evento / Mercado]],FIND("vs",base[[#This Row],[Evento / Mercado]])-2)</f>
        <v>CA Huracan</v>
      </c>
      <c r="R339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3" t="str">
        <f>LEFT(base[[#This Row],[Evento / Mercado]],FIND("/",base[[#This Row],[Evento / Mercado]])-2)</f>
        <v>CA Huracan vs Banfield</v>
      </c>
      <c r="T3397" s="1420">
        <f>base[[#This Row],[Data de liquidação]]</f>
        <v>46227.967673611114</v>
      </c>
    </row>
    <row r="3398" spans="2:20" ht="15" customHeight="1">
      <c r="B3398" s="1138" t="s">
        <v>4028</v>
      </c>
      <c r="C3398" s="935" t="s">
        <v>3556</v>
      </c>
      <c r="D3398" s="1402">
        <v>46227.967766203707</v>
      </c>
      <c r="E3398" s="1140">
        <v>10.61</v>
      </c>
      <c r="F3398" s="654">
        <v>4.4999999999999998E-2</v>
      </c>
      <c r="G3398" s="1141">
        <f t="shared" si="95"/>
        <v>11.109947643979057</v>
      </c>
      <c r="H3398" s="1113" t="s">
        <v>3922</v>
      </c>
      <c r="I3398" s="1134"/>
      <c r="J3398" s="1141">
        <v>46</v>
      </c>
      <c r="K3398" s="1141">
        <v>499.95</v>
      </c>
      <c r="L3398" s="1139">
        <f>INT(base[[#This Row],[Data de liquidação]])</f>
        <v>46227</v>
      </c>
      <c r="M3398" s="1141">
        <f>base[[#This Row],[L/P Bruto]]-base[[#This Row],[L/P Líquido]]</f>
        <v>0.49994764397905733</v>
      </c>
      <c r="N3398" s="1141">
        <f>base[[#This Row],[L/P Líquido]]/base[[#This Row],[Stake/Responsabilidade]]</f>
        <v>2.1222122212221223E-2</v>
      </c>
      <c r="O3398" s="1143">
        <f>IF(base[[#This Row],[L/P Líquido]]&gt;0,1,0)</f>
        <v>1</v>
      </c>
      <c r="P3398" s="1143"/>
      <c r="Q3398" s="1143" t="str">
        <f>LEFT(base[[#This Row],[Evento / Mercado]],FIND("vs",base[[#This Row],[Evento / Mercado]])-2)</f>
        <v>Platense</v>
      </c>
      <c r="R339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3" t="str">
        <f>LEFT(base[[#This Row],[Evento / Mercado]],FIND("/",base[[#This Row],[Evento / Mercado]])-2)</f>
        <v>Platense vs Unión de Santa Fe</v>
      </c>
      <c r="T3398" s="1420">
        <f>base[[#This Row],[Data de liquidação]]</f>
        <v>46227.967766203707</v>
      </c>
    </row>
    <row r="3399" spans="2:20" ht="15" customHeight="1">
      <c r="B3399" s="1138" t="s">
        <v>4027</v>
      </c>
      <c r="C3399" s="935" t="s">
        <v>3556</v>
      </c>
      <c r="D3399" s="1402">
        <v>46227.976226851853</v>
      </c>
      <c r="E3399" s="1140">
        <v>-5</v>
      </c>
      <c r="F3399" s="654">
        <v>4.4999999999999998E-2</v>
      </c>
      <c r="G3399" s="1141">
        <f t="shared" si="95"/>
        <v>-5</v>
      </c>
      <c r="H3399" s="1141" t="s">
        <v>1666</v>
      </c>
      <c r="I3399" s="1142" t="s">
        <v>2883</v>
      </c>
      <c r="J3399" s="1141">
        <v>1.69</v>
      </c>
      <c r="K3399" s="1141">
        <v>5</v>
      </c>
      <c r="L3399" s="1139">
        <f>INT(base[[#This Row],[Data de liquidação]])</f>
        <v>46227</v>
      </c>
      <c r="M3399" s="1141">
        <f>base[[#This Row],[L/P Bruto]]-base[[#This Row],[L/P Líquido]]</f>
        <v>0</v>
      </c>
      <c r="N3399" s="1141">
        <f>base[[#This Row],[L/P Líquido]]/base[[#This Row],[Stake/Responsabilidade]]</f>
        <v>-1</v>
      </c>
      <c r="O3399" s="1143">
        <f>IF(base[[#This Row],[L/P Líquido]]&gt;0,1,0)</f>
        <v>0</v>
      </c>
      <c r="P3399" s="1143"/>
      <c r="Q3399" s="1143" t="str">
        <f>LEFT(base[[#This Row],[Evento / Mercado]],FIND("vs",base[[#This Row],[Evento / Mercado]])-2)</f>
        <v>Deportes Iquique</v>
      </c>
      <c r="R339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3" t="str">
        <f>LEFT(base[[#This Row],[Evento / Mercado]],FIND("/",base[[#This Row],[Evento / Mercado]])-2)</f>
        <v>Deportes Iquique vs Deportes Temuco</v>
      </c>
      <c r="T3399" s="1420">
        <f>base[[#This Row],[Data de liquidação]]</f>
        <v>46227.976226851853</v>
      </c>
    </row>
    <row r="3400" spans="2:20" ht="15" customHeight="1">
      <c r="B3400" s="1138" t="s">
        <v>4026</v>
      </c>
      <c r="C3400" s="935" t="s">
        <v>3556</v>
      </c>
      <c r="D3400" s="1402">
        <v>46227.981678240743</v>
      </c>
      <c r="E3400" s="1140">
        <v>15.17</v>
      </c>
      <c r="F3400" s="654">
        <v>4.4999999999999998E-2</v>
      </c>
      <c r="G3400" s="1141">
        <f t="shared" si="95"/>
        <v>15.884816753926701</v>
      </c>
      <c r="H3400" s="1141" t="s">
        <v>3334</v>
      </c>
      <c r="I3400" s="1142" t="s">
        <v>627</v>
      </c>
      <c r="J3400" s="1141">
        <v>29</v>
      </c>
      <c r="K3400" s="1141">
        <v>444.92</v>
      </c>
      <c r="L3400" s="1139">
        <f>INT(base[[#This Row],[Data de liquidação]])</f>
        <v>46227</v>
      </c>
      <c r="M3400" s="1141">
        <f>base[[#This Row],[L/P Bruto]]-base[[#This Row],[L/P Líquido]]</f>
        <v>0.71481675392670141</v>
      </c>
      <c r="N3400" s="1141">
        <f>base[[#This Row],[L/P Líquido]]/base[[#This Row],[Stake/Responsabilidade]]</f>
        <v>3.4096017261530158E-2</v>
      </c>
      <c r="O3400" s="1143">
        <f>IF(base[[#This Row],[L/P Líquido]]&gt;0,1,0)</f>
        <v>1</v>
      </c>
      <c r="P3400" s="1143"/>
      <c r="Q3400" s="1143" t="str">
        <f>LEFT(base[[#This Row],[Evento / Mercado]],FIND("vs",base[[#This Row],[Evento / Mercado]])-2)</f>
        <v>Colo-Colo</v>
      </c>
      <c r="R340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3" t="str">
        <f>LEFT(base[[#This Row],[Evento / Mercado]],FIND("/",base[[#This Row],[Evento / Mercado]])-2)</f>
        <v>Colo-Colo vs Deportes Limache</v>
      </c>
      <c r="T3400" s="1420">
        <f>base[[#This Row],[Data de liquidação]]</f>
        <v>46227.981678240743</v>
      </c>
    </row>
    <row r="3401" spans="2:20" ht="15" customHeight="1">
      <c r="B3401" s="1138" t="s">
        <v>4026</v>
      </c>
      <c r="C3401" s="1109" t="s">
        <v>3555</v>
      </c>
      <c r="D3401" s="1402">
        <v>46227.981678240743</v>
      </c>
      <c r="E3401" s="1140">
        <v>-33.33</v>
      </c>
      <c r="F3401" s="654">
        <v>4.4999999999999998E-2</v>
      </c>
      <c r="G3401" s="1141">
        <f t="shared" si="95"/>
        <v>-33.33</v>
      </c>
      <c r="H3401" s="1133" t="s">
        <v>3253</v>
      </c>
      <c r="I3401" s="1134" t="s">
        <v>3254</v>
      </c>
      <c r="J3401" s="1141">
        <v>10</v>
      </c>
      <c r="K3401" s="1141">
        <v>33.33</v>
      </c>
      <c r="L3401" s="1139">
        <f>INT(base[[#This Row],[Data de liquidação]])</f>
        <v>46227</v>
      </c>
      <c r="M3401" s="1141">
        <f>base[[#This Row],[L/P Bruto]]-base[[#This Row],[L/P Líquido]]</f>
        <v>0</v>
      </c>
      <c r="N3401" s="1141">
        <f>base[[#This Row],[L/P Líquido]]/base[[#This Row],[Stake/Responsabilidade]]</f>
        <v>-1</v>
      </c>
      <c r="O3401" s="1143">
        <f>IF(base[[#This Row],[L/P Líquido]]&gt;0,1,0)</f>
        <v>0</v>
      </c>
      <c r="P3401" s="1143"/>
      <c r="Q3401" s="1143" t="str">
        <f>LEFT(base[[#This Row],[Evento / Mercado]],FIND("vs",base[[#This Row],[Evento / Mercado]])-2)</f>
        <v>Colo-Colo</v>
      </c>
      <c r="R340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3" t="str">
        <f>LEFT(base[[#This Row],[Evento / Mercado]],FIND("/",base[[#This Row],[Evento / Mercado]])-2)</f>
        <v>Colo-Colo vs Deportes Limache</v>
      </c>
      <c r="T3401" s="1420">
        <f>base[[#This Row],[Data de liquidação]]</f>
        <v>46227.981678240743</v>
      </c>
    </row>
    <row r="3402" spans="2:20" ht="15" customHeight="1">
      <c r="B3402" s="1138" t="s">
        <v>4042</v>
      </c>
      <c r="C3402" s="1109" t="s">
        <v>3555</v>
      </c>
      <c r="D3402" s="1402">
        <v>46227.981793981482</v>
      </c>
      <c r="E3402" s="1140">
        <v>59.19</v>
      </c>
      <c r="F3402" s="654">
        <v>4.4999999999999998E-2</v>
      </c>
      <c r="G3402" s="1141">
        <f t="shared" si="95"/>
        <v>61.97905759162304</v>
      </c>
      <c r="H3402" s="938" t="s">
        <v>3253</v>
      </c>
      <c r="I3402" s="939" t="s">
        <v>1555</v>
      </c>
      <c r="J3402" s="1141">
        <v>4.8</v>
      </c>
      <c r="K3402" s="1141">
        <v>300.01</v>
      </c>
      <c r="L3402" s="1139">
        <f>INT(base[[#This Row],[Data de liquidação]])</f>
        <v>46227</v>
      </c>
      <c r="M3402" s="1141">
        <f>base[[#This Row],[L/P Bruto]]-base[[#This Row],[L/P Líquido]]</f>
        <v>2.7890575916230418</v>
      </c>
      <c r="N3402" s="1141">
        <f>base[[#This Row],[L/P Líquido]]/base[[#This Row],[Stake/Responsabilidade]]</f>
        <v>0.19729342355254825</v>
      </c>
      <c r="O3402" s="1143">
        <f>IF(base[[#This Row],[L/P Líquido]]&gt;0,1,0)</f>
        <v>1</v>
      </c>
      <c r="P3402" s="1143"/>
      <c r="Q3402" s="1143" t="str">
        <f>LEFT(base[[#This Row],[Evento / Mercado]],FIND("vs",base[[#This Row],[Evento / Mercado]])-2)</f>
        <v>Colo-Colo</v>
      </c>
      <c r="R340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3" t="str">
        <f>LEFT(base[[#This Row],[Evento / Mercado]],FIND("/",base[[#This Row],[Evento / Mercado]])-2)</f>
        <v>Colo-Colo vs Deportes Limache</v>
      </c>
      <c r="T3402" s="1420">
        <f>base[[#This Row],[Data de liquidação]]</f>
        <v>46227.981793981482</v>
      </c>
    </row>
    <row r="3403" spans="2:20" ht="15" customHeight="1">
      <c r="B3403" s="1144" t="s">
        <v>4085</v>
      </c>
      <c r="C3403" s="935" t="s">
        <v>3556</v>
      </c>
      <c r="D3403" s="1403">
        <v>46228.006041666667</v>
      </c>
      <c r="E3403" s="1146">
        <v>-22.69</v>
      </c>
      <c r="F3403" s="654">
        <v>4.4999999999999998E-2</v>
      </c>
      <c r="G3403" s="1147">
        <f t="shared" ref="G3403:G3434" si="98">IF(E3403&gt;0,E3403/(1-F3403),E3403)</f>
        <v>-22.69</v>
      </c>
      <c r="H3403" s="1133" t="s">
        <v>3253</v>
      </c>
      <c r="I3403" s="1134" t="s">
        <v>3254</v>
      </c>
      <c r="J3403" s="1147">
        <v>8.1999999999999993</v>
      </c>
      <c r="K3403" s="1147">
        <v>41.67</v>
      </c>
      <c r="L3403" s="1145">
        <f>INT(base[[#This Row],[Data de liquidação]])</f>
        <v>46228</v>
      </c>
      <c r="M3403" s="1147">
        <f>base[[#This Row],[L/P Bruto]]-base[[#This Row],[L/P Líquido]]</f>
        <v>0</v>
      </c>
      <c r="N3403" s="1147">
        <f>base[[#This Row],[L/P Líquido]]/base[[#This Row],[Stake/Responsabilidade]]</f>
        <v>-0.54451643868490518</v>
      </c>
      <c r="O3403" s="1149">
        <f>IF(base[[#This Row],[L/P Líquido]]&gt;0,1,0)</f>
        <v>0</v>
      </c>
      <c r="P3403" s="1149"/>
      <c r="Q3403" s="1149" t="str">
        <f>LEFT(base[[#This Row],[Evento / Mercado]],FIND("vs",base[[#This Row],[Evento / Mercado]])-2)</f>
        <v>Deportivo Cali</v>
      </c>
      <c r="R340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9" t="str">
        <f>LEFT(base[[#This Row],[Evento / Mercado]],FIND("/",base[[#This Row],[Evento / Mercado]])-2)</f>
        <v>Deportivo Cali vs Jaguares de Córdoba</v>
      </c>
      <c r="T3403" s="1420">
        <f>base[[#This Row],[Data de liquidação]]</f>
        <v>46228.006041666667</v>
      </c>
    </row>
    <row r="3404" spans="2:20" ht="15" customHeight="1">
      <c r="B3404" s="1144" t="s">
        <v>4085</v>
      </c>
      <c r="C3404" s="1109" t="s">
        <v>3555</v>
      </c>
      <c r="D3404" s="1403">
        <v>46228.006041666667</v>
      </c>
      <c r="E3404" s="1146">
        <v>-18.72</v>
      </c>
      <c r="F3404" s="654">
        <v>4.4999999999999998E-2</v>
      </c>
      <c r="G3404" s="1147">
        <f t="shared" si="98"/>
        <v>-18.72</v>
      </c>
      <c r="H3404" s="1147" t="s">
        <v>3868</v>
      </c>
      <c r="I3404" s="1148" t="s">
        <v>627</v>
      </c>
      <c r="J3404" s="1147">
        <v>18</v>
      </c>
      <c r="K3404" s="1147">
        <v>499.97</v>
      </c>
      <c r="L3404" s="1145">
        <f>INT(base[[#This Row],[Data de liquidação]])</f>
        <v>46228</v>
      </c>
      <c r="M3404" s="1147">
        <f>base[[#This Row],[L/P Bruto]]-base[[#This Row],[L/P Líquido]]</f>
        <v>0</v>
      </c>
      <c r="N3404" s="1147">
        <f>base[[#This Row],[L/P Líquido]]/base[[#This Row],[Stake/Responsabilidade]]</f>
        <v>-3.7442246534792084E-2</v>
      </c>
      <c r="O3404" s="1149">
        <f>IF(base[[#This Row],[L/P Líquido]]&gt;0,1,0)</f>
        <v>0</v>
      </c>
      <c r="P3404" s="1149"/>
      <c r="Q3404" s="1149" t="str">
        <f>LEFT(base[[#This Row],[Evento / Mercado]],FIND("vs",base[[#This Row],[Evento / Mercado]])-2)</f>
        <v>Deportivo Cali</v>
      </c>
      <c r="R340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9" t="str">
        <f>LEFT(base[[#This Row],[Evento / Mercado]],FIND("/",base[[#This Row],[Evento / Mercado]])-2)</f>
        <v>Deportivo Cali vs Jaguares de Córdoba</v>
      </c>
      <c r="T3404" s="1420">
        <f>base[[#This Row],[Data de liquidação]]</f>
        <v>46228.006041666667</v>
      </c>
    </row>
    <row r="3405" spans="2:20" ht="15" customHeight="1">
      <c r="B3405" s="1144" t="s">
        <v>4084</v>
      </c>
      <c r="C3405" s="935" t="s">
        <v>3556</v>
      </c>
      <c r="D3405" s="1403">
        <v>46228.006157407406</v>
      </c>
      <c r="E3405" s="1146">
        <v>-89.57</v>
      </c>
      <c r="F3405" s="654">
        <v>4.4999999999999998E-2</v>
      </c>
      <c r="G3405" s="1147">
        <f t="shared" si="98"/>
        <v>-89.57</v>
      </c>
      <c r="H3405" s="938" t="s">
        <v>3253</v>
      </c>
      <c r="I3405" s="939" t="s">
        <v>1555</v>
      </c>
      <c r="J3405" s="1147">
        <v>3.85</v>
      </c>
      <c r="K3405" s="1147">
        <v>299.99</v>
      </c>
      <c r="L3405" s="1145">
        <f>INT(base[[#This Row],[Data de liquidação]])</f>
        <v>46228</v>
      </c>
      <c r="M3405" s="1147">
        <f>base[[#This Row],[L/P Bruto]]-base[[#This Row],[L/P Líquido]]</f>
        <v>0</v>
      </c>
      <c r="N3405" s="1147">
        <f>base[[#This Row],[L/P Líquido]]/base[[#This Row],[Stake/Responsabilidade]]</f>
        <v>-0.29857661922064066</v>
      </c>
      <c r="O3405" s="1149">
        <f>IF(base[[#This Row],[L/P Líquido]]&gt;0,1,0)</f>
        <v>0</v>
      </c>
      <c r="P3405" s="1149"/>
      <c r="Q3405" s="1149" t="str">
        <f>LEFT(base[[#This Row],[Evento / Mercado]],FIND("vs",base[[#This Row],[Evento / Mercado]])-2)</f>
        <v>Deportivo Cali</v>
      </c>
      <c r="R340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9" t="str">
        <f>LEFT(base[[#This Row],[Evento / Mercado]],FIND("/",base[[#This Row],[Evento / Mercado]])-2)</f>
        <v>Deportivo Cali vs Jaguares de Córdoba</v>
      </c>
      <c r="T3405" s="1420">
        <f>base[[#This Row],[Data de liquidação]]</f>
        <v>46228.006157407406</v>
      </c>
    </row>
    <row r="3406" spans="2:20" ht="15" customHeight="1">
      <c r="B3406" s="1144" t="s">
        <v>4083</v>
      </c>
      <c r="C3406" s="1144" t="s">
        <v>3554</v>
      </c>
      <c r="D3406" s="1403">
        <v>46228.020138888889</v>
      </c>
      <c r="E3406" s="1146">
        <v>5.4</v>
      </c>
      <c r="F3406" s="654">
        <v>4.4999999999999998E-2</v>
      </c>
      <c r="G3406" s="1147">
        <f t="shared" si="98"/>
        <v>5.6544502617801049</v>
      </c>
      <c r="H3406" s="1147" t="s">
        <v>3330</v>
      </c>
      <c r="I3406" s="1148" t="s">
        <v>3566</v>
      </c>
      <c r="J3406" s="1147">
        <v>9.4</v>
      </c>
      <c r="K3406" s="1147">
        <v>99.96</v>
      </c>
      <c r="L3406" s="1145">
        <f>INT(base[[#This Row],[Data de liquidação]])</f>
        <v>46228</v>
      </c>
      <c r="M3406" s="1147">
        <f>base[[#This Row],[L/P Bruto]]-base[[#This Row],[L/P Líquido]]</f>
        <v>0.25445026178010455</v>
      </c>
      <c r="N3406" s="1147">
        <f>base[[#This Row],[L/P Líquido]]/base[[#This Row],[Stake/Responsabilidade]]</f>
        <v>5.402160864345739E-2</v>
      </c>
      <c r="O3406" s="1149">
        <f>IF(base[[#This Row],[L/P Líquido]]&gt;0,1,0)</f>
        <v>1</v>
      </c>
      <c r="P3406" s="1149"/>
      <c r="Q3406" s="1149" t="str">
        <f>LEFT(base[[#This Row],[Evento / Mercado]],FIND("vs",base[[#This Row],[Evento / Mercado]])-2)</f>
        <v>Universitario de Deportes</v>
      </c>
      <c r="R34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9" t="str">
        <f>LEFT(base[[#This Row],[Evento / Mercado]],FIND("/",base[[#This Row],[Evento / Mercado]])-2)</f>
        <v>Universitario de Deportes vs Cusco FC</v>
      </c>
      <c r="T3406" s="1420">
        <f>base[[#This Row],[Data de liquidação]]</f>
        <v>46228.020138888889</v>
      </c>
    </row>
    <row r="3407" spans="2:20" ht="15" customHeight="1">
      <c r="B3407" s="1144" t="s">
        <v>4083</v>
      </c>
      <c r="C3407" s="935" t="s">
        <v>3556</v>
      </c>
      <c r="D3407" s="1403">
        <v>46228.020543981482</v>
      </c>
      <c r="E3407" s="1146">
        <v>71.63</v>
      </c>
      <c r="F3407" s="654">
        <v>4.4999999999999998E-2</v>
      </c>
      <c r="G3407" s="1147">
        <f t="shared" si="98"/>
        <v>75.005235602094245</v>
      </c>
      <c r="H3407" s="938" t="s">
        <v>3253</v>
      </c>
      <c r="I3407" s="939" t="s">
        <v>1555</v>
      </c>
      <c r="J3407" s="1147">
        <v>5</v>
      </c>
      <c r="K3407" s="1147">
        <v>300</v>
      </c>
      <c r="L3407" s="1145">
        <f>INT(base[[#This Row],[Data de liquidação]])</f>
        <v>46228</v>
      </c>
      <c r="M3407" s="1147">
        <f>base[[#This Row],[L/P Bruto]]-base[[#This Row],[L/P Líquido]]</f>
        <v>3.37523560209425</v>
      </c>
      <c r="N3407" s="1147">
        <f>base[[#This Row],[L/P Líquido]]/base[[#This Row],[Stake/Responsabilidade]]</f>
        <v>0.23876666666666665</v>
      </c>
      <c r="O3407" s="1149">
        <f>IF(base[[#This Row],[L/P Líquido]]&gt;0,1,0)</f>
        <v>1</v>
      </c>
      <c r="P3407" s="1149"/>
      <c r="Q3407" s="1149" t="str">
        <f>LEFT(base[[#This Row],[Evento / Mercado]],FIND("vs",base[[#This Row],[Evento / Mercado]])-2)</f>
        <v>Universitario de Deportes</v>
      </c>
      <c r="R34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9" t="str">
        <f>LEFT(base[[#This Row],[Evento / Mercado]],FIND("/",base[[#This Row],[Evento / Mercado]])-2)</f>
        <v>Universitario de Deportes vs Cusco FC</v>
      </c>
      <c r="T3407" s="1420">
        <f>base[[#This Row],[Data de liquidação]]</f>
        <v>46228.020543981482</v>
      </c>
    </row>
    <row r="3408" spans="2:20" ht="15" customHeight="1">
      <c r="B3408" s="1144" t="s">
        <v>4082</v>
      </c>
      <c r="C3408" s="935" t="s">
        <v>3556</v>
      </c>
      <c r="D3408" s="1403">
        <v>46228.020601851851</v>
      </c>
      <c r="E3408" s="1146">
        <v>-33.33</v>
      </c>
      <c r="F3408" s="654">
        <v>4.4999999999999998E-2</v>
      </c>
      <c r="G3408" s="1147">
        <f t="shared" si="98"/>
        <v>-33.33</v>
      </c>
      <c r="H3408" s="1133" t="s">
        <v>3253</v>
      </c>
      <c r="I3408" s="1134" t="s">
        <v>3254</v>
      </c>
      <c r="J3408" s="1147">
        <v>10</v>
      </c>
      <c r="K3408" s="1147">
        <v>33.33</v>
      </c>
      <c r="L3408" s="1145">
        <f>INT(base[[#This Row],[Data de liquidação]])</f>
        <v>46228</v>
      </c>
      <c r="M3408" s="1147">
        <f>base[[#This Row],[L/P Bruto]]-base[[#This Row],[L/P Líquido]]</f>
        <v>0</v>
      </c>
      <c r="N3408" s="1147">
        <f>base[[#This Row],[L/P Líquido]]/base[[#This Row],[Stake/Responsabilidade]]</f>
        <v>-1</v>
      </c>
      <c r="O3408" s="1149">
        <f>IF(base[[#This Row],[L/P Líquido]]&gt;0,1,0)</f>
        <v>0</v>
      </c>
      <c r="P3408" s="1149"/>
      <c r="Q3408" s="1149" t="str">
        <f>LEFT(base[[#This Row],[Evento / Mercado]],FIND("vs",base[[#This Row],[Evento / Mercado]])-2)</f>
        <v>Universitario de Deportes</v>
      </c>
      <c r="R34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9" t="str">
        <f>LEFT(base[[#This Row],[Evento / Mercado]],FIND("/",base[[#This Row],[Evento / Mercado]])-2)</f>
        <v>Universitario de Deportes vs Cusco FC</v>
      </c>
      <c r="T3408" s="1420">
        <f>base[[#This Row],[Data de liquidação]]</f>
        <v>46228.020601851851</v>
      </c>
    </row>
    <row r="3409" spans="2:20" ht="15" customHeight="1">
      <c r="B3409" s="1144" t="s">
        <v>4081</v>
      </c>
      <c r="C3409" s="935" t="s">
        <v>3556</v>
      </c>
      <c r="D3409" s="1403">
        <v>46228.050671296296</v>
      </c>
      <c r="E3409" s="1146">
        <v>3.09</v>
      </c>
      <c r="F3409" s="654">
        <v>4.4999999999999998E-2</v>
      </c>
      <c r="G3409" s="1147">
        <f t="shared" si="98"/>
        <v>3.2356020942408379</v>
      </c>
      <c r="H3409" s="1147" t="s">
        <v>1666</v>
      </c>
      <c r="I3409" s="1148" t="s">
        <v>1759</v>
      </c>
      <c r="J3409" s="1147">
        <v>38</v>
      </c>
      <c r="K3409" s="1147">
        <v>119.88</v>
      </c>
      <c r="L3409" s="1145">
        <f>INT(base[[#This Row],[Data de liquidação]])</f>
        <v>46228</v>
      </c>
      <c r="M3409" s="1147">
        <f>base[[#This Row],[L/P Bruto]]-base[[#This Row],[L/P Líquido]]</f>
        <v>0.14560209424083803</v>
      </c>
      <c r="N3409" s="1147">
        <f>base[[#This Row],[L/P Líquido]]/base[[#This Row],[Stake/Responsabilidade]]</f>
        <v>2.5775775775775774E-2</v>
      </c>
      <c r="O3409" s="1149">
        <f>IF(base[[#This Row],[L/P Líquido]]&gt;0,1,0)</f>
        <v>1</v>
      </c>
      <c r="P3409" s="1149"/>
      <c r="Q3409" s="1149" t="str">
        <f>LEFT(base[[#This Row],[Evento / Mercado]],FIND("vs",base[[#This Row],[Evento / Mercado]])-2)</f>
        <v>Vancouver FC</v>
      </c>
      <c r="R34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9" t="str">
        <f>LEFT(base[[#This Row],[Evento / Mercado]],FIND("/",base[[#This Row],[Evento / Mercado]])-2)</f>
        <v>Vancouver FC vs Cavalry</v>
      </c>
      <c r="T3409" s="1420">
        <f>base[[#This Row],[Data de liquidação]]</f>
        <v>46228.050671296296</v>
      </c>
    </row>
    <row r="3410" spans="2:20" ht="15" customHeight="1">
      <c r="B3410" s="1144" t="s">
        <v>4080</v>
      </c>
      <c r="C3410" s="935" t="s">
        <v>3556</v>
      </c>
      <c r="D3410" s="1403">
        <v>46228.436597222222</v>
      </c>
      <c r="E3410" s="1146">
        <v>5.56</v>
      </c>
      <c r="F3410" s="654">
        <v>4.4999999999999998E-2</v>
      </c>
      <c r="G3410" s="1147">
        <f t="shared" si="98"/>
        <v>5.821989528795811</v>
      </c>
      <c r="H3410" s="1053" t="s">
        <v>3817</v>
      </c>
      <c r="I3410" s="1148"/>
      <c r="J3410" s="1147">
        <v>14</v>
      </c>
      <c r="K3410" s="1147">
        <v>499.98</v>
      </c>
      <c r="L3410" s="1145">
        <f>INT(base[[#This Row],[Data de liquidação]])</f>
        <v>46228</v>
      </c>
      <c r="M3410" s="1147">
        <f>base[[#This Row],[L/P Bruto]]-base[[#This Row],[L/P Líquido]]</f>
        <v>0.26198952879581139</v>
      </c>
      <c r="N3410" s="1147">
        <f>base[[#This Row],[L/P Líquido]]/base[[#This Row],[Stake/Responsabilidade]]</f>
        <v>1.112044481779271E-2</v>
      </c>
      <c r="O3410" s="1149">
        <f>IF(base[[#This Row],[L/P Líquido]]&gt;0,1,0)</f>
        <v>1</v>
      </c>
      <c r="P3410" s="1149"/>
      <c r="Q3410" s="1149" t="str">
        <f>LEFT(base[[#This Row],[Evento / Mercado]],FIND("vs",base[[#This Row],[Evento / Mercado]])-2)</f>
        <v>Shanghai Port</v>
      </c>
      <c r="R341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9" t="str">
        <f>LEFT(base[[#This Row],[Evento / Mercado]],FIND("/",base[[#This Row],[Evento / Mercado]])-2)</f>
        <v>Shanghai Port vs Shanghai Shenhua</v>
      </c>
      <c r="T3410" s="1420">
        <f>base[[#This Row],[Data de liquidação]]</f>
        <v>46228.436597222222</v>
      </c>
    </row>
    <row r="3411" spans="2:20" ht="15" customHeight="1">
      <c r="B3411" s="1144" t="s">
        <v>4079</v>
      </c>
      <c r="C3411" s="935" t="s">
        <v>3556</v>
      </c>
      <c r="D3411" s="1403">
        <v>46228.438194444447</v>
      </c>
      <c r="E3411" s="1146">
        <v>14.2</v>
      </c>
      <c r="F3411" s="654">
        <v>4.4999999999999998E-2</v>
      </c>
      <c r="G3411" s="1147">
        <f t="shared" si="98"/>
        <v>14.869109947643979</v>
      </c>
      <c r="H3411" s="1053" t="s">
        <v>3817</v>
      </c>
      <c r="I3411" s="1148"/>
      <c r="J3411" s="1147">
        <v>15</v>
      </c>
      <c r="K3411" s="1147">
        <v>499.94</v>
      </c>
      <c r="L3411" s="1145">
        <f>INT(base[[#This Row],[Data de liquidação]])</f>
        <v>46228</v>
      </c>
      <c r="M3411" s="1147">
        <f>base[[#This Row],[L/P Bruto]]-base[[#This Row],[L/P Líquido]]</f>
        <v>0.66910994764397991</v>
      </c>
      <c r="N3411" s="1147">
        <f>base[[#This Row],[L/P Líquido]]/base[[#This Row],[Stake/Responsabilidade]]</f>
        <v>2.8403408409009078E-2</v>
      </c>
      <c r="O3411" s="1149">
        <f>IF(base[[#This Row],[L/P Líquido]]&gt;0,1,0)</f>
        <v>1</v>
      </c>
      <c r="P3411" s="1149"/>
      <c r="Q3411" s="1149" t="str">
        <f>LEFT(base[[#This Row],[Evento / Mercado]],FIND("vs",base[[#This Row],[Evento / Mercado]])-2)</f>
        <v>Liaoning Tieren F.C.</v>
      </c>
      <c r="R341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9" t="str">
        <f>LEFT(base[[#This Row],[Evento / Mercado]],FIND("/",base[[#This Row],[Evento / Mercado]])-2)</f>
        <v>Liaoning Tieren F.C. vs Qingdao West Coast</v>
      </c>
      <c r="T3411" s="1420">
        <f>base[[#This Row],[Data de liquidação]]</f>
        <v>46228.438194444447</v>
      </c>
    </row>
    <row r="3412" spans="2:20" ht="15" customHeight="1">
      <c r="B3412" s="1144" t="s">
        <v>4078</v>
      </c>
      <c r="C3412" s="935" t="s">
        <v>3556</v>
      </c>
      <c r="D3412" s="1403">
        <v>46228.438449074078</v>
      </c>
      <c r="E3412" s="1146">
        <v>-5</v>
      </c>
      <c r="F3412" s="654">
        <v>4.4999999999999998E-2</v>
      </c>
      <c r="G3412" s="1147">
        <f t="shared" si="98"/>
        <v>-5</v>
      </c>
      <c r="H3412" s="1147" t="s">
        <v>1666</v>
      </c>
      <c r="I3412" s="1148" t="s">
        <v>2883</v>
      </c>
      <c r="J3412" s="1147">
        <v>1.51</v>
      </c>
      <c r="K3412" s="1147">
        <v>5</v>
      </c>
      <c r="L3412" s="1145">
        <f>INT(base[[#This Row],[Data de liquidação]])</f>
        <v>46228</v>
      </c>
      <c r="M3412" s="1147">
        <f>base[[#This Row],[L/P Bruto]]-base[[#This Row],[L/P Líquido]]</f>
        <v>0</v>
      </c>
      <c r="N3412" s="1147">
        <f>base[[#This Row],[L/P Líquido]]/base[[#This Row],[Stake/Responsabilidade]]</f>
        <v>-1</v>
      </c>
      <c r="O3412" s="1149">
        <f>IF(base[[#This Row],[L/P Líquido]]&gt;0,1,0)</f>
        <v>0</v>
      </c>
      <c r="P3412" s="1149"/>
      <c r="Q3412" s="1149" t="str">
        <f>LEFT(base[[#This Row],[Evento / Mercado]],FIND("vs",base[[#This Row],[Evento / Mercado]])-2)</f>
        <v>Liaoning Tieren F.C.</v>
      </c>
      <c r="R341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9" t="str">
        <f>LEFT(base[[#This Row],[Evento / Mercado]],FIND("/",base[[#This Row],[Evento / Mercado]])-2)</f>
        <v>Liaoning Tieren F.C. vs Qingdao West Coast</v>
      </c>
      <c r="T3412" s="1420">
        <f>base[[#This Row],[Data de liquidação]]</f>
        <v>46228.438449074078</v>
      </c>
    </row>
    <row r="3413" spans="2:20" ht="15" customHeight="1">
      <c r="B3413" s="1144" t="s">
        <v>4077</v>
      </c>
      <c r="C3413" s="935" t="s">
        <v>3556</v>
      </c>
      <c r="D3413" s="1403">
        <v>46228.458240740743</v>
      </c>
      <c r="E3413" s="1146">
        <v>39.79</v>
      </c>
      <c r="F3413" s="654">
        <v>4.4999999999999998E-2</v>
      </c>
      <c r="G3413" s="1147">
        <f t="shared" si="98"/>
        <v>41.66492146596859</v>
      </c>
      <c r="H3413" s="1147" t="s">
        <v>3868</v>
      </c>
      <c r="I3413" s="1148" t="s">
        <v>627</v>
      </c>
      <c r="J3413" s="1147">
        <v>13</v>
      </c>
      <c r="K3413" s="1147">
        <v>500.04</v>
      </c>
      <c r="L3413" s="1145">
        <f>INT(base[[#This Row],[Data de liquidação]])</f>
        <v>46228</v>
      </c>
      <c r="M3413" s="1147">
        <f>base[[#This Row],[L/P Bruto]]-base[[#This Row],[L/P Líquido]]</f>
        <v>1.8749214659685904</v>
      </c>
      <c r="N3413" s="1147">
        <f>base[[#This Row],[L/P Líquido]]/base[[#This Row],[Stake/Responsabilidade]]</f>
        <v>7.9573634109271249E-2</v>
      </c>
      <c r="O3413" s="1149">
        <f>IF(base[[#This Row],[L/P Líquido]]&gt;0,1,0)</f>
        <v>1</v>
      </c>
      <c r="P3413" s="1149"/>
      <c r="Q3413" s="1149" t="str">
        <f>LEFT(base[[#This Row],[Evento / Mercado]],FIND("vs",base[[#This Row],[Evento / Mercado]])-2)</f>
        <v>Wuhan Three Towns</v>
      </c>
      <c r="R341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9" t="str">
        <f>LEFT(base[[#This Row],[Evento / Mercado]],FIND("/",base[[#This Row],[Evento / Mercado]])-2)</f>
        <v>Wuhan Three Towns vs Chongqing Tonglianglong</v>
      </c>
      <c r="T3413" s="1420">
        <f>base[[#This Row],[Data de liquidação]]</f>
        <v>46228.458240740743</v>
      </c>
    </row>
    <row r="3414" spans="2:20" ht="15" customHeight="1">
      <c r="B3414" s="1144" t="s">
        <v>4076</v>
      </c>
      <c r="C3414" s="935" t="s">
        <v>3556</v>
      </c>
      <c r="D3414" s="1403">
        <v>46228.458356481482</v>
      </c>
      <c r="E3414" s="1146">
        <v>8.81</v>
      </c>
      <c r="F3414" s="654">
        <v>4.4999999999999998E-2</v>
      </c>
      <c r="G3414" s="1147">
        <f t="shared" si="98"/>
        <v>9.2251308900523572</v>
      </c>
      <c r="H3414" s="1147" t="s">
        <v>1666</v>
      </c>
      <c r="I3414" s="1148" t="s">
        <v>1759</v>
      </c>
      <c r="J3414" s="1147">
        <v>14</v>
      </c>
      <c r="K3414" s="1147">
        <v>119.99</v>
      </c>
      <c r="L3414" s="1145">
        <f>INT(base[[#This Row],[Data de liquidação]])</f>
        <v>46228</v>
      </c>
      <c r="M3414" s="1147">
        <f>base[[#This Row],[L/P Bruto]]-base[[#This Row],[L/P Líquido]]</f>
        <v>0.4151308900523567</v>
      </c>
      <c r="N3414" s="1147">
        <f>base[[#This Row],[L/P Líquido]]/base[[#This Row],[Stake/Responsabilidade]]</f>
        <v>7.3422785232102689E-2</v>
      </c>
      <c r="O3414" s="1149">
        <f>IF(base[[#This Row],[L/P Líquido]]&gt;0,1,0)</f>
        <v>1</v>
      </c>
      <c r="P3414" s="1149"/>
      <c r="Q3414" s="1149" t="str">
        <f>LEFT(base[[#This Row],[Evento / Mercado]],FIND("vs",base[[#This Row],[Evento / Mercado]])-2)</f>
        <v>Wuhan Three Towns</v>
      </c>
      <c r="R341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9" t="str">
        <f>LEFT(base[[#This Row],[Evento / Mercado]],FIND("/",base[[#This Row],[Evento / Mercado]])-2)</f>
        <v>Wuhan Three Towns vs Chongqing Tonglianglong</v>
      </c>
      <c r="T3414" s="1420">
        <f>base[[#This Row],[Data de liquidação]]</f>
        <v>46228.458356481482</v>
      </c>
    </row>
    <row r="3415" spans="2:20" ht="15" customHeight="1">
      <c r="B3415" s="1144" t="s">
        <v>4075</v>
      </c>
      <c r="C3415" s="935" t="s">
        <v>3556</v>
      </c>
      <c r="D3415" s="1403">
        <v>46228.484282407408</v>
      </c>
      <c r="E3415" s="1146">
        <v>-21.78</v>
      </c>
      <c r="F3415" s="654">
        <v>4.4999999999999998E-2</v>
      </c>
      <c r="G3415" s="1147">
        <f t="shared" si="98"/>
        <v>-21.78</v>
      </c>
      <c r="H3415" s="1133" t="s">
        <v>3253</v>
      </c>
      <c r="I3415" s="1134" t="s">
        <v>3254</v>
      </c>
      <c r="J3415" s="1147">
        <v>7.2</v>
      </c>
      <c r="K3415" s="1147">
        <v>48.39</v>
      </c>
      <c r="L3415" s="1145">
        <f>INT(base[[#This Row],[Data de liquidação]])</f>
        <v>46228</v>
      </c>
      <c r="M3415" s="1147">
        <f>base[[#This Row],[L/P Bruto]]-base[[#This Row],[L/P Líquido]]</f>
        <v>0</v>
      </c>
      <c r="N3415" s="1147">
        <f>base[[#This Row],[L/P Líquido]]/base[[#This Row],[Stake/Responsabilidade]]</f>
        <v>-0.45009299442033479</v>
      </c>
      <c r="O3415" s="1149">
        <f>IF(base[[#This Row],[L/P Líquido]]&gt;0,1,0)</f>
        <v>0</v>
      </c>
      <c r="P3415" s="1149"/>
      <c r="Q3415" s="1149" t="str">
        <f>LEFT(base[[#This Row],[Evento / Mercado]],FIND("vs",base[[#This Row],[Evento / Mercado]])-2)</f>
        <v>Jagiellonia Bialystok</v>
      </c>
      <c r="R341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9" t="str">
        <f>LEFT(base[[#This Row],[Evento / Mercado]],FIND("/",base[[#This Row],[Evento / Mercado]])-2)</f>
        <v>Jagiellonia Bialystok vs Korona Kielce</v>
      </c>
      <c r="T3415" s="1420">
        <f>base[[#This Row],[Data de liquidação]]</f>
        <v>46228.484282407408</v>
      </c>
    </row>
    <row r="3416" spans="2:20" ht="15" customHeight="1">
      <c r="B3416" s="1144" t="s">
        <v>4074</v>
      </c>
      <c r="C3416" s="935" t="s">
        <v>3556</v>
      </c>
      <c r="D3416" s="1403">
        <v>46228.484375</v>
      </c>
      <c r="E3416" s="1146">
        <v>-103.33</v>
      </c>
      <c r="F3416" s="654">
        <v>4.4999999999999998E-2</v>
      </c>
      <c r="G3416" s="1147">
        <f t="shared" si="98"/>
        <v>-103.33</v>
      </c>
      <c r="H3416" s="938" t="s">
        <v>3253</v>
      </c>
      <c r="I3416" s="939" t="s">
        <v>1555</v>
      </c>
      <c r="J3416" s="1147">
        <v>3.55</v>
      </c>
      <c r="K3416" s="1147">
        <v>300.01</v>
      </c>
      <c r="L3416" s="1145">
        <f>INT(base[[#This Row],[Data de liquidação]])</f>
        <v>46228</v>
      </c>
      <c r="M3416" s="1147">
        <f>base[[#This Row],[L/P Bruto]]-base[[#This Row],[L/P Líquido]]</f>
        <v>0</v>
      </c>
      <c r="N3416" s="1147">
        <f>base[[#This Row],[L/P Líquido]]/base[[#This Row],[Stake/Responsabilidade]]</f>
        <v>-0.34442185260491315</v>
      </c>
      <c r="O3416" s="1149">
        <f>IF(base[[#This Row],[L/P Líquido]]&gt;0,1,0)</f>
        <v>0</v>
      </c>
      <c r="P3416" s="1149"/>
      <c r="Q3416" s="1149" t="str">
        <f>LEFT(base[[#This Row],[Evento / Mercado]],FIND("vs",base[[#This Row],[Evento / Mercado]])-2)</f>
        <v>Jagiellonia Bialystok</v>
      </c>
      <c r="R341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9" t="str">
        <f>LEFT(base[[#This Row],[Evento / Mercado]],FIND("/",base[[#This Row],[Evento / Mercado]])-2)</f>
        <v>Jagiellonia Bialystok vs Korona Kielce</v>
      </c>
      <c r="T3416" s="1420">
        <f>base[[#This Row],[Data de liquidação]]</f>
        <v>46228.484375</v>
      </c>
    </row>
    <row r="3417" spans="2:20" ht="15" customHeight="1">
      <c r="B3417" s="1144" t="s">
        <v>4074</v>
      </c>
      <c r="C3417" s="1109" t="s">
        <v>3555</v>
      </c>
      <c r="D3417" s="1403">
        <v>46228.484375</v>
      </c>
      <c r="E3417" s="1146">
        <v>3.6</v>
      </c>
      <c r="F3417" s="654">
        <v>4.4999999999999998E-2</v>
      </c>
      <c r="G3417" s="1147">
        <f t="shared" si="98"/>
        <v>3.7696335078534036</v>
      </c>
      <c r="H3417" s="1147" t="s">
        <v>3330</v>
      </c>
      <c r="I3417" s="1248" t="s">
        <v>4368</v>
      </c>
      <c r="J3417" s="1147">
        <v>4</v>
      </c>
      <c r="K3417" s="1147">
        <v>99.99</v>
      </c>
      <c r="L3417" s="1145">
        <f>INT(base[[#This Row],[Data de liquidação]])</f>
        <v>46228</v>
      </c>
      <c r="M3417" s="1147">
        <f>base[[#This Row],[L/P Bruto]]-base[[#This Row],[L/P Líquido]]</f>
        <v>0.16963350785340348</v>
      </c>
      <c r="N3417" s="1147">
        <f>base[[#This Row],[L/P Líquido]]/base[[#This Row],[Stake/Responsabilidade]]</f>
        <v>3.6003600360036005E-2</v>
      </c>
      <c r="O3417" s="1149">
        <f>IF(base[[#This Row],[L/P Líquido]]&gt;0,1,0)</f>
        <v>1</v>
      </c>
      <c r="P3417" s="1149"/>
      <c r="Q3417" s="1149" t="str">
        <f>LEFT(base[[#This Row],[Evento / Mercado]],FIND("vs",base[[#This Row],[Evento / Mercado]])-2)</f>
        <v>Jagiellonia Bialystok</v>
      </c>
      <c r="R341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9" t="str">
        <f>LEFT(base[[#This Row],[Evento / Mercado]],FIND("/",base[[#This Row],[Evento / Mercado]])-2)</f>
        <v>Jagiellonia Bialystok vs Korona Kielce</v>
      </c>
      <c r="T3417" s="1420">
        <f>base[[#This Row],[Data de liquidação]]</f>
        <v>46228.484375</v>
      </c>
    </row>
    <row r="3418" spans="2:20" ht="15" customHeight="1">
      <c r="B3418" s="1144" t="s">
        <v>4073</v>
      </c>
      <c r="C3418" s="935" t="s">
        <v>3556</v>
      </c>
      <c r="D3418" s="1403">
        <v>46228.494108796294</v>
      </c>
      <c r="E3418" s="1146">
        <v>23.12</v>
      </c>
      <c r="F3418" s="654">
        <v>4.4999999999999998E-2</v>
      </c>
      <c r="G3418" s="1147">
        <f t="shared" si="98"/>
        <v>24.209424083769637</v>
      </c>
      <c r="H3418" s="1147" t="s">
        <v>3334</v>
      </c>
      <c r="I3418" s="1148" t="s">
        <v>694</v>
      </c>
      <c r="J3418" s="1147">
        <v>20</v>
      </c>
      <c r="K3418" s="1147">
        <v>459.09</v>
      </c>
      <c r="L3418" s="1145">
        <f>INT(base[[#This Row],[Data de liquidação]])</f>
        <v>46228</v>
      </c>
      <c r="M3418" s="1147">
        <f>base[[#This Row],[L/P Bruto]]-base[[#This Row],[L/P Líquido]]</f>
        <v>1.0894240837696358</v>
      </c>
      <c r="N3418" s="1147">
        <f>base[[#This Row],[L/P Líquido]]/base[[#This Row],[Stake/Responsabilidade]]</f>
        <v>5.0360495763357951E-2</v>
      </c>
      <c r="O3418" s="1149">
        <f>IF(base[[#This Row],[L/P Líquido]]&gt;0,1,0)</f>
        <v>1</v>
      </c>
      <c r="P3418" s="1149"/>
      <c r="Q3418" s="1149" t="str">
        <f>LEFT(base[[#This Row],[Evento / Mercado]],FIND("vs",base[[#This Row],[Evento / Mercado]])-2)</f>
        <v>Degerfors IF</v>
      </c>
      <c r="R341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9" t="str">
        <f>LEFT(base[[#This Row],[Evento / Mercado]],FIND("/",base[[#This Row],[Evento / Mercado]])-2)</f>
        <v>Degerfors IF vs Djurgårdens IF</v>
      </c>
      <c r="T3418" s="1420">
        <f>base[[#This Row],[Data de liquidação]]</f>
        <v>46228.494108796294</v>
      </c>
    </row>
    <row r="3419" spans="2:20" ht="15" customHeight="1">
      <c r="B3419" s="1144" t="s">
        <v>4073</v>
      </c>
      <c r="C3419" s="1109" t="s">
        <v>3555</v>
      </c>
      <c r="D3419" s="1403">
        <v>46228.494108796294</v>
      </c>
      <c r="E3419" s="1146">
        <v>6.75</v>
      </c>
      <c r="F3419" s="654">
        <v>4.4999999999999998E-2</v>
      </c>
      <c r="G3419" s="1147">
        <f t="shared" si="98"/>
        <v>7.0680628272251314</v>
      </c>
      <c r="H3419" s="1053" t="s">
        <v>3817</v>
      </c>
      <c r="I3419" s="1148"/>
      <c r="J3419" s="1147">
        <v>19</v>
      </c>
      <c r="K3419" s="1147">
        <v>500.04</v>
      </c>
      <c r="L3419" s="1145">
        <f>INT(base[[#This Row],[Data de liquidação]])</f>
        <v>46228</v>
      </c>
      <c r="M3419" s="1147">
        <f>base[[#This Row],[L/P Bruto]]-base[[#This Row],[L/P Líquido]]</f>
        <v>0.31806282722513135</v>
      </c>
      <c r="N3419" s="1147">
        <f>base[[#This Row],[L/P Líquido]]/base[[#This Row],[Stake/Responsabilidade]]</f>
        <v>1.3498920086393088E-2</v>
      </c>
      <c r="O3419" s="1149">
        <f>IF(base[[#This Row],[L/P Líquido]]&gt;0,1,0)</f>
        <v>1</v>
      </c>
      <c r="P3419" s="1149"/>
      <c r="Q3419" s="1149" t="str">
        <f>LEFT(base[[#This Row],[Evento / Mercado]],FIND("vs",base[[#This Row],[Evento / Mercado]])-2)</f>
        <v>Degerfors IF</v>
      </c>
      <c r="R341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9" t="str">
        <f>LEFT(base[[#This Row],[Evento / Mercado]],FIND("/",base[[#This Row],[Evento / Mercado]])-2)</f>
        <v>Degerfors IF vs Djurgårdens IF</v>
      </c>
      <c r="T3419" s="1420">
        <f>base[[#This Row],[Data de liquidação]]</f>
        <v>46228.494108796294</v>
      </c>
    </row>
    <row r="3420" spans="2:20" ht="15" customHeight="1">
      <c r="B3420" s="1144" t="s">
        <v>4072</v>
      </c>
      <c r="C3420" s="935" t="s">
        <v>3556</v>
      </c>
      <c r="D3420" s="1403">
        <v>46228.513692129629</v>
      </c>
      <c r="E3420" s="1146">
        <v>-32.15</v>
      </c>
      <c r="F3420" s="654">
        <v>4.4999999999999998E-2</v>
      </c>
      <c r="G3420" s="1147">
        <f t="shared" si="98"/>
        <v>-32.15</v>
      </c>
      <c r="H3420" s="1053" t="s">
        <v>3817</v>
      </c>
      <c r="I3420" s="1148"/>
      <c r="J3420" s="1147">
        <v>18</v>
      </c>
      <c r="K3420" s="1147">
        <v>499.97</v>
      </c>
      <c r="L3420" s="1145">
        <f>INT(base[[#This Row],[Data de liquidação]])</f>
        <v>46228</v>
      </c>
      <c r="M3420" s="1147">
        <f>base[[#This Row],[L/P Bruto]]-base[[#This Row],[L/P Líquido]]</f>
        <v>0</v>
      </c>
      <c r="N3420" s="1147">
        <f>base[[#This Row],[L/P Líquido]]/base[[#This Row],[Stake/Responsabilidade]]</f>
        <v>-6.4303858231493885E-2</v>
      </c>
      <c r="O3420" s="1149">
        <f>IF(base[[#This Row],[L/P Líquido]]&gt;0,1,0)</f>
        <v>0</v>
      </c>
      <c r="P3420" s="1149"/>
      <c r="Q3420" s="1149" t="str">
        <f>LEFT(base[[#This Row],[Evento / Mercado]],FIND("vs",base[[#This Row],[Evento / Mercado]])-2)</f>
        <v>IFK Mariehamn</v>
      </c>
      <c r="R342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9" t="str">
        <f>LEFT(base[[#This Row],[Evento / Mercado]],FIND("/",base[[#This Row],[Evento / Mercado]])-2)</f>
        <v>IFK Mariehamn vs AC Oulu</v>
      </c>
      <c r="T3420" s="1420">
        <f>base[[#This Row],[Data de liquidação]]</f>
        <v>46228.513692129629</v>
      </c>
    </row>
    <row r="3421" spans="2:20" ht="15" customHeight="1">
      <c r="B3421" s="1144" t="s">
        <v>4071</v>
      </c>
      <c r="C3421" s="935" t="s">
        <v>3556</v>
      </c>
      <c r="D3421" s="1403">
        <v>46228.535868055558</v>
      </c>
      <c r="E3421" s="1146">
        <v>-39.47</v>
      </c>
      <c r="F3421" s="654">
        <v>4.4999999999999998E-2</v>
      </c>
      <c r="G3421" s="1147">
        <f t="shared" si="98"/>
        <v>-39.47</v>
      </c>
      <c r="H3421" s="1133" t="s">
        <v>3253</v>
      </c>
      <c r="I3421" s="1134" t="s">
        <v>3254</v>
      </c>
      <c r="J3421" s="1147">
        <v>8.6</v>
      </c>
      <c r="K3421" s="1147">
        <v>39.47</v>
      </c>
      <c r="L3421" s="1145">
        <f>INT(base[[#This Row],[Data de liquidação]])</f>
        <v>46228</v>
      </c>
      <c r="M3421" s="1147">
        <f>base[[#This Row],[L/P Bruto]]-base[[#This Row],[L/P Líquido]]</f>
        <v>0</v>
      </c>
      <c r="N3421" s="1147">
        <f>base[[#This Row],[L/P Líquido]]/base[[#This Row],[Stake/Responsabilidade]]</f>
        <v>-1</v>
      </c>
      <c r="O3421" s="1149">
        <f>IF(base[[#This Row],[L/P Líquido]]&gt;0,1,0)</f>
        <v>0</v>
      </c>
      <c r="P3421" s="1149"/>
      <c r="Q3421" s="1149" t="str">
        <f>LEFT(base[[#This Row],[Evento / Mercado]],FIND("vs",base[[#This Row],[Evento / Mercado]])-2)</f>
        <v>FC Fredericia</v>
      </c>
      <c r="R342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9" t="str">
        <f>LEFT(base[[#This Row],[Evento / Mercado]],FIND("/",base[[#This Row],[Evento / Mercado]])-2)</f>
        <v>FC Fredericia vs HB Køge</v>
      </c>
      <c r="T3421" s="1420">
        <f>base[[#This Row],[Data de liquidação]]</f>
        <v>46228.535868055558</v>
      </c>
    </row>
    <row r="3422" spans="2:20" ht="15" customHeight="1">
      <c r="B3422" s="1144" t="s">
        <v>4070</v>
      </c>
      <c r="C3422" s="935" t="s">
        <v>3556</v>
      </c>
      <c r="D3422" s="1403">
        <v>46228.535960648151</v>
      </c>
      <c r="E3422" s="1146">
        <v>67.12</v>
      </c>
      <c r="F3422" s="654">
        <v>4.4999999999999998E-2</v>
      </c>
      <c r="G3422" s="1147">
        <f t="shared" si="98"/>
        <v>70.282722513089013</v>
      </c>
      <c r="H3422" s="938" t="s">
        <v>3253</v>
      </c>
      <c r="I3422" s="939" t="s">
        <v>1555</v>
      </c>
      <c r="J3422" s="1147">
        <v>4.5</v>
      </c>
      <c r="K3422" s="1147">
        <v>299.98</v>
      </c>
      <c r="L3422" s="1145">
        <f>INT(base[[#This Row],[Data de liquidação]])</f>
        <v>46228</v>
      </c>
      <c r="M3422" s="1147">
        <f>base[[#This Row],[L/P Bruto]]-base[[#This Row],[L/P Líquido]]</f>
        <v>3.1627225130890082</v>
      </c>
      <c r="N3422" s="1147">
        <f>base[[#This Row],[L/P Líquido]]/base[[#This Row],[Stake/Responsabilidade]]</f>
        <v>0.22374824988332556</v>
      </c>
      <c r="O3422" s="1149">
        <f>IF(base[[#This Row],[L/P Líquido]]&gt;0,1,0)</f>
        <v>1</v>
      </c>
      <c r="P3422" s="1149"/>
      <c r="Q3422" s="1149" t="str">
        <f>LEFT(base[[#This Row],[Evento / Mercado]],FIND("vs",base[[#This Row],[Evento / Mercado]])-2)</f>
        <v>FC Fredericia</v>
      </c>
      <c r="R342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9" t="str">
        <f>LEFT(base[[#This Row],[Evento / Mercado]],FIND("/",base[[#This Row],[Evento / Mercado]])-2)</f>
        <v>FC Fredericia vs HB Køge</v>
      </c>
      <c r="T3422" s="1420">
        <f>base[[#This Row],[Data de liquidação]]</f>
        <v>46228.535960648151</v>
      </c>
    </row>
    <row r="3423" spans="2:20" ht="15" customHeight="1">
      <c r="B3423" s="1144" t="s">
        <v>4070</v>
      </c>
      <c r="C3423" s="1109" t="s">
        <v>3555</v>
      </c>
      <c r="D3423" s="1403">
        <v>46228.535960648151</v>
      </c>
      <c r="E3423" s="1146">
        <v>19.84</v>
      </c>
      <c r="F3423" s="654">
        <v>4.4999999999999998E-2</v>
      </c>
      <c r="G3423" s="1147">
        <f t="shared" si="98"/>
        <v>20.774869109947645</v>
      </c>
      <c r="H3423" s="1147" t="s">
        <v>3330</v>
      </c>
      <c r="I3423" s="1148" t="s">
        <v>3566</v>
      </c>
      <c r="J3423" s="1147">
        <v>5</v>
      </c>
      <c r="K3423" s="1147">
        <v>100</v>
      </c>
      <c r="L3423" s="1145">
        <f>INT(base[[#This Row],[Data de liquidação]])</f>
        <v>46228</v>
      </c>
      <c r="M3423" s="1147">
        <f>base[[#This Row],[L/P Bruto]]-base[[#This Row],[L/P Líquido]]</f>
        <v>0.93486910994764472</v>
      </c>
      <c r="N3423" s="1147">
        <f>base[[#This Row],[L/P Líquido]]/base[[#This Row],[Stake/Responsabilidade]]</f>
        <v>0.19839999999999999</v>
      </c>
      <c r="O3423" s="1149">
        <f>IF(base[[#This Row],[L/P Líquido]]&gt;0,1,0)</f>
        <v>1</v>
      </c>
      <c r="P3423" s="1149"/>
      <c r="Q3423" s="1149" t="str">
        <f>LEFT(base[[#This Row],[Evento / Mercado]],FIND("vs",base[[#This Row],[Evento / Mercado]])-2)</f>
        <v>FC Fredericia</v>
      </c>
      <c r="R342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9" t="str">
        <f>LEFT(base[[#This Row],[Evento / Mercado]],FIND("/",base[[#This Row],[Evento / Mercado]])-2)</f>
        <v>FC Fredericia vs HB Køge</v>
      </c>
      <c r="T3423" s="1420">
        <f>base[[#This Row],[Data de liquidação]]</f>
        <v>46228.535960648151</v>
      </c>
    </row>
    <row r="3424" spans="2:20" ht="15" customHeight="1">
      <c r="B3424" s="1144" t="s">
        <v>4069</v>
      </c>
      <c r="C3424" s="935" t="s">
        <v>3556</v>
      </c>
      <c r="D3424" s="1403">
        <v>46228.579421296294</v>
      </c>
      <c r="E3424" s="1146">
        <v>-37.5</v>
      </c>
      <c r="F3424" s="654">
        <v>4.4999999999999998E-2</v>
      </c>
      <c r="G3424" s="1147">
        <f t="shared" si="98"/>
        <v>-37.5</v>
      </c>
      <c r="H3424" s="1133" t="s">
        <v>3253</v>
      </c>
      <c r="I3424" s="1134" t="s">
        <v>3254</v>
      </c>
      <c r="J3424" s="1147">
        <v>9</v>
      </c>
      <c r="K3424" s="1147">
        <v>37.5</v>
      </c>
      <c r="L3424" s="1145">
        <f>INT(base[[#This Row],[Data de liquidação]])</f>
        <v>46228</v>
      </c>
      <c r="M3424" s="1147">
        <f>base[[#This Row],[L/P Bruto]]-base[[#This Row],[L/P Líquido]]</f>
        <v>0</v>
      </c>
      <c r="N3424" s="1147">
        <f>base[[#This Row],[L/P Líquido]]/base[[#This Row],[Stake/Responsabilidade]]</f>
        <v>-1</v>
      </c>
      <c r="O3424" s="1149">
        <f>IF(base[[#This Row],[L/P Líquido]]&gt;0,1,0)</f>
        <v>0</v>
      </c>
      <c r="P3424" s="1149"/>
      <c r="Q3424" s="1149" t="str">
        <f>LEFT(base[[#This Row],[Evento / Mercado]],FIND("vs",base[[#This Row],[Evento / Mercado]])-2)</f>
        <v>FC Viktoria Plzen</v>
      </c>
      <c r="R342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9" t="str">
        <f>LEFT(base[[#This Row],[Evento / Mercado]],FIND("/",base[[#This Row],[Evento / Mercado]])-2)</f>
        <v>FC Viktoria Plzen vs FC Slovan Liberec</v>
      </c>
      <c r="T3424" s="1420">
        <f>base[[#This Row],[Data de liquidação]]</f>
        <v>46228.579421296294</v>
      </c>
    </row>
    <row r="3425" spans="2:20" ht="15" customHeight="1">
      <c r="B3425" s="1144" t="s">
        <v>4068</v>
      </c>
      <c r="C3425" s="935" t="s">
        <v>3556</v>
      </c>
      <c r="D3425" s="1403">
        <v>46228.579513888886</v>
      </c>
      <c r="E3425" s="1146">
        <v>-5.81</v>
      </c>
      <c r="F3425" s="654">
        <v>4.4999999999999998E-2</v>
      </c>
      <c r="G3425" s="1147">
        <f t="shared" si="98"/>
        <v>-5.81</v>
      </c>
      <c r="H3425" s="938" t="s">
        <v>3253</v>
      </c>
      <c r="I3425" s="939" t="s">
        <v>1555</v>
      </c>
      <c r="J3425" s="1147">
        <v>4.5999999999999996</v>
      </c>
      <c r="K3425" s="1147">
        <v>299.99</v>
      </c>
      <c r="L3425" s="1145">
        <f>INT(base[[#This Row],[Data de liquidação]])</f>
        <v>46228</v>
      </c>
      <c r="M3425" s="1147">
        <f>base[[#This Row],[L/P Bruto]]-base[[#This Row],[L/P Líquido]]</f>
        <v>0</v>
      </c>
      <c r="N3425" s="1147">
        <f>base[[#This Row],[L/P Líquido]]/base[[#This Row],[Stake/Responsabilidade]]</f>
        <v>-1.9367312243741455E-2</v>
      </c>
      <c r="O3425" s="1149">
        <f>IF(base[[#This Row],[L/P Líquido]]&gt;0,1,0)</f>
        <v>0</v>
      </c>
      <c r="P3425" s="1149"/>
      <c r="Q3425" s="1149" t="str">
        <f>LEFT(base[[#This Row],[Evento / Mercado]],FIND("vs",base[[#This Row],[Evento / Mercado]])-2)</f>
        <v>FC Viktoria Plzen</v>
      </c>
      <c r="R342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9" t="str">
        <f>LEFT(base[[#This Row],[Evento / Mercado]],FIND("/",base[[#This Row],[Evento / Mercado]])-2)</f>
        <v>FC Viktoria Plzen vs FC Slovan Liberec</v>
      </c>
      <c r="T3425" s="1420">
        <f>base[[#This Row],[Data de liquidação]]</f>
        <v>46228.579513888886</v>
      </c>
    </row>
    <row r="3426" spans="2:20" ht="15" customHeight="1">
      <c r="B3426" s="1144" t="s">
        <v>4068</v>
      </c>
      <c r="C3426" s="1109" t="s">
        <v>3555</v>
      </c>
      <c r="D3426" s="1403">
        <v>46228.579513888886</v>
      </c>
      <c r="E3426" s="1146">
        <v>20.59</v>
      </c>
      <c r="F3426" s="654">
        <v>4.4999999999999998E-2</v>
      </c>
      <c r="G3426" s="1147">
        <f t="shared" si="98"/>
        <v>21.560209424083769</v>
      </c>
      <c r="H3426" s="1147" t="s">
        <v>3330</v>
      </c>
      <c r="I3426" s="1148" t="s">
        <v>3566</v>
      </c>
      <c r="J3426" s="1147">
        <f>(6.4+2.34)/2</f>
        <v>4.37</v>
      </c>
      <c r="K3426" s="1147">
        <f>100.01+100</f>
        <v>200.01</v>
      </c>
      <c r="L3426" s="1145">
        <f>INT(base[[#This Row],[Data de liquidação]])</f>
        <v>46228</v>
      </c>
      <c r="M3426" s="1147">
        <f>base[[#This Row],[L/P Bruto]]-base[[#This Row],[L/P Líquido]]</f>
        <v>0.97020942408376953</v>
      </c>
      <c r="N3426" s="1147">
        <f>base[[#This Row],[L/P Líquido]]/base[[#This Row],[Stake/Responsabilidade]]</f>
        <v>0.10294485275736213</v>
      </c>
      <c r="O3426" s="1149">
        <f>IF(base[[#This Row],[L/P Líquido]]&gt;0,1,0)</f>
        <v>1</v>
      </c>
      <c r="P3426" s="1149"/>
      <c r="Q3426" s="1149" t="str">
        <f>LEFT(base[[#This Row],[Evento / Mercado]],FIND("vs",base[[#This Row],[Evento / Mercado]])-2)</f>
        <v>FC Viktoria Plzen</v>
      </c>
      <c r="R342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9" t="str">
        <f>LEFT(base[[#This Row],[Evento / Mercado]],FIND("/",base[[#This Row],[Evento / Mercado]])-2)</f>
        <v>FC Viktoria Plzen vs FC Slovan Liberec</v>
      </c>
      <c r="T3426" s="1420">
        <f>base[[#This Row],[Data de liquidação]]</f>
        <v>46228.579513888886</v>
      </c>
    </row>
    <row r="3427" spans="2:20" ht="15" customHeight="1">
      <c r="B3427" s="1144" t="s">
        <v>4067</v>
      </c>
      <c r="C3427" s="935" t="s">
        <v>3556</v>
      </c>
      <c r="D3427" s="1403">
        <v>46228.620381944442</v>
      </c>
      <c r="E3427" s="1146">
        <v>-5</v>
      </c>
      <c r="F3427" s="654">
        <v>4.4999999999999998E-2</v>
      </c>
      <c r="G3427" s="1147">
        <f t="shared" si="98"/>
        <v>-5</v>
      </c>
      <c r="H3427" s="1147" t="s">
        <v>1666</v>
      </c>
      <c r="I3427" s="1148" t="s">
        <v>2883</v>
      </c>
      <c r="J3427" s="1147">
        <v>1.54</v>
      </c>
      <c r="K3427" s="1147">
        <v>5</v>
      </c>
      <c r="L3427" s="1145">
        <f>INT(base[[#This Row],[Data de liquidação]])</f>
        <v>46228</v>
      </c>
      <c r="M3427" s="1147">
        <f>base[[#This Row],[L/P Bruto]]-base[[#This Row],[L/P Líquido]]</f>
        <v>0</v>
      </c>
      <c r="N3427" s="1147">
        <f>base[[#This Row],[L/P Líquido]]/base[[#This Row],[Stake/Responsabilidade]]</f>
        <v>-1</v>
      </c>
      <c r="O3427" s="1149">
        <f>IF(base[[#This Row],[L/P Líquido]]&gt;0,1,0)</f>
        <v>0</v>
      </c>
      <c r="P3427" s="1149"/>
      <c r="Q3427" s="1149" t="str">
        <f>LEFT(base[[#This Row],[Evento / Mercado]],FIND("vs",base[[#This Row],[Evento / Mercado]])-2)</f>
        <v>Galway United</v>
      </c>
      <c r="R342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9" t="str">
        <f>LEFT(base[[#This Row],[Evento / Mercado]],FIND("/",base[[#This Row],[Evento / Mercado]])-2)</f>
        <v>Galway United vs Waterford FC</v>
      </c>
      <c r="T3427" s="1420">
        <f>base[[#This Row],[Data de liquidação]]</f>
        <v>46228.620381944442</v>
      </c>
    </row>
    <row r="3428" spans="2:20" ht="15" customHeight="1">
      <c r="B3428" s="1144" t="s">
        <v>4066</v>
      </c>
      <c r="C3428" s="935" t="s">
        <v>3556</v>
      </c>
      <c r="D3428" s="1403">
        <v>46228.621192129627</v>
      </c>
      <c r="E3428" s="1146">
        <v>4.8499999999999996</v>
      </c>
      <c r="F3428" s="654">
        <v>4.4999999999999998E-2</v>
      </c>
      <c r="G3428" s="1147">
        <f t="shared" si="98"/>
        <v>5.0785340314136125</v>
      </c>
      <c r="H3428" s="1147" t="s">
        <v>3334</v>
      </c>
      <c r="I3428" s="1148" t="s">
        <v>627</v>
      </c>
      <c r="J3428" s="1147">
        <v>60</v>
      </c>
      <c r="K3428" s="1147">
        <v>299.72000000000003</v>
      </c>
      <c r="L3428" s="1145">
        <f>INT(base[[#This Row],[Data de liquidação]])</f>
        <v>46228</v>
      </c>
      <c r="M3428" s="1147">
        <f>base[[#This Row],[L/P Bruto]]-base[[#This Row],[L/P Líquido]]</f>
        <v>0.22853403141361284</v>
      </c>
      <c r="N3428" s="1147">
        <f>base[[#This Row],[L/P Líquido]]/base[[#This Row],[Stake/Responsabilidade]]</f>
        <v>1.6181769651674893E-2</v>
      </c>
      <c r="O3428" s="1149">
        <f>IF(base[[#This Row],[L/P Líquido]]&gt;0,1,0)</f>
        <v>1</v>
      </c>
      <c r="P3428" s="1149"/>
      <c r="Q3428" s="1149" t="str">
        <f>LEFT(base[[#This Row],[Evento / Mercado]],FIND("vs",base[[#This Row],[Evento / Mercado]])-2)</f>
        <v>Strømsgodset</v>
      </c>
      <c r="R342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9" t="str">
        <f>LEFT(base[[#This Row],[Evento / Mercado]],FIND("/",base[[#This Row],[Evento / Mercado]])-2)</f>
        <v>Strømsgodset vs FK Lyn</v>
      </c>
      <c r="T3428" s="1420">
        <f>base[[#This Row],[Data de liquidação]]</f>
        <v>46228.621192129627</v>
      </c>
    </row>
    <row r="3429" spans="2:20" ht="15" customHeight="1">
      <c r="B3429" s="1144" t="s">
        <v>4087</v>
      </c>
      <c r="C3429" s="1109" t="s">
        <v>3555</v>
      </c>
      <c r="D3429" s="1403">
        <v>46228.704826388886</v>
      </c>
      <c r="E3429" s="1146">
        <v>-30</v>
      </c>
      <c r="F3429" s="654">
        <v>4.4999999999999998E-2</v>
      </c>
      <c r="G3429" s="1147">
        <f t="shared" si="98"/>
        <v>-30</v>
      </c>
      <c r="H3429" s="1133" t="s">
        <v>3253</v>
      </c>
      <c r="I3429" s="1134" t="s">
        <v>3254</v>
      </c>
      <c r="J3429" s="1147">
        <v>11</v>
      </c>
      <c r="K3429" s="1147">
        <v>30</v>
      </c>
      <c r="L3429" s="1145">
        <f>INT(base[[#This Row],[Data de liquidação]])</f>
        <v>46228</v>
      </c>
      <c r="M3429" s="1147">
        <f>base[[#This Row],[L/P Bruto]]-base[[#This Row],[L/P Líquido]]</f>
        <v>0</v>
      </c>
      <c r="N3429" s="1147">
        <f>base[[#This Row],[L/P Líquido]]/base[[#This Row],[Stake/Responsabilidade]]</f>
        <v>-1</v>
      </c>
      <c r="O3429" s="1149">
        <f>IF(base[[#This Row],[L/P Líquido]]&gt;0,1,0)</f>
        <v>0</v>
      </c>
      <c r="P3429" s="1149"/>
      <c r="Q3429" s="1149" t="str">
        <f>LEFT(base[[#This Row],[Evento / Mercado]],FIND("vs",base[[#This Row],[Evento / Mercado]])-2)</f>
        <v>Haugesund</v>
      </c>
      <c r="R342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9" t="str">
        <f>LEFT(base[[#This Row],[Evento / Mercado]],FIND("/",base[[#This Row],[Evento / Mercado]])-2)</f>
        <v>Haugesund vs Bryne</v>
      </c>
      <c r="T3429" s="1420">
        <f>base[[#This Row],[Data de liquidação]]</f>
        <v>46228.704826388886</v>
      </c>
    </row>
    <row r="3430" spans="2:20" ht="15" customHeight="1">
      <c r="B3430" s="1144" t="s">
        <v>4065</v>
      </c>
      <c r="C3430" s="1144" t="s">
        <v>3554</v>
      </c>
      <c r="D3430" s="1403">
        <v>46228.704861111109</v>
      </c>
      <c r="E3430" s="1146">
        <v>0.68</v>
      </c>
      <c r="F3430" s="654">
        <v>4.4999999999999998E-2</v>
      </c>
      <c r="G3430" s="1147">
        <f t="shared" si="98"/>
        <v>0.71204188481675401</v>
      </c>
      <c r="H3430" s="1147" t="s">
        <v>3330</v>
      </c>
      <c r="I3430" s="1248" t="s">
        <v>4368</v>
      </c>
      <c r="J3430" s="1147">
        <v>5.0999999999999996</v>
      </c>
      <c r="K3430" s="1147">
        <v>99.32</v>
      </c>
      <c r="L3430" s="1145">
        <f>INT(base[[#This Row],[Data de liquidação]])</f>
        <v>46228</v>
      </c>
      <c r="M3430" s="1147">
        <f>base[[#This Row],[L/P Bruto]]-base[[#This Row],[L/P Líquido]]</f>
        <v>3.2041884816753963E-2</v>
      </c>
      <c r="N3430" s="1147">
        <f>base[[#This Row],[L/P Líquido]]/base[[#This Row],[Stake/Responsabilidade]]</f>
        <v>6.8465565847764809E-3</v>
      </c>
      <c r="O3430" s="1149">
        <f>IF(base[[#This Row],[L/P Líquido]]&gt;0,1,0)</f>
        <v>1</v>
      </c>
      <c r="P3430" s="1149"/>
      <c r="Q3430" s="1149" t="str">
        <f>LEFT(base[[#This Row],[Evento / Mercado]],FIND("vs",base[[#This Row],[Evento / Mercado]])-2)</f>
        <v>Haugesund</v>
      </c>
      <c r="R343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9" t="str">
        <f>LEFT(base[[#This Row],[Evento / Mercado]],FIND("/",base[[#This Row],[Evento / Mercado]])-2)</f>
        <v>Haugesund vs Bryne</v>
      </c>
      <c r="T3430" s="1420">
        <f>base[[#This Row],[Data de liquidação]]</f>
        <v>46228.704861111109</v>
      </c>
    </row>
    <row r="3431" spans="2:20" ht="15" customHeight="1">
      <c r="B3431" s="1144" t="s">
        <v>4065</v>
      </c>
      <c r="C3431" s="935" t="s">
        <v>3556</v>
      </c>
      <c r="D3431" s="1403">
        <v>46228.704918981479</v>
      </c>
      <c r="E3431" s="1146">
        <v>-300.01</v>
      </c>
      <c r="F3431" s="654">
        <v>4.4999999999999998E-2</v>
      </c>
      <c r="G3431" s="1147">
        <f t="shared" si="98"/>
        <v>-300.01</v>
      </c>
      <c r="H3431" s="1147" t="s">
        <v>179</v>
      </c>
      <c r="I3431" s="1148" t="s">
        <v>392</v>
      </c>
      <c r="J3431" s="1147">
        <v>5.2</v>
      </c>
      <c r="K3431" s="1147">
        <v>300.01</v>
      </c>
      <c r="L3431" s="1145">
        <f>INT(base[[#This Row],[Data de liquidação]])</f>
        <v>46228</v>
      </c>
      <c r="M3431" s="1147">
        <f>base[[#This Row],[L/P Bruto]]-base[[#This Row],[L/P Líquido]]</f>
        <v>0</v>
      </c>
      <c r="N3431" s="1147">
        <f>base[[#This Row],[L/P Líquido]]/base[[#This Row],[Stake/Responsabilidade]]</f>
        <v>-1</v>
      </c>
      <c r="O3431" s="1149">
        <f>IF(base[[#This Row],[L/P Líquido]]&gt;0,1,0)</f>
        <v>0</v>
      </c>
      <c r="P3431" s="1149"/>
      <c r="Q3431" s="1149" t="str">
        <f>LEFT(base[[#This Row],[Evento / Mercado]],FIND("vs",base[[#This Row],[Evento / Mercado]])-2)</f>
        <v>Haugesund</v>
      </c>
      <c r="R343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9" t="str">
        <f>LEFT(base[[#This Row],[Evento / Mercado]],FIND("/",base[[#This Row],[Evento / Mercado]])-2)</f>
        <v>Haugesund vs Bryne</v>
      </c>
      <c r="T3431" s="1420">
        <f>base[[#This Row],[Data de liquidação]]</f>
        <v>46228.704918981479</v>
      </c>
    </row>
    <row r="3432" spans="2:20" ht="15" customHeight="1">
      <c r="B3432" s="1144" t="s">
        <v>4065</v>
      </c>
      <c r="C3432" s="1144" t="s">
        <v>3555</v>
      </c>
      <c r="D3432" s="1403">
        <v>46228.704918981479</v>
      </c>
      <c r="E3432" s="1146">
        <v>78.81</v>
      </c>
      <c r="F3432" s="654">
        <v>4.4999999999999998E-2</v>
      </c>
      <c r="G3432" s="1147">
        <f t="shared" si="98"/>
        <v>82.52356020942409</v>
      </c>
      <c r="H3432" s="938" t="s">
        <v>3253</v>
      </c>
      <c r="I3432" s="939" t="s">
        <v>1555</v>
      </c>
      <c r="J3432" s="1147">
        <v>4.7</v>
      </c>
      <c r="K3432" s="1147">
        <v>300</v>
      </c>
      <c r="L3432" s="1145">
        <f>INT(base[[#This Row],[Data de liquidação]])</f>
        <v>46228</v>
      </c>
      <c r="M3432" s="1147">
        <f>base[[#This Row],[L/P Bruto]]-base[[#This Row],[L/P Líquido]]</f>
        <v>3.713560209424088</v>
      </c>
      <c r="N3432" s="1147">
        <f>base[[#This Row],[L/P Líquido]]/base[[#This Row],[Stake/Responsabilidade]]</f>
        <v>0.26269999999999999</v>
      </c>
      <c r="O3432" s="1149">
        <f>IF(base[[#This Row],[L/P Líquido]]&gt;0,1,0)</f>
        <v>1</v>
      </c>
      <c r="P3432" s="1149"/>
      <c r="Q3432" s="1149" t="str">
        <f>LEFT(base[[#This Row],[Evento / Mercado]],FIND("vs",base[[#This Row],[Evento / Mercado]])-2)</f>
        <v>Haugesund</v>
      </c>
      <c r="R343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9" t="str">
        <f>LEFT(base[[#This Row],[Evento / Mercado]],FIND("/",base[[#This Row],[Evento / Mercado]])-2)</f>
        <v>Haugesund vs Bryne</v>
      </c>
      <c r="T3432" s="1420">
        <f>base[[#This Row],[Data de liquidação]]</f>
        <v>46228.704918981479</v>
      </c>
    </row>
    <row r="3433" spans="2:20" ht="15" customHeight="1">
      <c r="B3433" s="1144" t="s">
        <v>4064</v>
      </c>
      <c r="C3433" s="935" t="s">
        <v>3556</v>
      </c>
      <c r="D3433" s="1403">
        <v>46228.716863425929</v>
      </c>
      <c r="E3433" s="1146">
        <v>-5.36</v>
      </c>
      <c r="F3433" s="654">
        <v>4.4999999999999998E-2</v>
      </c>
      <c r="G3433" s="1147">
        <f t="shared" si="98"/>
        <v>-5.36</v>
      </c>
      <c r="H3433" s="1133" t="s">
        <v>3253</v>
      </c>
      <c r="I3433" s="1134" t="s">
        <v>3254</v>
      </c>
      <c r="J3433" s="1147">
        <v>9</v>
      </c>
      <c r="K3433" s="1147">
        <v>37.5</v>
      </c>
      <c r="L3433" s="1145">
        <f>INT(base[[#This Row],[Data de liquidação]])</f>
        <v>46228</v>
      </c>
      <c r="M3433" s="1147">
        <f>base[[#This Row],[L/P Bruto]]-base[[#This Row],[L/P Líquido]]</f>
        <v>0</v>
      </c>
      <c r="N3433" s="1147">
        <f>base[[#This Row],[L/P Líquido]]/base[[#This Row],[Stake/Responsabilidade]]</f>
        <v>-0.14293333333333333</v>
      </c>
      <c r="O3433" s="1149">
        <f>IF(base[[#This Row],[L/P Líquido]]&gt;0,1,0)</f>
        <v>0</v>
      </c>
      <c r="P3433" s="1149"/>
      <c r="Q3433" s="1149" t="str">
        <f>LEFT(base[[#This Row],[Evento / Mercado]],FIND("vs",base[[#This Row],[Evento / Mercado]])-2)</f>
        <v>Lech Poznan</v>
      </c>
      <c r="R343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9" t="str">
        <f>LEFT(base[[#This Row],[Evento / Mercado]],FIND("/",base[[#This Row],[Evento / Mercado]])-2)</f>
        <v>Lech Poznan vs Cracovia Kraków</v>
      </c>
      <c r="T3433" s="1420">
        <f>base[[#This Row],[Data de liquidação]]</f>
        <v>46228.716863425929</v>
      </c>
    </row>
    <row r="3434" spans="2:20" ht="15" customHeight="1">
      <c r="B3434" s="1144" t="s">
        <v>4063</v>
      </c>
      <c r="C3434" s="935" t="s">
        <v>3556</v>
      </c>
      <c r="D3434" s="1403">
        <v>46228.716990740744</v>
      </c>
      <c r="E3434" s="1146">
        <v>-61.03</v>
      </c>
      <c r="F3434" s="654">
        <v>4.4999999999999998E-2</v>
      </c>
      <c r="G3434" s="1147">
        <f t="shared" si="98"/>
        <v>-61.03</v>
      </c>
      <c r="H3434" s="938" t="s">
        <v>3253</v>
      </c>
      <c r="I3434" s="939" t="s">
        <v>1555</v>
      </c>
      <c r="J3434" s="1147">
        <v>4.5</v>
      </c>
      <c r="K3434" s="1147">
        <v>299.98</v>
      </c>
      <c r="L3434" s="1145">
        <f>INT(base[[#This Row],[Data de liquidação]])</f>
        <v>46228</v>
      </c>
      <c r="M3434" s="1147">
        <f>base[[#This Row],[L/P Bruto]]-base[[#This Row],[L/P Líquido]]</f>
        <v>0</v>
      </c>
      <c r="N3434" s="1147">
        <f>base[[#This Row],[L/P Líquido]]/base[[#This Row],[Stake/Responsabilidade]]</f>
        <v>-0.20344689645976397</v>
      </c>
      <c r="O3434" s="1149">
        <f>IF(base[[#This Row],[L/P Líquido]]&gt;0,1,0)</f>
        <v>0</v>
      </c>
      <c r="P3434" s="1149"/>
      <c r="Q3434" s="1149" t="str">
        <f>LEFT(base[[#This Row],[Evento / Mercado]],FIND("vs",base[[#This Row],[Evento / Mercado]])-2)</f>
        <v>Lech Poznan</v>
      </c>
      <c r="R343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9" t="str">
        <f>LEFT(base[[#This Row],[Evento / Mercado]],FIND("/",base[[#This Row],[Evento / Mercado]])-2)</f>
        <v>Lech Poznan vs Cracovia Kraków</v>
      </c>
      <c r="T3434" s="1420">
        <f>base[[#This Row],[Data de liquidação]]</f>
        <v>46228.716990740744</v>
      </c>
    </row>
    <row r="3435" spans="2:20" ht="15" customHeight="1">
      <c r="B3435" s="1144" t="s">
        <v>4063</v>
      </c>
      <c r="C3435" s="1109" t="s">
        <v>3555</v>
      </c>
      <c r="D3435" s="1403">
        <v>46228.716990740744</v>
      </c>
      <c r="E3435" s="1146">
        <v>2.14</v>
      </c>
      <c r="F3435" s="654">
        <v>4.4999999999999998E-2</v>
      </c>
      <c r="G3435" s="1147">
        <f t="shared" ref="G3435:G3462" si="99">IF(E3435&gt;0,E3435/(1-F3435),E3435)</f>
        <v>2.2408376963350789</v>
      </c>
      <c r="H3435" s="1147" t="s">
        <v>3330</v>
      </c>
      <c r="I3435" s="1148" t="s">
        <v>3566</v>
      </c>
      <c r="J3435" s="1147">
        <v>6.2</v>
      </c>
      <c r="K3435" s="1147">
        <v>100</v>
      </c>
      <c r="L3435" s="1145">
        <f>INT(base[[#This Row],[Data de liquidação]])</f>
        <v>46228</v>
      </c>
      <c r="M3435" s="1147">
        <f>base[[#This Row],[L/P Bruto]]-base[[#This Row],[L/P Líquido]]</f>
        <v>0.10083769633507877</v>
      </c>
      <c r="N3435" s="1147">
        <f>base[[#This Row],[L/P Líquido]]/base[[#This Row],[Stake/Responsabilidade]]</f>
        <v>2.1400000000000002E-2</v>
      </c>
      <c r="O3435" s="1149">
        <f>IF(base[[#This Row],[L/P Líquido]]&gt;0,1,0)</f>
        <v>1</v>
      </c>
      <c r="P3435" s="1149"/>
      <c r="Q3435" s="1149" t="str">
        <f>LEFT(base[[#This Row],[Evento / Mercado]],FIND("vs",base[[#This Row],[Evento / Mercado]])-2)</f>
        <v>Lech Poznan</v>
      </c>
      <c r="R343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9" t="str">
        <f>LEFT(base[[#This Row],[Evento / Mercado]],FIND("/",base[[#This Row],[Evento / Mercado]])-2)</f>
        <v>Lech Poznan vs Cracovia Kraków</v>
      </c>
      <c r="T3435" s="1420">
        <f>base[[#This Row],[Data de liquidação]]</f>
        <v>46228.716990740744</v>
      </c>
    </row>
    <row r="3436" spans="2:20" ht="15" customHeight="1">
      <c r="B3436" s="1144" t="s">
        <v>4062</v>
      </c>
      <c r="C3436" s="935" t="s">
        <v>3556</v>
      </c>
      <c r="D3436" s="1403">
        <v>46228.821192129632</v>
      </c>
      <c r="E3436" s="1146">
        <v>4.1500000000000004</v>
      </c>
      <c r="F3436" s="654">
        <v>4.4999999999999998E-2</v>
      </c>
      <c r="G3436" s="1147">
        <f t="shared" si="99"/>
        <v>4.345549738219896</v>
      </c>
      <c r="H3436" s="1147" t="s">
        <v>1666</v>
      </c>
      <c r="I3436" s="1148" t="s">
        <v>2883</v>
      </c>
      <c r="J3436" s="1147">
        <v>1.87</v>
      </c>
      <c r="K3436" s="1147">
        <v>5</v>
      </c>
      <c r="L3436" s="1145">
        <f>INT(base[[#This Row],[Data de liquidação]])</f>
        <v>46228</v>
      </c>
      <c r="M3436" s="1147">
        <f>base[[#This Row],[L/P Bruto]]-base[[#This Row],[L/P Líquido]]</f>
        <v>0.19554973821989563</v>
      </c>
      <c r="N3436" s="1147">
        <f>base[[#This Row],[L/P Líquido]]/base[[#This Row],[Stake/Responsabilidade]]</f>
        <v>0.83000000000000007</v>
      </c>
      <c r="O3436" s="1149">
        <f>IF(base[[#This Row],[L/P Líquido]]&gt;0,1,0)</f>
        <v>1</v>
      </c>
      <c r="P3436" s="1149"/>
      <c r="Q3436" s="1149" t="str">
        <f>LEFT(base[[#This Row],[Evento / Mercado]],FIND("vs",base[[#This Row],[Evento / Mercado]])-2)</f>
        <v>Huachipato</v>
      </c>
      <c r="R343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9" t="str">
        <f>LEFT(base[[#This Row],[Evento / Mercado]],FIND("/",base[[#This Row],[Evento / Mercado]])-2)</f>
        <v>Huachipato vs Cobresal</v>
      </c>
      <c r="T3436" s="1420">
        <f>base[[#This Row],[Data de liquidação]]</f>
        <v>46228.821192129632</v>
      </c>
    </row>
    <row r="3437" spans="2:20" ht="15" customHeight="1">
      <c r="B3437" s="1144" t="s">
        <v>4061</v>
      </c>
      <c r="C3437" s="935" t="s">
        <v>3556</v>
      </c>
      <c r="D3437" s="1403">
        <v>46228.833298611113</v>
      </c>
      <c r="E3437" s="1146">
        <v>-87.86</v>
      </c>
      <c r="F3437" s="654">
        <v>4.4999999999999998E-2</v>
      </c>
      <c r="G3437" s="1147">
        <f t="shared" si="99"/>
        <v>-87.86</v>
      </c>
      <c r="H3437" s="1113" t="s">
        <v>3922</v>
      </c>
      <c r="I3437" s="1148"/>
      <c r="J3437" s="1147">
        <v>14.5</v>
      </c>
      <c r="K3437" s="1147">
        <v>500.04</v>
      </c>
      <c r="L3437" s="1145">
        <f>INT(base[[#This Row],[Data de liquidação]])</f>
        <v>46228</v>
      </c>
      <c r="M3437" s="1147">
        <f>base[[#This Row],[L/P Bruto]]-base[[#This Row],[L/P Líquido]]</f>
        <v>0</v>
      </c>
      <c r="N3437" s="1147">
        <f>base[[#This Row],[L/P Líquido]]/base[[#This Row],[Stake/Responsabilidade]]</f>
        <v>-0.17570594352451804</v>
      </c>
      <c r="O3437" s="1149">
        <f>IF(base[[#This Row],[L/P Líquido]]&gt;0,1,0)</f>
        <v>0</v>
      </c>
      <c r="P3437" s="1149"/>
      <c r="Q3437" s="1149" t="str">
        <f>LEFT(base[[#This Row],[Evento / Mercado]],FIND("vs",base[[#This Row],[Evento / Mercado]])-2)</f>
        <v>Independiente Medellín</v>
      </c>
      <c r="R343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9" t="str">
        <f>LEFT(base[[#This Row],[Evento / Mercado]],FIND("/",base[[#This Row],[Evento / Mercado]])-2)</f>
        <v>Independiente Medellín vs Deportivo Pasto</v>
      </c>
      <c r="T3437" s="1420">
        <f>base[[#This Row],[Data de liquidação]]</f>
        <v>46228.833298611113</v>
      </c>
    </row>
    <row r="3438" spans="2:20" ht="15" customHeight="1">
      <c r="B3438" s="1144" t="s">
        <v>4061</v>
      </c>
      <c r="C3438" s="1109" t="s">
        <v>3555</v>
      </c>
      <c r="D3438" s="1403">
        <v>46228.833298611113</v>
      </c>
      <c r="E3438" s="1146">
        <v>-53.22</v>
      </c>
      <c r="F3438" s="654">
        <v>4.4999999999999998E-2</v>
      </c>
      <c r="G3438" s="1147">
        <f t="shared" si="99"/>
        <v>-53.22</v>
      </c>
      <c r="H3438" s="1053" t="s">
        <v>3817</v>
      </c>
      <c r="I3438" s="1148"/>
      <c r="J3438" s="1147">
        <v>22</v>
      </c>
      <c r="K3438" s="1147">
        <v>500.01</v>
      </c>
      <c r="L3438" s="1145">
        <f>INT(base[[#This Row],[Data de liquidação]])</f>
        <v>46228</v>
      </c>
      <c r="M3438" s="1147">
        <f>base[[#This Row],[L/P Bruto]]-base[[#This Row],[L/P Líquido]]</f>
        <v>0</v>
      </c>
      <c r="N3438" s="1147">
        <f>base[[#This Row],[L/P Líquido]]/base[[#This Row],[Stake/Responsabilidade]]</f>
        <v>-0.10643787124257514</v>
      </c>
      <c r="O3438" s="1149">
        <f>IF(base[[#This Row],[L/P Líquido]]&gt;0,1,0)</f>
        <v>0</v>
      </c>
      <c r="P3438" s="1149"/>
      <c r="Q3438" s="1149" t="str">
        <f>LEFT(base[[#This Row],[Evento / Mercado]],FIND("vs",base[[#This Row],[Evento / Mercado]])-2)</f>
        <v>Independiente Medellín</v>
      </c>
      <c r="R343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9" t="str">
        <f>LEFT(base[[#This Row],[Evento / Mercado]],FIND("/",base[[#This Row],[Evento / Mercado]])-2)</f>
        <v>Independiente Medellín vs Deportivo Pasto</v>
      </c>
      <c r="T3438" s="1420">
        <f>base[[#This Row],[Data de liquidação]]</f>
        <v>46228.833298611113</v>
      </c>
    </row>
    <row r="3439" spans="2:20" ht="15" customHeight="1">
      <c r="B3439" s="1144" t="s">
        <v>4059</v>
      </c>
      <c r="C3439" s="1144" t="s">
        <v>3554</v>
      </c>
      <c r="D3439" s="1403">
        <v>46228.85</v>
      </c>
      <c r="E3439" s="1146">
        <v>17.84</v>
      </c>
      <c r="F3439" s="654">
        <v>4.4999999999999998E-2</v>
      </c>
      <c r="G3439" s="1147">
        <f t="shared" si="99"/>
        <v>18.680628272251308</v>
      </c>
      <c r="H3439" s="1147" t="s">
        <v>3330</v>
      </c>
      <c r="I3439" s="1248" t="s">
        <v>4368</v>
      </c>
      <c r="J3439" s="1147">
        <v>4.5</v>
      </c>
      <c r="K3439" s="1147">
        <v>100</v>
      </c>
      <c r="L3439" s="1145">
        <f>INT(base[[#This Row],[Data de liquidação]])</f>
        <v>46228</v>
      </c>
      <c r="M3439" s="1147">
        <f>base[[#This Row],[L/P Bruto]]-base[[#This Row],[L/P Líquido]]</f>
        <v>0.84062827225130832</v>
      </c>
      <c r="N3439" s="1147">
        <f>base[[#This Row],[L/P Líquido]]/base[[#This Row],[Stake/Responsabilidade]]</f>
        <v>0.1784</v>
      </c>
      <c r="O3439" s="1149">
        <f>IF(base[[#This Row],[L/P Líquido]]&gt;0,1,0)</f>
        <v>1</v>
      </c>
      <c r="P3439" s="1149"/>
      <c r="Q3439" s="1149" t="str">
        <f>LEFT(base[[#This Row],[Evento / Mercado]],FIND("vs",base[[#This Row],[Evento / Mercado]])-2)</f>
        <v>Athlético Paranaense</v>
      </c>
      <c r="R343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9" t="str">
        <f>LEFT(base[[#This Row],[Evento / Mercado]],FIND("/",base[[#This Row],[Evento / Mercado]])-2)</f>
        <v>Athlético Paranaense vs SC Internacional</v>
      </c>
      <c r="T3439" s="1420">
        <f>base[[#This Row],[Data de liquidação]]</f>
        <v>46228.85</v>
      </c>
    </row>
    <row r="3440" spans="2:20" ht="15" customHeight="1">
      <c r="B3440" s="1144" t="s">
        <v>4060</v>
      </c>
      <c r="C3440" s="1144" t="s">
        <v>3554</v>
      </c>
      <c r="D3440" s="1403">
        <v>46228.85</v>
      </c>
      <c r="E3440" s="1146">
        <v>31.82</v>
      </c>
      <c r="F3440" s="654">
        <v>4.4999999999999998E-2</v>
      </c>
      <c r="G3440" s="1147">
        <f t="shared" si="99"/>
        <v>33.319371727748695</v>
      </c>
      <c r="H3440" s="1133" t="s">
        <v>3209</v>
      </c>
      <c r="I3440" s="1134" t="s">
        <v>3211</v>
      </c>
      <c r="J3440" s="1147"/>
      <c r="K3440" s="1147">
        <v>100</v>
      </c>
      <c r="L3440" s="1145">
        <f>INT(base[[#This Row],[Data de liquidação]])</f>
        <v>46228</v>
      </c>
      <c r="M3440" s="1147">
        <f>base[[#This Row],[L/P Bruto]]-base[[#This Row],[L/P Líquido]]</f>
        <v>1.4993717277486951</v>
      </c>
      <c r="N3440" s="1147">
        <f>base[[#This Row],[L/P Líquido]]/base[[#This Row],[Stake/Responsabilidade]]</f>
        <v>0.31819999999999998</v>
      </c>
      <c r="O3440" s="1149">
        <f>IF(base[[#This Row],[L/P Líquido]]&gt;0,1,0)</f>
        <v>1</v>
      </c>
      <c r="P3440" s="1149"/>
      <c r="Q3440" s="1149" t="str">
        <f>LEFT(base[[#This Row],[Evento / Mercado]],FIND("vs",base[[#This Row],[Evento / Mercado]])-2)</f>
        <v>Athlético Paranaense</v>
      </c>
      <c r="R344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9" t="str">
        <f>LEFT(base[[#This Row],[Evento / Mercado]],FIND("/",base[[#This Row],[Evento / Mercado]])-2)</f>
        <v>Athlético Paranaense vs SC Internacional</v>
      </c>
      <c r="T3440" s="1420">
        <f>base[[#This Row],[Data de liquidação]]</f>
        <v>46228.85</v>
      </c>
    </row>
    <row r="3441" spans="2:20" ht="15" customHeight="1">
      <c r="B3441" s="1144" t="s">
        <v>4060</v>
      </c>
      <c r="C3441" s="935" t="s">
        <v>3556</v>
      </c>
      <c r="D3441" s="1403">
        <v>46228.850023148145</v>
      </c>
      <c r="E3441" s="1146">
        <v>-50</v>
      </c>
      <c r="F3441" s="654">
        <v>4.4999999999999998E-2</v>
      </c>
      <c r="G3441" s="1147">
        <f t="shared" si="99"/>
        <v>-50</v>
      </c>
      <c r="H3441" s="1133" t="s">
        <v>3253</v>
      </c>
      <c r="I3441" s="1134" t="s">
        <v>3254</v>
      </c>
      <c r="J3441" s="1147">
        <v>7</v>
      </c>
      <c r="K3441" s="1147">
        <v>50</v>
      </c>
      <c r="L3441" s="1145">
        <f>INT(base[[#This Row],[Data de liquidação]])</f>
        <v>46228</v>
      </c>
      <c r="M3441" s="1147">
        <f>base[[#This Row],[L/P Bruto]]-base[[#This Row],[L/P Líquido]]</f>
        <v>0</v>
      </c>
      <c r="N3441" s="1147">
        <f>base[[#This Row],[L/P Líquido]]/base[[#This Row],[Stake/Responsabilidade]]</f>
        <v>-1</v>
      </c>
      <c r="O3441" s="1149">
        <f>IF(base[[#This Row],[L/P Líquido]]&gt;0,1,0)</f>
        <v>0</v>
      </c>
      <c r="P3441" s="1149"/>
      <c r="Q3441" s="1149" t="str">
        <f>LEFT(base[[#This Row],[Evento / Mercado]],FIND("vs",base[[#This Row],[Evento / Mercado]])-2)</f>
        <v>Athlético Paranaense</v>
      </c>
      <c r="R344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9" t="str">
        <f>LEFT(base[[#This Row],[Evento / Mercado]],FIND("/",base[[#This Row],[Evento / Mercado]])-2)</f>
        <v>Athlético Paranaense vs SC Internacional</v>
      </c>
      <c r="T3441" s="1420">
        <f>base[[#This Row],[Data de liquidação]]</f>
        <v>46228.850023148145</v>
      </c>
    </row>
    <row r="3442" spans="2:20" ht="15" customHeight="1">
      <c r="B3442" s="1144" t="s">
        <v>4060</v>
      </c>
      <c r="C3442" s="1109" t="s">
        <v>3555</v>
      </c>
      <c r="D3442" s="1403">
        <v>46228.850023148145</v>
      </c>
      <c r="E3442" s="1146">
        <v>38.880000000000003</v>
      </c>
      <c r="F3442" s="654">
        <v>4.4999999999999998E-2</v>
      </c>
      <c r="G3442" s="1147">
        <f t="shared" si="99"/>
        <v>40.712041884816756</v>
      </c>
      <c r="H3442" s="1147" t="s">
        <v>3868</v>
      </c>
      <c r="I3442" s="1148" t="s">
        <v>627</v>
      </c>
      <c r="J3442" s="1147">
        <v>13.5</v>
      </c>
      <c r="K3442" s="1147">
        <v>500</v>
      </c>
      <c r="L3442" s="1145">
        <f>INT(base[[#This Row],[Data de liquidação]])</f>
        <v>46228</v>
      </c>
      <c r="M3442" s="1147">
        <f>base[[#This Row],[L/P Bruto]]-base[[#This Row],[L/P Líquido]]</f>
        <v>1.8320418848167535</v>
      </c>
      <c r="N3442" s="1147">
        <f>base[[#This Row],[L/P Líquido]]/base[[#This Row],[Stake/Responsabilidade]]</f>
        <v>7.776000000000001E-2</v>
      </c>
      <c r="O3442" s="1149">
        <f>IF(base[[#This Row],[L/P Líquido]]&gt;0,1,0)</f>
        <v>1</v>
      </c>
      <c r="P3442" s="1149"/>
      <c r="Q3442" s="1149" t="str">
        <f>LEFT(base[[#This Row],[Evento / Mercado]],FIND("vs",base[[#This Row],[Evento / Mercado]])-2)</f>
        <v>Athlético Paranaense</v>
      </c>
      <c r="R344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9" t="str">
        <f>LEFT(base[[#This Row],[Evento / Mercado]],FIND("/",base[[#This Row],[Evento / Mercado]])-2)</f>
        <v>Athlético Paranaense vs SC Internacional</v>
      </c>
      <c r="T3442" s="1420">
        <f>base[[#This Row],[Data de liquidação]]</f>
        <v>46228.850023148145</v>
      </c>
    </row>
    <row r="3443" spans="2:20" ht="15" customHeight="1">
      <c r="B3443" s="1144" t="s">
        <v>4059</v>
      </c>
      <c r="C3443" s="935" t="s">
        <v>3556</v>
      </c>
      <c r="D3443" s="1403">
        <v>46228.850127314814</v>
      </c>
      <c r="E3443" s="1146">
        <v>96.77</v>
      </c>
      <c r="F3443" s="654">
        <v>4.4999999999999998E-2</v>
      </c>
      <c r="G3443" s="1147">
        <f t="shared" si="99"/>
        <v>101.32984293193718</v>
      </c>
      <c r="H3443" s="938" t="s">
        <v>3253</v>
      </c>
      <c r="I3443" s="939" t="s">
        <v>1555</v>
      </c>
      <c r="J3443" s="1147">
        <v>3.45</v>
      </c>
      <c r="K3443" s="1147">
        <v>300</v>
      </c>
      <c r="L3443" s="1145">
        <f>INT(base[[#This Row],[Data de liquidação]])</f>
        <v>46228</v>
      </c>
      <c r="M3443" s="1147">
        <f>base[[#This Row],[L/P Bruto]]-base[[#This Row],[L/P Líquido]]</f>
        <v>4.5598429319371832</v>
      </c>
      <c r="N3443" s="1147">
        <f>base[[#This Row],[L/P Líquido]]/base[[#This Row],[Stake/Responsabilidade]]</f>
        <v>0.32256666666666667</v>
      </c>
      <c r="O3443" s="1149">
        <f>IF(base[[#This Row],[L/P Líquido]]&gt;0,1,0)</f>
        <v>1</v>
      </c>
      <c r="P3443" s="1149"/>
      <c r="Q3443" s="1149" t="str">
        <f>LEFT(base[[#This Row],[Evento / Mercado]],FIND("vs",base[[#This Row],[Evento / Mercado]])-2)</f>
        <v>Athlético Paranaense</v>
      </c>
      <c r="R344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9" t="str">
        <f>LEFT(base[[#This Row],[Evento / Mercado]],FIND("/",base[[#This Row],[Evento / Mercado]])-2)</f>
        <v>Athlético Paranaense vs SC Internacional</v>
      </c>
      <c r="T3443" s="1420">
        <f>base[[#This Row],[Data de liquidação]]</f>
        <v>46228.850127314814</v>
      </c>
    </row>
    <row r="3444" spans="2:20" ht="15" customHeight="1">
      <c r="B3444" s="1144" t="s">
        <v>4058</v>
      </c>
      <c r="C3444" s="935" t="s">
        <v>3556</v>
      </c>
      <c r="D3444" s="1403">
        <v>46228.852418981478</v>
      </c>
      <c r="E3444" s="1146">
        <v>6.82</v>
      </c>
      <c r="F3444" s="654">
        <v>4.4999999999999998E-2</v>
      </c>
      <c r="G3444" s="1147">
        <f t="shared" si="99"/>
        <v>7.1413612565445028</v>
      </c>
      <c r="H3444" s="1147" t="s">
        <v>3330</v>
      </c>
      <c r="I3444" s="1148" t="s">
        <v>3566</v>
      </c>
      <c r="J3444" s="1147">
        <v>11</v>
      </c>
      <c r="K3444" s="1147">
        <v>100</v>
      </c>
      <c r="L3444" s="1145">
        <f>INT(base[[#This Row],[Data de liquidação]])</f>
        <v>46228</v>
      </c>
      <c r="M3444" s="1147">
        <f>base[[#This Row],[L/P Bruto]]-base[[#This Row],[L/P Líquido]]</f>
        <v>0.32136125654450254</v>
      </c>
      <c r="N3444" s="1147">
        <f>base[[#This Row],[L/P Líquido]]/base[[#This Row],[Stake/Responsabilidade]]</f>
        <v>6.8199999999999997E-2</v>
      </c>
      <c r="O3444" s="1149">
        <f>IF(base[[#This Row],[L/P Líquido]]&gt;0,1,0)</f>
        <v>1</v>
      </c>
      <c r="P3444" s="1149"/>
      <c r="Q3444" s="1149" t="str">
        <f>LEFT(base[[#This Row],[Evento / Mercado]],FIND("vs",base[[#This Row],[Evento / Mercado]])-2)</f>
        <v>Santos FC</v>
      </c>
      <c r="R344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9" t="str">
        <f>LEFT(base[[#This Row],[Evento / Mercado]],FIND("/",base[[#This Row],[Evento / Mercado]])-2)</f>
        <v>Santos FC vs Chapecoense</v>
      </c>
      <c r="T3444" s="1420">
        <f>base[[#This Row],[Data de liquidação]]</f>
        <v>46228.852418981478</v>
      </c>
    </row>
    <row r="3445" spans="2:20" ht="15" customHeight="1">
      <c r="B3445" s="1144" t="s">
        <v>4057</v>
      </c>
      <c r="C3445" s="935" t="s">
        <v>3556</v>
      </c>
      <c r="D3445" s="1403">
        <v>46228.854178240741</v>
      </c>
      <c r="E3445" s="1146">
        <v>1.03</v>
      </c>
      <c r="F3445" s="654">
        <v>4.4999999999999998E-2</v>
      </c>
      <c r="G3445" s="1147">
        <f t="shared" si="99"/>
        <v>1.0785340314136127</v>
      </c>
      <c r="H3445" s="1053" t="s">
        <v>3817</v>
      </c>
      <c r="I3445" s="1148"/>
      <c r="J3445" s="1147">
        <v>22</v>
      </c>
      <c r="K3445" s="1147">
        <v>500.01</v>
      </c>
      <c r="L3445" s="1145">
        <f>INT(base[[#This Row],[Data de liquidação]])</f>
        <v>46228</v>
      </c>
      <c r="M3445" s="1147">
        <f>base[[#This Row],[L/P Bruto]]-base[[#This Row],[L/P Líquido]]</f>
        <v>4.8534031413612677E-2</v>
      </c>
      <c r="N3445" s="1147">
        <f>base[[#This Row],[L/P Líquido]]/base[[#This Row],[Stake/Responsabilidade]]</f>
        <v>2.0599588008239837E-3</v>
      </c>
      <c r="O3445" s="1149">
        <f>IF(base[[#This Row],[L/P Líquido]]&gt;0,1,0)</f>
        <v>1</v>
      </c>
      <c r="P3445" s="1149"/>
      <c r="Q3445" s="1149" t="str">
        <f>LEFT(base[[#This Row],[Evento / Mercado]],FIND("vs",base[[#This Row],[Evento / Mercado]])-2)</f>
        <v>Huachipato</v>
      </c>
      <c r="R344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9" t="str">
        <f>LEFT(base[[#This Row],[Evento / Mercado]],FIND("/",base[[#This Row],[Evento / Mercado]])-2)</f>
        <v>Huachipato vs Cobresal</v>
      </c>
      <c r="T3445" s="1420">
        <f>base[[#This Row],[Data de liquidação]]</f>
        <v>46228.854178240741</v>
      </c>
    </row>
    <row r="3446" spans="2:20" ht="15" customHeight="1">
      <c r="B3446" s="1144" t="s">
        <v>4057</v>
      </c>
      <c r="C3446" s="1109" t="s">
        <v>3555</v>
      </c>
      <c r="D3446" s="1403">
        <v>46228.854178240741</v>
      </c>
      <c r="E3446" s="1146">
        <v>-40.54</v>
      </c>
      <c r="F3446" s="654">
        <v>4.4999999999999998E-2</v>
      </c>
      <c r="G3446" s="1147">
        <f t="shared" si="99"/>
        <v>-40.54</v>
      </c>
      <c r="H3446" s="1133" t="s">
        <v>3253</v>
      </c>
      <c r="I3446" s="1134" t="s">
        <v>3254</v>
      </c>
      <c r="J3446" s="1147">
        <v>8.4</v>
      </c>
      <c r="K3446" s="1147">
        <v>40.54</v>
      </c>
      <c r="L3446" s="1145">
        <f>INT(base[[#This Row],[Data de liquidação]])</f>
        <v>46228</v>
      </c>
      <c r="M3446" s="1147">
        <f>base[[#This Row],[L/P Bruto]]-base[[#This Row],[L/P Líquido]]</f>
        <v>0</v>
      </c>
      <c r="N3446" s="1147">
        <f>base[[#This Row],[L/P Líquido]]/base[[#This Row],[Stake/Responsabilidade]]</f>
        <v>-1</v>
      </c>
      <c r="O3446" s="1149">
        <f>IF(base[[#This Row],[L/P Líquido]]&gt;0,1,0)</f>
        <v>0</v>
      </c>
      <c r="P3446" s="1149"/>
      <c r="Q3446" s="1149" t="str">
        <f>LEFT(base[[#This Row],[Evento / Mercado]],FIND("vs",base[[#This Row],[Evento / Mercado]])-2)</f>
        <v>Huachipato</v>
      </c>
      <c r="R344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9" t="str">
        <f>LEFT(base[[#This Row],[Evento / Mercado]],FIND("/",base[[#This Row],[Evento / Mercado]])-2)</f>
        <v>Huachipato vs Cobresal</v>
      </c>
      <c r="T3446" s="1420">
        <f>base[[#This Row],[Data de liquidação]]</f>
        <v>46228.854178240741</v>
      </c>
    </row>
    <row r="3447" spans="2:20" ht="15" customHeight="1">
      <c r="B3447" s="1144" t="s">
        <v>4086</v>
      </c>
      <c r="C3447" s="1109" t="s">
        <v>3555</v>
      </c>
      <c r="D3447" s="1403">
        <v>46228.854351851849</v>
      </c>
      <c r="E3447" s="1146">
        <v>-40.520000000000003</v>
      </c>
      <c r="F3447" s="654">
        <v>4.4999999999999998E-2</v>
      </c>
      <c r="G3447" s="1147">
        <f t="shared" si="99"/>
        <v>-40.520000000000003</v>
      </c>
      <c r="H3447" s="938" t="s">
        <v>3253</v>
      </c>
      <c r="I3447" s="939" t="s">
        <v>1555</v>
      </c>
      <c r="J3447" s="1147">
        <v>4.5999999999999996</v>
      </c>
      <c r="K3447" s="1147">
        <v>299.99</v>
      </c>
      <c r="L3447" s="1145">
        <f>INT(base[[#This Row],[Data de liquidação]])</f>
        <v>46228</v>
      </c>
      <c r="M3447" s="1147">
        <f>base[[#This Row],[L/P Bruto]]-base[[#This Row],[L/P Líquido]]</f>
        <v>0</v>
      </c>
      <c r="N3447" s="1147">
        <f>base[[#This Row],[L/P Líquido]]/base[[#This Row],[Stake/Responsabilidade]]</f>
        <v>-0.13507116903896796</v>
      </c>
      <c r="O3447" s="1149">
        <f>IF(base[[#This Row],[L/P Líquido]]&gt;0,1,0)</f>
        <v>0</v>
      </c>
      <c r="P3447" s="1149"/>
      <c r="Q3447" s="1149" t="str">
        <f>LEFT(base[[#This Row],[Evento / Mercado]],FIND("vs",base[[#This Row],[Evento / Mercado]])-2)</f>
        <v>Huachipato</v>
      </c>
      <c r="R344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9" t="str">
        <f>LEFT(base[[#This Row],[Evento / Mercado]],FIND("/",base[[#This Row],[Evento / Mercado]])-2)</f>
        <v>Huachipato vs Cobresal</v>
      </c>
      <c r="T3447" s="1420">
        <f>base[[#This Row],[Data de liquidação]]</f>
        <v>46228.854351851849</v>
      </c>
    </row>
    <row r="3448" spans="2:20" ht="15" customHeight="1">
      <c r="B3448" s="1144" t="s">
        <v>4056</v>
      </c>
      <c r="C3448" s="935" t="s">
        <v>3556</v>
      </c>
      <c r="D3448" s="1403">
        <v>46228.89947916667</v>
      </c>
      <c r="E3448" s="1146">
        <v>-18.7</v>
      </c>
      <c r="F3448" s="654">
        <v>4.4999999999999998E-2</v>
      </c>
      <c r="G3448" s="1147">
        <f t="shared" si="99"/>
        <v>-18.7</v>
      </c>
      <c r="H3448" s="1053" t="s">
        <v>3817</v>
      </c>
      <c r="I3448" s="1148"/>
      <c r="J3448" s="1147">
        <v>13.5</v>
      </c>
      <c r="K3448" s="1147">
        <v>500</v>
      </c>
      <c r="L3448" s="1145">
        <f>INT(base[[#This Row],[Data de liquidação]])</f>
        <v>46228</v>
      </c>
      <c r="M3448" s="1147">
        <f>base[[#This Row],[L/P Bruto]]-base[[#This Row],[L/P Líquido]]</f>
        <v>0</v>
      </c>
      <c r="N3448" s="1147">
        <f>base[[#This Row],[L/P Líquido]]/base[[#This Row],[Stake/Responsabilidade]]</f>
        <v>-3.7399999999999996E-2</v>
      </c>
      <c r="O3448" s="1149">
        <f>IF(base[[#This Row],[L/P Líquido]]&gt;0,1,0)</f>
        <v>0</v>
      </c>
      <c r="P3448" s="1149"/>
      <c r="Q3448" s="1149" t="str">
        <f>LEFT(base[[#This Row],[Evento / Mercado]],FIND("vs",base[[#This Row],[Evento / Mercado]])-2)</f>
        <v>New York Red Bulls</v>
      </c>
      <c r="R344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9" t="str">
        <f>LEFT(base[[#This Row],[Evento / Mercado]],FIND("/",base[[#This Row],[Evento / Mercado]])-2)</f>
        <v>New York Red Bulls vs Charlotte FC</v>
      </c>
      <c r="T3448" s="1420">
        <f>base[[#This Row],[Data de liquidação]]</f>
        <v>46228.89947916667</v>
      </c>
    </row>
    <row r="3449" spans="2:20" ht="15" customHeight="1">
      <c r="B3449" s="1144" t="s">
        <v>4055</v>
      </c>
      <c r="C3449" s="935" t="s">
        <v>3556</v>
      </c>
      <c r="D3449" s="1403">
        <v>46228.920578703706</v>
      </c>
      <c r="E3449" s="1146">
        <v>11.87</v>
      </c>
      <c r="F3449" s="654">
        <v>4.4999999999999998E-2</v>
      </c>
      <c r="G3449" s="1147">
        <f t="shared" si="99"/>
        <v>12.429319371727749</v>
      </c>
      <c r="H3449" s="1053" t="s">
        <v>3817</v>
      </c>
      <c r="I3449" s="1148"/>
      <c r="J3449" s="1147">
        <f>(26*430+24*70.15)/base[[#This Row],[Stake/Responsabilidade]]</f>
        <v>25.719484154753577</v>
      </c>
      <c r="K3449" s="1147">
        <f>430+70.15</f>
        <v>500.15</v>
      </c>
      <c r="L3449" s="1145">
        <f>INT(base[[#This Row],[Data de liquidação]])</f>
        <v>46228</v>
      </c>
      <c r="M3449" s="1147">
        <f>base[[#This Row],[L/P Bruto]]-base[[#This Row],[L/P Líquido]]</f>
        <v>0.55931937172774937</v>
      </c>
      <c r="N3449" s="1147">
        <f>base[[#This Row],[L/P Líquido]]/base[[#This Row],[Stake/Responsabilidade]]</f>
        <v>2.3732880135959211E-2</v>
      </c>
      <c r="O3449" s="1149">
        <f>IF(base[[#This Row],[L/P Líquido]]&gt;0,1,0)</f>
        <v>1</v>
      </c>
      <c r="P3449" s="1149"/>
      <c r="Q3449" s="1149" t="str">
        <f>LEFT(base[[#This Row],[Evento / Mercado]],FIND("vs",base[[#This Row],[Evento / Mercado]])-2)</f>
        <v>Millonarios</v>
      </c>
      <c r="R344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9" t="str">
        <f>LEFT(base[[#This Row],[Evento / Mercado]],FIND("/",base[[#This Row],[Evento / Mercado]])-2)</f>
        <v>Millonarios vs Atlético Bucaramanga</v>
      </c>
      <c r="T3449" s="1420">
        <f>base[[#This Row],[Data de liquidação]]</f>
        <v>46228.920578703706</v>
      </c>
    </row>
    <row r="3450" spans="2:20" ht="15" customHeight="1">
      <c r="B3450" s="1144" t="s">
        <v>4054</v>
      </c>
      <c r="C3450" s="935" t="s">
        <v>3556</v>
      </c>
      <c r="D3450" s="1403">
        <v>46228.924756944441</v>
      </c>
      <c r="E3450" s="1146">
        <v>90.09</v>
      </c>
      <c r="F3450" s="654">
        <v>4.4999999999999998E-2</v>
      </c>
      <c r="G3450" s="1147">
        <f t="shared" si="99"/>
        <v>94.335078534031425</v>
      </c>
      <c r="H3450" s="1147" t="s">
        <v>314</v>
      </c>
      <c r="I3450" s="1148" t="s">
        <v>349</v>
      </c>
      <c r="J3450" s="1147">
        <v>1.94</v>
      </c>
      <c r="K3450" s="1147">
        <v>100</v>
      </c>
      <c r="L3450" s="1145">
        <f>INT(base[[#This Row],[Data de liquidação]])</f>
        <v>46228</v>
      </c>
      <c r="M3450" s="1147">
        <f>base[[#This Row],[L/P Bruto]]-base[[#This Row],[L/P Líquido]]</f>
        <v>4.2450785340314212</v>
      </c>
      <c r="N3450" s="1147">
        <f>base[[#This Row],[L/P Líquido]]/base[[#This Row],[Stake/Responsabilidade]]</f>
        <v>0.90090000000000003</v>
      </c>
      <c r="O3450" s="1149">
        <f>IF(base[[#This Row],[L/P Líquido]]&gt;0,1,0)</f>
        <v>1</v>
      </c>
      <c r="P3450" s="1149"/>
      <c r="Q3450" s="1149" t="str">
        <f>LEFT(base[[#This Row],[Evento / Mercado]],FIND("vs",base[[#This Row],[Evento / Mercado]])-2)</f>
        <v>Vasco da Gama</v>
      </c>
      <c r="R345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9" t="str">
        <f>LEFT(base[[#This Row],[Evento / Mercado]],FIND("/",base[[#This Row],[Evento / Mercado]])-2)</f>
        <v>Vasco da Gama vs Mirassol FC</v>
      </c>
      <c r="T3450" s="1420">
        <f>base[[#This Row],[Data de liquidação]]</f>
        <v>46228.924756944441</v>
      </c>
    </row>
    <row r="3451" spans="2:20" ht="15" customHeight="1">
      <c r="B3451" s="1144" t="s">
        <v>4053</v>
      </c>
      <c r="C3451" s="935" t="s">
        <v>3556</v>
      </c>
      <c r="D3451" s="1403">
        <v>46228.930127314816</v>
      </c>
      <c r="E3451" s="1146">
        <v>0.5</v>
      </c>
      <c r="F3451" s="654">
        <v>4.4999999999999998E-2</v>
      </c>
      <c r="G3451" s="1147">
        <f t="shared" si="99"/>
        <v>0.52356020942408377</v>
      </c>
      <c r="H3451" s="1147" t="s">
        <v>1666</v>
      </c>
      <c r="I3451" s="1148" t="s">
        <v>2362</v>
      </c>
      <c r="J3451" s="1147">
        <v>1.05</v>
      </c>
      <c r="K3451" s="1147">
        <v>10</v>
      </c>
      <c r="L3451" s="1145">
        <f>INT(base[[#This Row],[Data de liquidação]])</f>
        <v>46228</v>
      </c>
      <c r="M3451" s="1147">
        <f>base[[#This Row],[L/P Bruto]]-base[[#This Row],[L/P Líquido]]</f>
        <v>2.3560209424083767E-2</v>
      </c>
      <c r="N3451" s="1147">
        <f>base[[#This Row],[L/P Líquido]]/base[[#This Row],[Stake/Responsabilidade]]</f>
        <v>0.05</v>
      </c>
      <c r="O3451" s="1149">
        <f>IF(base[[#This Row],[L/P Líquido]]&gt;0,1,0)</f>
        <v>1</v>
      </c>
      <c r="P3451" s="1149"/>
      <c r="Q3451" s="1149" t="str">
        <f>LEFT(base[[#This Row],[Evento / Mercado]],FIND("vs",base[[#This Row],[Evento / Mercado]])-2)</f>
        <v>CF Montreal</v>
      </c>
      <c r="R345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9" t="str">
        <f>LEFT(base[[#This Row],[Evento / Mercado]],FIND("/",base[[#This Row],[Evento / Mercado]])-2)</f>
        <v>CF Montreal vs Inter Miami CF</v>
      </c>
      <c r="T3451" s="1420">
        <f>base[[#This Row],[Data de liquidação]]</f>
        <v>46228.930127314816</v>
      </c>
    </row>
    <row r="3452" spans="2:20" ht="15" customHeight="1">
      <c r="B3452" s="1144" t="s">
        <v>4052</v>
      </c>
      <c r="C3452" s="935" t="s">
        <v>3556</v>
      </c>
      <c r="D3452" s="1403">
        <v>46228.938993055555</v>
      </c>
      <c r="E3452" s="1146">
        <v>3.28</v>
      </c>
      <c r="F3452" s="654">
        <v>4.4999999999999998E-2</v>
      </c>
      <c r="G3452" s="1147">
        <f t="shared" si="99"/>
        <v>3.4345549738219896</v>
      </c>
      <c r="H3452" s="1147" t="s">
        <v>1666</v>
      </c>
      <c r="I3452" s="1148" t="s">
        <v>1759</v>
      </c>
      <c r="J3452" s="1147">
        <v>36</v>
      </c>
      <c r="K3452" s="1147">
        <v>120.05</v>
      </c>
      <c r="L3452" s="1145">
        <f>INT(base[[#This Row],[Data de liquidação]])</f>
        <v>46228</v>
      </c>
      <c r="M3452" s="1147">
        <f>base[[#This Row],[L/P Bruto]]-base[[#This Row],[L/P Líquido]]</f>
        <v>0.15455497382198979</v>
      </c>
      <c r="N3452" s="1147">
        <f>base[[#This Row],[L/P Líquido]]/base[[#This Row],[Stake/Responsabilidade]]</f>
        <v>2.7321949187838399E-2</v>
      </c>
      <c r="O3452" s="1149">
        <f>IF(base[[#This Row],[L/P Líquido]]&gt;0,1,0)</f>
        <v>1</v>
      </c>
      <c r="P3452" s="1149"/>
      <c r="Q3452" s="1149" t="str">
        <f>LEFT(base[[#This Row],[Evento / Mercado]],FIND("vs",base[[#This Row],[Evento / Mercado]])-2)</f>
        <v>Philadelphia Union</v>
      </c>
      <c r="R345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9" t="str">
        <f>LEFT(base[[#This Row],[Evento / Mercado]],FIND("/",base[[#This Row],[Evento / Mercado]])-2)</f>
        <v>Philadelphia Union vs Seattle Sounders</v>
      </c>
      <c r="T3452" s="1420">
        <f>base[[#This Row],[Data de liquidação]]</f>
        <v>46228.938993055555</v>
      </c>
    </row>
    <row r="3453" spans="2:20" ht="15" customHeight="1">
      <c r="B3453" s="1144" t="s">
        <v>4051</v>
      </c>
      <c r="C3453" s="935" t="s">
        <v>3556</v>
      </c>
      <c r="D3453" s="1403">
        <v>46228.94158564815</v>
      </c>
      <c r="E3453" s="1146">
        <v>-42.86</v>
      </c>
      <c r="F3453" s="654">
        <v>4.4999999999999998E-2</v>
      </c>
      <c r="G3453" s="1147">
        <f t="shared" si="99"/>
        <v>-42.86</v>
      </c>
      <c r="H3453" s="1133" t="s">
        <v>3253</v>
      </c>
      <c r="I3453" s="1134" t="s">
        <v>3254</v>
      </c>
      <c r="J3453" s="1147">
        <v>8</v>
      </c>
      <c r="K3453" s="1147">
        <v>42.86</v>
      </c>
      <c r="L3453" s="1145">
        <f>INT(base[[#This Row],[Data de liquidação]])</f>
        <v>46228</v>
      </c>
      <c r="M3453" s="1147">
        <f>base[[#This Row],[L/P Bruto]]-base[[#This Row],[L/P Líquido]]</f>
        <v>0</v>
      </c>
      <c r="N3453" s="1147">
        <f>base[[#This Row],[L/P Líquido]]/base[[#This Row],[Stake/Responsabilidade]]</f>
        <v>-1</v>
      </c>
      <c r="O3453" s="1149">
        <f>IF(base[[#This Row],[L/P Líquido]]&gt;0,1,0)</f>
        <v>0</v>
      </c>
      <c r="P3453" s="1149"/>
      <c r="Q3453" s="1149" t="str">
        <f>LEFT(base[[#This Row],[Evento / Mercado]],FIND("vs",base[[#This Row],[Evento / Mercado]])-2)</f>
        <v>New England Revolution</v>
      </c>
      <c r="R345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9" t="str">
        <f>LEFT(base[[#This Row],[Evento / Mercado]],FIND("/",base[[#This Row],[Evento / Mercado]])-2)</f>
        <v>New England Revolution vs Atlanta United FC</v>
      </c>
      <c r="T3453" s="1420">
        <f>base[[#This Row],[Data de liquidação]]</f>
        <v>46228.94158564815</v>
      </c>
    </row>
    <row r="3454" spans="2:20" ht="15" customHeight="1">
      <c r="B3454" s="1144" t="s">
        <v>4050</v>
      </c>
      <c r="C3454" s="935" t="s">
        <v>3556</v>
      </c>
      <c r="D3454" s="1403">
        <v>46228.941759259258</v>
      </c>
      <c r="E3454" s="1146">
        <v>58.46</v>
      </c>
      <c r="F3454" s="654">
        <v>4.4999999999999998E-2</v>
      </c>
      <c r="G3454" s="1147">
        <f t="shared" si="99"/>
        <v>61.214659685863879</v>
      </c>
      <c r="H3454" s="938" t="s">
        <v>3253</v>
      </c>
      <c r="I3454" s="939" t="s">
        <v>1555</v>
      </c>
      <c r="J3454" s="1147">
        <v>3.85</v>
      </c>
      <c r="K3454" s="1147">
        <v>299.99</v>
      </c>
      <c r="L3454" s="1145">
        <f>INT(base[[#This Row],[Data de liquidação]])</f>
        <v>46228</v>
      </c>
      <c r="M3454" s="1147">
        <f>base[[#This Row],[L/P Bruto]]-base[[#This Row],[L/P Líquido]]</f>
        <v>2.7546596858638779</v>
      </c>
      <c r="N3454" s="1147">
        <f>base[[#This Row],[L/P Líquido]]/base[[#This Row],[Stake/Responsabilidade]]</f>
        <v>0.19487316243874794</v>
      </c>
      <c r="O3454" s="1149">
        <f>IF(base[[#This Row],[L/P Líquido]]&gt;0,1,0)</f>
        <v>1</v>
      </c>
      <c r="P3454" s="1149"/>
      <c r="Q3454" s="1149" t="str">
        <f>LEFT(base[[#This Row],[Evento / Mercado]],FIND("vs",base[[#This Row],[Evento / Mercado]])-2)</f>
        <v>New England Revolution</v>
      </c>
      <c r="R345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9" t="str">
        <f>LEFT(base[[#This Row],[Evento / Mercado]],FIND("/",base[[#This Row],[Evento / Mercado]])-2)</f>
        <v>New England Revolution vs Atlanta United FC</v>
      </c>
      <c r="T3454" s="1420">
        <f>base[[#This Row],[Data de liquidação]]</f>
        <v>46228.941759259258</v>
      </c>
    </row>
    <row r="3455" spans="2:20" ht="15" customHeight="1">
      <c r="B3455" s="1144" t="s">
        <v>4049</v>
      </c>
      <c r="C3455" s="935" t="s">
        <v>3556</v>
      </c>
      <c r="D3455" s="1403">
        <v>46228.945891203701</v>
      </c>
      <c r="E3455" s="1146">
        <v>9.17</v>
      </c>
      <c r="F3455" s="654">
        <v>4.4999999999999998E-2</v>
      </c>
      <c r="G3455" s="1147">
        <f t="shared" si="99"/>
        <v>9.6020942408376975</v>
      </c>
      <c r="H3455" s="1147" t="s">
        <v>1666</v>
      </c>
      <c r="I3455" s="1148" t="s">
        <v>1759</v>
      </c>
      <c r="J3455" s="1147">
        <v>13.29</v>
      </c>
      <c r="K3455" s="1147">
        <v>117.98</v>
      </c>
      <c r="L3455" s="1145">
        <f>INT(base[[#This Row],[Data de liquidação]])</f>
        <v>46228</v>
      </c>
      <c r="M3455" s="1147">
        <f>base[[#This Row],[L/P Bruto]]-base[[#This Row],[L/P Líquido]]</f>
        <v>0.43209424083769754</v>
      </c>
      <c r="N3455" s="1147">
        <f>base[[#This Row],[L/P Líquido]]/base[[#This Row],[Stake/Responsabilidade]]</f>
        <v>7.7725038142057973E-2</v>
      </c>
      <c r="O3455" s="1149">
        <f>IF(base[[#This Row],[L/P Líquido]]&gt;0,1,0)</f>
        <v>1</v>
      </c>
      <c r="P3455" s="1149"/>
      <c r="Q3455" s="1149" t="str">
        <f>LEFT(base[[#This Row],[Evento / Mercado]],FIND("vs",base[[#This Row],[Evento / Mercado]])-2)</f>
        <v>DC United</v>
      </c>
      <c r="R345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9" t="str">
        <f>LEFT(base[[#This Row],[Evento / Mercado]],FIND("/",base[[#This Row],[Evento / Mercado]])-2)</f>
        <v>DC United vs Toronto FC</v>
      </c>
      <c r="T3455" s="1420">
        <f>base[[#This Row],[Data de liquidação]]</f>
        <v>46228.945891203701</v>
      </c>
    </row>
    <row r="3456" spans="2:20" ht="15" customHeight="1">
      <c r="B3456" s="1144" t="s">
        <v>4048</v>
      </c>
      <c r="C3456" s="935" t="s">
        <v>3556</v>
      </c>
      <c r="D3456" s="1403">
        <v>46228.945983796293</v>
      </c>
      <c r="E3456" s="1146">
        <v>5.83</v>
      </c>
      <c r="F3456" s="654">
        <v>4.4999999999999998E-2</v>
      </c>
      <c r="G3456" s="1147">
        <f t="shared" si="99"/>
        <v>6.1047120418848166</v>
      </c>
      <c r="H3456" s="1147" t="s">
        <v>1666</v>
      </c>
      <c r="I3456" s="1148" t="s">
        <v>2950</v>
      </c>
      <c r="J3456" s="1147">
        <v>9.1999999999999993</v>
      </c>
      <c r="K3456" s="1147">
        <v>50.02</v>
      </c>
      <c r="L3456" s="1145">
        <f>INT(base[[#This Row],[Data de liquidação]])</f>
        <v>46228</v>
      </c>
      <c r="M3456" s="1147">
        <f>base[[#This Row],[L/P Bruto]]-base[[#This Row],[L/P Líquido]]</f>
        <v>0.27471204188481657</v>
      </c>
      <c r="N3456" s="1147">
        <f>base[[#This Row],[L/P Líquido]]/base[[#This Row],[Stake/Responsabilidade]]</f>
        <v>0.11655337864854058</v>
      </c>
      <c r="O3456" s="1149">
        <f>IF(base[[#This Row],[L/P Líquido]]&gt;0,1,0)</f>
        <v>1</v>
      </c>
      <c r="P3456" s="1149"/>
      <c r="Q3456" s="1149" t="str">
        <f>LEFT(base[[#This Row],[Evento / Mercado]],FIND("vs",base[[#This Row],[Evento / Mercado]])-2)</f>
        <v>CF Montreal</v>
      </c>
      <c r="R345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9" t="str">
        <f>LEFT(base[[#This Row],[Evento / Mercado]],FIND("/",base[[#This Row],[Evento / Mercado]])-2)</f>
        <v>CF Montreal vs Inter Miami CF</v>
      </c>
      <c r="T3456" s="1420">
        <f>base[[#This Row],[Data de liquidação]]</f>
        <v>46228.945983796293</v>
      </c>
    </row>
    <row r="3457" spans="2:22" ht="15" customHeight="1">
      <c r="B3457" s="1144" t="s">
        <v>4047</v>
      </c>
      <c r="C3457" s="935" t="s">
        <v>3556</v>
      </c>
      <c r="D3457" s="1403">
        <v>46228.960277777776</v>
      </c>
      <c r="E3457" s="1146">
        <v>-31.58</v>
      </c>
      <c r="F3457" s="654">
        <v>4.4999999999999998E-2</v>
      </c>
      <c r="G3457" s="1147">
        <f t="shared" si="99"/>
        <v>-31.58</v>
      </c>
      <c r="H3457" s="1133" t="s">
        <v>3253</v>
      </c>
      <c r="I3457" s="1134" t="s">
        <v>3254</v>
      </c>
      <c r="J3457" s="1147">
        <v>10.5</v>
      </c>
      <c r="K3457" s="1147">
        <v>31.58</v>
      </c>
      <c r="L3457" s="1145">
        <f>INT(base[[#This Row],[Data de liquidação]])</f>
        <v>46228</v>
      </c>
      <c r="M3457" s="1147">
        <f>base[[#This Row],[L/P Bruto]]-base[[#This Row],[L/P Líquido]]</f>
        <v>0</v>
      </c>
      <c r="N3457" s="1147">
        <f>base[[#This Row],[L/P Líquido]]/base[[#This Row],[Stake/Responsabilidade]]</f>
        <v>-1</v>
      </c>
      <c r="O3457" s="1149">
        <f>IF(base[[#This Row],[L/P Líquido]]&gt;0,1,0)</f>
        <v>0</v>
      </c>
      <c r="P3457" s="1149"/>
      <c r="Q3457" s="1149" t="str">
        <f>LEFT(base[[#This Row],[Evento / Mercado]],FIND("vs",base[[#This Row],[Evento / Mercado]])-2)</f>
        <v>Universidad Católica</v>
      </c>
      <c r="R345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9" t="str">
        <f>LEFT(base[[#This Row],[Evento / Mercado]],FIND("/",base[[#This Row],[Evento / Mercado]])-2)</f>
        <v>Universidad Católica vs La Serena</v>
      </c>
      <c r="T3457" s="1420">
        <f>base[[#This Row],[Data de liquidação]]</f>
        <v>46228.960277777776</v>
      </c>
    </row>
    <row r="3458" spans="2:22" ht="15" customHeight="1">
      <c r="B3458" s="1144" t="s">
        <v>4046</v>
      </c>
      <c r="C3458" s="935" t="s">
        <v>3556</v>
      </c>
      <c r="D3458" s="1403">
        <v>46228.960439814815</v>
      </c>
      <c r="E3458" s="1146">
        <v>40.22</v>
      </c>
      <c r="F3458" s="654">
        <v>4.4999999999999998E-2</v>
      </c>
      <c r="G3458" s="1147">
        <f t="shared" si="99"/>
        <v>42.1151832460733</v>
      </c>
      <c r="H3458" s="938" t="s">
        <v>3253</v>
      </c>
      <c r="I3458" s="939" t="s">
        <v>1555</v>
      </c>
      <c r="J3458" s="1147">
        <v>5.2</v>
      </c>
      <c r="K3458" s="1147">
        <v>300.01</v>
      </c>
      <c r="L3458" s="1145">
        <f>INT(base[[#This Row],[Data de liquidação]])</f>
        <v>46228</v>
      </c>
      <c r="M3458" s="1147">
        <f>base[[#This Row],[L/P Bruto]]-base[[#This Row],[L/P Líquido]]</f>
        <v>1.8951832460733016</v>
      </c>
      <c r="N3458" s="1147">
        <f>base[[#This Row],[L/P Líquido]]/base[[#This Row],[Stake/Responsabilidade]]</f>
        <v>0.13406219792673577</v>
      </c>
      <c r="O3458" s="1149">
        <f>IF(base[[#This Row],[L/P Líquido]]&gt;0,1,0)</f>
        <v>1</v>
      </c>
      <c r="P3458" s="1149"/>
      <c r="Q3458" s="1149" t="str">
        <f>LEFT(base[[#This Row],[Evento / Mercado]],FIND("vs",base[[#This Row],[Evento / Mercado]])-2)</f>
        <v>Universidad Católica</v>
      </c>
      <c r="R345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9" t="str">
        <f>LEFT(base[[#This Row],[Evento / Mercado]],FIND("/",base[[#This Row],[Evento / Mercado]])-2)</f>
        <v>Universidad Católica vs La Serena</v>
      </c>
      <c r="T3458" s="1420">
        <f>base[[#This Row],[Data de liquidação]]</f>
        <v>46228.960439814815</v>
      </c>
    </row>
    <row r="3459" spans="2:22" ht="15" customHeight="1">
      <c r="B3459" s="1144" t="s">
        <v>4046</v>
      </c>
      <c r="C3459" s="1109" t="s">
        <v>3555</v>
      </c>
      <c r="D3459" s="1403">
        <v>46228.960439814815</v>
      </c>
      <c r="E3459" s="1146">
        <v>8.3800000000000008</v>
      </c>
      <c r="F3459" s="654">
        <v>4.4999999999999998E-2</v>
      </c>
      <c r="G3459" s="1147">
        <f t="shared" si="99"/>
        <v>8.7748691099476446</v>
      </c>
      <c r="H3459" s="1147" t="s">
        <v>3330</v>
      </c>
      <c r="I3459" s="1148" t="s">
        <v>3566</v>
      </c>
      <c r="J3459" s="1147">
        <v>8.1999999999999993</v>
      </c>
      <c r="K3459" s="1147">
        <v>100.01</v>
      </c>
      <c r="L3459" s="1145">
        <f>INT(base[[#This Row],[Data de liquidação]])</f>
        <v>46228</v>
      </c>
      <c r="M3459" s="1147">
        <f>base[[#This Row],[L/P Bruto]]-base[[#This Row],[L/P Líquido]]</f>
        <v>0.39486910994764379</v>
      </c>
      <c r="N3459" s="1147">
        <f>base[[#This Row],[L/P Líquido]]/base[[#This Row],[Stake/Responsabilidade]]</f>
        <v>8.3791620837916206E-2</v>
      </c>
      <c r="O3459" s="1149">
        <f>IF(base[[#This Row],[L/P Líquido]]&gt;0,1,0)</f>
        <v>1</v>
      </c>
      <c r="P3459" s="1149"/>
      <c r="Q3459" s="1149" t="str">
        <f>LEFT(base[[#This Row],[Evento / Mercado]],FIND("vs",base[[#This Row],[Evento / Mercado]])-2)</f>
        <v>Universidad Católica</v>
      </c>
      <c r="R345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9" t="str">
        <f>LEFT(base[[#This Row],[Evento / Mercado]],FIND("/",base[[#This Row],[Evento / Mercado]])-2)</f>
        <v>Universidad Católica vs La Serena</v>
      </c>
      <c r="T3459" s="1420">
        <f>base[[#This Row],[Data de liquidação]]</f>
        <v>46228.960439814815</v>
      </c>
    </row>
    <row r="3460" spans="2:22" ht="15" customHeight="1">
      <c r="B3460" s="1144" t="s">
        <v>4045</v>
      </c>
      <c r="C3460" s="935" t="s">
        <v>3556</v>
      </c>
      <c r="D3460" s="1403">
        <v>46228.98265046296</v>
      </c>
      <c r="E3460" s="1146">
        <v>5.97</v>
      </c>
      <c r="F3460" s="654">
        <v>4.4999999999999998E-2</v>
      </c>
      <c r="G3460" s="1147">
        <f t="shared" si="99"/>
        <v>6.2513089005235605</v>
      </c>
      <c r="H3460" s="1147" t="s">
        <v>1666</v>
      </c>
      <c r="I3460" s="1148" t="s">
        <v>2950</v>
      </c>
      <c r="J3460" s="1147">
        <v>8.6</v>
      </c>
      <c r="K3460" s="1147">
        <v>47.5</v>
      </c>
      <c r="L3460" s="1145">
        <f>INT(base[[#This Row],[Data de liquidação]])</f>
        <v>46228</v>
      </c>
      <c r="M3460" s="1147">
        <f>base[[#This Row],[L/P Bruto]]-base[[#This Row],[L/P Líquido]]</f>
        <v>0.28130890052356072</v>
      </c>
      <c r="N3460" s="1147">
        <f>base[[#This Row],[L/P Líquido]]/base[[#This Row],[Stake/Responsabilidade]]</f>
        <v>0.12568421052631579</v>
      </c>
      <c r="O3460" s="1149">
        <f>IF(base[[#This Row],[L/P Líquido]]&gt;0,1,0)</f>
        <v>1</v>
      </c>
      <c r="P3460" s="1149"/>
      <c r="Q3460" s="1149" t="str">
        <f>LEFT(base[[#This Row],[Evento / Mercado]],FIND("vs",base[[#This Row],[Evento / Mercado]])-2)</f>
        <v>Minnesota United</v>
      </c>
      <c r="R346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9" t="str">
        <f>LEFT(base[[#This Row],[Evento / Mercado]],FIND("/",base[[#This Row],[Evento / Mercado]])-2)</f>
        <v>Minnesota United vs Vancouver Whitecaps</v>
      </c>
      <c r="T3460" s="1420">
        <f>base[[#This Row],[Data de liquidação]]</f>
        <v>46228.98265046296</v>
      </c>
    </row>
    <row r="3461" spans="2:22" ht="15" customHeight="1">
      <c r="B3461" s="1144" t="s">
        <v>4044</v>
      </c>
      <c r="C3461" s="935" t="s">
        <v>3556</v>
      </c>
      <c r="D3461" s="1403">
        <v>46228.983842592592</v>
      </c>
      <c r="E3461" s="1146">
        <v>26.82</v>
      </c>
      <c r="F3461" s="654">
        <v>4.4999999999999998E-2</v>
      </c>
      <c r="G3461" s="1147">
        <f t="shared" si="99"/>
        <v>28.083769633507856</v>
      </c>
      <c r="H3461" s="1053" t="s">
        <v>3817</v>
      </c>
      <c r="I3461" s="1148"/>
      <c r="J3461" s="1147">
        <v>16</v>
      </c>
      <c r="K3461" s="1147">
        <v>499.95</v>
      </c>
      <c r="L3461" s="1145">
        <f>INT(base[[#This Row],[Data de liquidação]])</f>
        <v>46228</v>
      </c>
      <c r="M3461" s="1147">
        <f>base[[#This Row],[L/P Bruto]]-base[[#This Row],[L/P Líquido]]</f>
        <v>1.2637696335078559</v>
      </c>
      <c r="N3461" s="1147">
        <f>base[[#This Row],[L/P Líquido]]/base[[#This Row],[Stake/Responsabilidade]]</f>
        <v>5.3645364536453646E-2</v>
      </c>
      <c r="O3461" s="1149">
        <f>IF(base[[#This Row],[L/P Líquido]]&gt;0,1,0)</f>
        <v>1</v>
      </c>
      <c r="P3461" s="1149"/>
      <c r="Q3461" s="1149" t="str">
        <f>LEFT(base[[#This Row],[Evento / Mercado]],FIND("vs",base[[#This Row],[Evento / Mercado]])-2)</f>
        <v>Saint Louis City SC</v>
      </c>
      <c r="R346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9" t="str">
        <f>LEFT(base[[#This Row],[Evento / Mercado]],FIND("/",base[[#This Row],[Evento / Mercado]])-2)</f>
        <v>Saint Louis City SC vs Colorado Rapids</v>
      </c>
      <c r="T3461" s="1420">
        <f>base[[#This Row],[Data de liquidação]]</f>
        <v>46228.983842592592</v>
      </c>
    </row>
    <row r="3462" spans="2:22" ht="15" customHeight="1">
      <c r="B3462" s="1144" t="s">
        <v>4044</v>
      </c>
      <c r="C3462" s="1109" t="s">
        <v>3555</v>
      </c>
      <c r="D3462" s="1403">
        <v>46228.983842592592</v>
      </c>
      <c r="E3462" s="1146">
        <v>17.670000000000002</v>
      </c>
      <c r="F3462" s="654">
        <v>4.4999999999999998E-2</v>
      </c>
      <c r="G3462" s="1147">
        <f t="shared" si="99"/>
        <v>18.502617801047123</v>
      </c>
      <c r="H3462" s="1147" t="s">
        <v>3334</v>
      </c>
      <c r="I3462" s="1148" t="s">
        <v>627</v>
      </c>
      <c r="J3462" s="1147">
        <v>17.5</v>
      </c>
      <c r="K3462" s="1147">
        <v>299.87</v>
      </c>
      <c r="L3462" s="1145">
        <f>INT(base[[#This Row],[Data de liquidação]])</f>
        <v>46228</v>
      </c>
      <c r="M3462" s="1147">
        <f>base[[#This Row],[L/P Bruto]]-base[[#This Row],[L/P Líquido]]</f>
        <v>0.83261780104712102</v>
      </c>
      <c r="N3462" s="1147">
        <f>base[[#This Row],[L/P Líquido]]/base[[#This Row],[Stake/Responsabilidade]]</f>
        <v>5.8925534398239242E-2</v>
      </c>
      <c r="O3462" s="1149">
        <f>IF(base[[#This Row],[L/P Líquido]]&gt;0,1,0)</f>
        <v>1</v>
      </c>
      <c r="P3462" s="1149"/>
      <c r="Q3462" s="1149" t="str">
        <f>LEFT(base[[#This Row],[Evento / Mercado]],FIND("vs",base[[#This Row],[Evento / Mercado]])-2)</f>
        <v>Saint Louis City SC</v>
      </c>
      <c r="R346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9" t="str">
        <f>LEFT(base[[#This Row],[Evento / Mercado]],FIND("/",base[[#This Row],[Evento / Mercado]])-2)</f>
        <v>Saint Louis City SC vs Colorado Rapids</v>
      </c>
      <c r="T3462" s="1420">
        <f>base[[#This Row],[Data de liquidação]]</f>
        <v>46228.983842592592</v>
      </c>
    </row>
    <row r="3463" spans="2:22" ht="15" customHeight="1">
      <c r="B3463" s="1154" t="s">
        <v>4125</v>
      </c>
      <c r="C3463" s="935" t="s">
        <v>3556</v>
      </c>
      <c r="D3463" s="1404">
        <v>46229.025393518517</v>
      </c>
      <c r="E3463" s="1155">
        <v>2.7504</v>
      </c>
      <c r="F3463" s="654">
        <v>4.4999999999999998E-2</v>
      </c>
      <c r="G3463" s="1150">
        <f t="shared" ref="G3463:G3495" si="100">IF(E3463&gt;0,E3463/(1-F3463),E3463)</f>
        <v>2.88</v>
      </c>
      <c r="H3463" s="1150" t="s">
        <v>1666</v>
      </c>
      <c r="I3463" s="1151" t="s">
        <v>1718</v>
      </c>
      <c r="J3463" s="1150">
        <v>3.85</v>
      </c>
      <c r="K3463" s="1150">
        <v>30.01</v>
      </c>
      <c r="L3463" s="1152">
        <f>INT(base[[#This Row],[Data de liquidação]])</f>
        <v>46229</v>
      </c>
      <c r="M3463" s="1150">
        <f>base[[#This Row],[L/P Bruto]]-base[[#This Row],[L/P Líquido]]</f>
        <v>0.12959999999999994</v>
      </c>
      <c r="N3463" s="1150">
        <f>base[[#This Row],[L/P Líquido]]/base[[#This Row],[Stake/Responsabilidade]]</f>
        <v>9.1649450183272238E-2</v>
      </c>
      <c r="O3463" s="1153">
        <f>IF(base[[#This Row],[L/P Líquido]]&gt;0,1,0)</f>
        <v>1</v>
      </c>
      <c r="P3463" s="1153"/>
      <c r="Q3463" s="1153" t="str">
        <f>LEFT(base[[#This Row],[Evento / Mercado]],FIND("vs",base[[#This Row],[Evento / Mercado]])-2)</f>
        <v>San Diego FC</v>
      </c>
      <c r="R346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3" t="str">
        <f>LEFT(base[[#This Row],[Evento / Mercado]],FIND("/",base[[#This Row],[Evento / Mercado]])-2)</f>
        <v>San Diego FC vs FC Dallas</v>
      </c>
      <c r="T3463" s="142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154" t="s">
        <v>4125</v>
      </c>
      <c r="C3464" s="935" t="s">
        <v>3556</v>
      </c>
      <c r="D3464" s="1404">
        <v>46229.025393518517</v>
      </c>
      <c r="E3464" s="1155">
        <v>4.5839999999999996</v>
      </c>
      <c r="F3464" s="654">
        <v>4.4999999999999998E-2</v>
      </c>
      <c r="G3464" s="1150">
        <f t="shared" ref="G3464" si="102">IF(E3464&gt;0,E3464/(1-F3464),E3464)</f>
        <v>4.8</v>
      </c>
      <c r="H3464" s="1150" t="s">
        <v>1666</v>
      </c>
      <c r="I3464" s="1151" t="s">
        <v>1759</v>
      </c>
      <c r="J3464" s="1150">
        <v>28</v>
      </c>
      <c r="K3464" s="1150">
        <v>129.6</v>
      </c>
      <c r="L3464" s="1152">
        <f>INT(base[[#This Row],[Data de liquidação]])</f>
        <v>46229</v>
      </c>
      <c r="M3464" s="1150">
        <f>base[[#This Row],[L/P Bruto]]-base[[#This Row],[L/P Líquido]]</f>
        <v>0.21600000000000019</v>
      </c>
      <c r="N3464" s="1150">
        <f>base[[#This Row],[L/P Líquido]]/base[[#This Row],[Stake/Responsabilidade]]</f>
        <v>3.5370370370370371E-2</v>
      </c>
      <c r="O3464" s="1153">
        <f>IF(base[[#This Row],[L/P Líquido]]&gt;0,1,0)</f>
        <v>1</v>
      </c>
      <c r="P3464" s="1153"/>
      <c r="Q3464" s="1153" t="str">
        <f>LEFT(base[[#This Row],[Evento / Mercado]],FIND("vs",base[[#This Row],[Evento / Mercado]])-2)</f>
        <v>San Diego FC</v>
      </c>
      <c r="R346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3" t="str">
        <f>LEFT(base[[#This Row],[Evento / Mercado]],FIND("/",base[[#This Row],[Evento / Mercado]])-2)</f>
        <v>San Diego FC vs FC Dallas</v>
      </c>
      <c r="T3464" s="142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154" t="s">
        <v>4124</v>
      </c>
      <c r="C3465" s="935" t="s">
        <v>3556</v>
      </c>
      <c r="D3465" s="1404">
        <v>46229.067256944443</v>
      </c>
      <c r="E3465" s="1155">
        <v>28.65</v>
      </c>
      <c r="F3465" s="654">
        <v>4.4999999999999998E-2</v>
      </c>
      <c r="G3465" s="1150">
        <f t="shared" si="100"/>
        <v>30</v>
      </c>
      <c r="H3465" s="1150" t="s">
        <v>179</v>
      </c>
      <c r="I3465" s="1151" t="s">
        <v>392</v>
      </c>
      <c r="J3465" s="1150">
        <v>11</v>
      </c>
      <c r="K3465" s="1150">
        <v>300</v>
      </c>
      <c r="L3465" s="1152">
        <f>INT(base[[#This Row],[Data de liquidação]])</f>
        <v>46229</v>
      </c>
      <c r="M3465" s="1150">
        <f>base[[#This Row],[L/P Bruto]]-base[[#This Row],[L/P Líquido]]</f>
        <v>1.3500000000000014</v>
      </c>
      <c r="N3465" s="1150">
        <f>base[[#This Row],[L/P Líquido]]/base[[#This Row],[Stake/Responsabilidade]]</f>
        <v>9.5500000000000002E-2</v>
      </c>
      <c r="O3465" s="1153">
        <f>IF(base[[#This Row],[L/P Líquido]]&gt;0,1,0)</f>
        <v>1</v>
      </c>
      <c r="P3465" s="1153"/>
      <c r="Q3465" s="1153" t="str">
        <f>LEFT(base[[#This Row],[Evento / Mercado]],FIND("vs",base[[#This Row],[Evento / Mercado]])-2)</f>
        <v>Los Angeles FC</v>
      </c>
      <c r="R346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3" t="str">
        <f>LEFT(base[[#This Row],[Evento / Mercado]],FIND("/",base[[#This Row],[Evento / Mercado]])-2)</f>
        <v>Los Angeles FC vs Sporting Kansas City</v>
      </c>
      <c r="T3465" s="1420">
        <f>base[[#This Row],[Data de liquidação]]</f>
        <v>46229.067256944443</v>
      </c>
      <c r="V3465" s="11"/>
    </row>
    <row r="3466" spans="2:22" ht="15" customHeight="1">
      <c r="B3466" s="1154" t="s">
        <v>4123</v>
      </c>
      <c r="C3466" s="935" t="s">
        <v>3556</v>
      </c>
      <c r="D3466" s="1404">
        <v>46229.068148148152</v>
      </c>
      <c r="E3466" s="1155">
        <v>14.46</v>
      </c>
      <c r="F3466" s="654">
        <v>4.4999999999999998E-2</v>
      </c>
      <c r="G3466" s="1150">
        <f t="shared" si="100"/>
        <v>15.141361256544505</v>
      </c>
      <c r="H3466" s="1150" t="s">
        <v>3334</v>
      </c>
      <c r="I3466" s="1151" t="s">
        <v>627</v>
      </c>
      <c r="J3466" s="1150">
        <v>22</v>
      </c>
      <c r="K3466" s="1150">
        <v>317.94</v>
      </c>
      <c r="L3466" s="1152">
        <f>INT(base[[#This Row],[Data de liquidação]])</f>
        <v>46229</v>
      </c>
      <c r="M3466" s="1150">
        <f>base[[#This Row],[L/P Bruto]]-base[[#This Row],[L/P Líquido]]</f>
        <v>0.68136125654450375</v>
      </c>
      <c r="N3466" s="1150">
        <f>base[[#This Row],[L/P Líquido]]/base[[#This Row],[Stake/Responsabilidade]]</f>
        <v>4.5480279297980757E-2</v>
      </c>
      <c r="O3466" s="1153">
        <f>IF(base[[#This Row],[L/P Líquido]]&gt;0,1,0)</f>
        <v>1</v>
      </c>
      <c r="P3466" s="1153"/>
      <c r="Q3466" s="1153" t="str">
        <f>LEFT(base[[#This Row],[Evento / Mercado]],FIND("vs",base[[#This Row],[Evento / Mercado]])-2)</f>
        <v>San Jose Earthquakes</v>
      </c>
      <c r="R346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3" t="str">
        <f>LEFT(base[[#This Row],[Evento / Mercado]],FIND("/",base[[#This Row],[Evento / Mercado]])-2)</f>
        <v>San Jose Earthquakes vs Los Angeles Galaxy</v>
      </c>
      <c r="T3466" s="1420">
        <f>base[[#This Row],[Data de liquidação]]</f>
        <v>46229.068148148152</v>
      </c>
    </row>
    <row r="3467" spans="2:22" ht="15" customHeight="1">
      <c r="B3467" s="1154" t="s">
        <v>4123</v>
      </c>
      <c r="C3467" s="1109" t="s">
        <v>3555</v>
      </c>
      <c r="D3467" s="1404">
        <v>46229.068148148152</v>
      </c>
      <c r="E3467" s="1155">
        <v>-53.16</v>
      </c>
      <c r="F3467" s="654">
        <v>4.4999999999999998E-2</v>
      </c>
      <c r="G3467" s="1150">
        <f t="shared" si="100"/>
        <v>-53.16</v>
      </c>
      <c r="H3467" s="1150" t="s">
        <v>3868</v>
      </c>
      <c r="I3467" s="1151" t="s">
        <v>627</v>
      </c>
      <c r="J3467" s="1150">
        <v>22</v>
      </c>
      <c r="K3467" s="1150">
        <v>500.01</v>
      </c>
      <c r="L3467" s="1152">
        <f>INT(base[[#This Row],[Data de liquidação]])</f>
        <v>46229</v>
      </c>
      <c r="M3467" s="1150">
        <f>base[[#This Row],[L/P Bruto]]-base[[#This Row],[L/P Líquido]]</f>
        <v>0</v>
      </c>
      <c r="N3467" s="1150">
        <f>base[[#This Row],[L/P Líquido]]/base[[#This Row],[Stake/Responsabilidade]]</f>
        <v>-0.10631787364252715</v>
      </c>
      <c r="O3467" s="1153">
        <f>IF(base[[#This Row],[L/P Líquido]]&gt;0,1,0)</f>
        <v>0</v>
      </c>
      <c r="P3467" s="1153"/>
      <c r="Q3467" s="1153" t="str">
        <f>LEFT(base[[#This Row],[Evento / Mercado]],FIND("vs",base[[#This Row],[Evento / Mercado]])-2)</f>
        <v>San Jose Earthquakes</v>
      </c>
      <c r="R346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3" t="str">
        <f>LEFT(base[[#This Row],[Evento / Mercado]],FIND("/",base[[#This Row],[Evento / Mercado]])-2)</f>
        <v>San Jose Earthquakes vs Los Angeles Galaxy</v>
      </c>
      <c r="T3467" s="1420">
        <f>base[[#This Row],[Data de liquidação]]</f>
        <v>46229.068148148152</v>
      </c>
    </row>
    <row r="3468" spans="2:22" ht="15" customHeight="1">
      <c r="B3468" s="1154" t="s">
        <v>4122</v>
      </c>
      <c r="C3468" s="935" t="s">
        <v>3556</v>
      </c>
      <c r="D3468" s="1404">
        <v>46229.356828703705</v>
      </c>
      <c r="E3468" s="1155">
        <v>3.36</v>
      </c>
      <c r="F3468" s="654">
        <v>4.4999999999999998E-2</v>
      </c>
      <c r="G3468" s="1150">
        <f t="shared" si="100"/>
        <v>3.5183246073298431</v>
      </c>
      <c r="H3468" s="1150" t="s">
        <v>1666</v>
      </c>
      <c r="I3468" s="1151" t="s">
        <v>2883</v>
      </c>
      <c r="J3468" s="1150">
        <v>1.7</v>
      </c>
      <c r="K3468" s="1150">
        <v>5</v>
      </c>
      <c r="L3468" s="1152">
        <f>INT(base[[#This Row],[Data de liquidação]])</f>
        <v>46229</v>
      </c>
      <c r="M3468" s="1150">
        <f>base[[#This Row],[L/P Bruto]]-base[[#This Row],[L/P Líquido]]</f>
        <v>0.15832460732984321</v>
      </c>
      <c r="N3468" s="1150">
        <f>base[[#This Row],[L/P Líquido]]/base[[#This Row],[Stake/Responsabilidade]]</f>
        <v>0.67199999999999993</v>
      </c>
      <c r="O3468" s="1153">
        <f>IF(base[[#This Row],[L/P Líquido]]&gt;0,1,0)</f>
        <v>1</v>
      </c>
      <c r="P3468" s="1153"/>
      <c r="Q3468" s="1153" t="str">
        <f>LEFT(base[[#This Row],[Evento / Mercado]],FIND("vs",base[[#This Row],[Evento / Mercado]])-2)</f>
        <v>GIF Sundsvall</v>
      </c>
      <c r="R346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3" t="str">
        <f>LEFT(base[[#This Row],[Evento / Mercado]],FIND("/",base[[#This Row],[Evento / Mercado]])-2)</f>
        <v>GIF Sundsvall vs Falkenbergs FF</v>
      </c>
      <c r="T3468" s="1420">
        <f>base[[#This Row],[Data de liquidação]]</f>
        <v>46229.356828703705</v>
      </c>
    </row>
    <row r="3469" spans="2:22" ht="15" customHeight="1">
      <c r="B3469" s="1154" t="s">
        <v>4121</v>
      </c>
      <c r="C3469" s="935" t="s">
        <v>3556</v>
      </c>
      <c r="D3469" s="1404">
        <v>46229.409594907411</v>
      </c>
      <c r="E3469" s="1155">
        <v>0.75</v>
      </c>
      <c r="F3469" s="654">
        <v>4.4999999999999998E-2</v>
      </c>
      <c r="G3469" s="1150">
        <f t="shared" si="100"/>
        <v>0.78534031413612571</v>
      </c>
      <c r="H3469" s="1150" t="s">
        <v>1666</v>
      </c>
      <c r="I3469" s="1151" t="s">
        <v>3333</v>
      </c>
      <c r="J3469" s="1150">
        <v>1.39</v>
      </c>
      <c r="K3469" s="1150">
        <v>2</v>
      </c>
      <c r="L3469" s="1152">
        <f>INT(base[[#This Row],[Data de liquidação]])</f>
        <v>46229</v>
      </c>
      <c r="M3469" s="1150">
        <f>base[[#This Row],[L/P Bruto]]-base[[#This Row],[L/P Líquido]]</f>
        <v>3.5340314136125706E-2</v>
      </c>
      <c r="N3469" s="1150">
        <f>base[[#This Row],[L/P Líquido]]/base[[#This Row],[Stake/Responsabilidade]]</f>
        <v>0.375</v>
      </c>
      <c r="O3469" s="1153">
        <f>IF(base[[#This Row],[L/P Líquido]]&gt;0,1,0)</f>
        <v>1</v>
      </c>
      <c r="P3469" s="1153"/>
      <c r="Q3469" s="1153" t="str">
        <f>LEFT(base[[#This Row],[Evento / Mercado]],FIND("vs",base[[#This Row],[Evento / Mercado]])-2)</f>
        <v>Shandong Taishan</v>
      </c>
      <c r="R346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3" t="str">
        <f>LEFT(base[[#This Row],[Evento / Mercado]],FIND("/",base[[#This Row],[Evento / Mercado]])-2)</f>
        <v>Shandong Taishan vs Henan Songshan Longmen</v>
      </c>
      <c r="T3469" s="1420">
        <f>base[[#This Row],[Data de liquidação]]</f>
        <v>46229.409594907411</v>
      </c>
    </row>
    <row r="3470" spans="2:22" ht="15" customHeight="1">
      <c r="B3470" s="1154" t="s">
        <v>4118</v>
      </c>
      <c r="C3470" s="1154" t="s">
        <v>3554</v>
      </c>
      <c r="D3470" s="1404">
        <v>46229.450694444444</v>
      </c>
      <c r="E3470" s="1155">
        <v>10.61</v>
      </c>
      <c r="F3470" s="654">
        <v>4.4999999999999998E-2</v>
      </c>
      <c r="G3470" s="1150">
        <f t="shared" si="100"/>
        <v>11.109947643979057</v>
      </c>
      <c r="H3470" s="1147" t="s">
        <v>3330</v>
      </c>
      <c r="I3470" s="1148" t="s">
        <v>3566</v>
      </c>
      <c r="J3470" s="1150">
        <v>6.4</v>
      </c>
      <c r="K3470" s="1150">
        <v>100.01</v>
      </c>
      <c r="L3470" s="1152">
        <f>INT(base[[#This Row],[Data de liquidação]])</f>
        <v>46229</v>
      </c>
      <c r="M3470" s="1150">
        <f>base[[#This Row],[L/P Bruto]]-base[[#This Row],[L/P Líquido]]</f>
        <v>0.49994764397905733</v>
      </c>
      <c r="N3470" s="1150">
        <f>base[[#This Row],[L/P Líquido]]/base[[#This Row],[Stake/Responsabilidade]]</f>
        <v>0.10608939106089391</v>
      </c>
      <c r="O3470" s="1153">
        <f>IF(base[[#This Row],[L/P Líquido]]&gt;0,1,0)</f>
        <v>1</v>
      </c>
      <c r="P3470" s="1153"/>
      <c r="Q3470" s="1153" t="str">
        <f>LEFT(base[[#This Row],[Evento / Mercado]],FIND("vs",base[[#This Row],[Evento / Mercado]])-2)</f>
        <v>IK Sirius</v>
      </c>
      <c r="R347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3" t="str">
        <f>LEFT(base[[#This Row],[Evento / Mercado]],FIND("/",base[[#This Row],[Evento / Mercado]])-2)</f>
        <v>IK Sirius vs IFK Göteborg</v>
      </c>
      <c r="T3470" s="1420">
        <f>base[[#This Row],[Data de liquidação]]</f>
        <v>46229.450694444444</v>
      </c>
    </row>
    <row r="3471" spans="2:22" ht="15" customHeight="1">
      <c r="B3471" s="1154" t="s">
        <v>4119</v>
      </c>
      <c r="C3471" s="935" t="s">
        <v>3556</v>
      </c>
      <c r="D3471" s="1404">
        <v>46229.451238425929</v>
      </c>
      <c r="E3471" s="1155">
        <v>23.88</v>
      </c>
      <c r="F3471" s="654">
        <v>4.4999999999999998E-2</v>
      </c>
      <c r="G3471" s="1150">
        <f t="shared" si="100"/>
        <v>25.005235602094242</v>
      </c>
      <c r="H3471" s="1150" t="s">
        <v>3271</v>
      </c>
      <c r="I3471" s="1151" t="s">
        <v>694</v>
      </c>
      <c r="J3471" s="1150">
        <v>17</v>
      </c>
      <c r="K3471" s="1150">
        <v>400</v>
      </c>
      <c r="L3471" s="1152">
        <f>INT(base[[#This Row],[Data de liquidação]])</f>
        <v>46229</v>
      </c>
      <c r="M3471" s="1150">
        <f>base[[#This Row],[L/P Bruto]]-base[[#This Row],[L/P Líquido]]</f>
        <v>1.1252356020942429</v>
      </c>
      <c r="N3471" s="1150">
        <f>base[[#This Row],[L/P Líquido]]/base[[#This Row],[Stake/Responsabilidade]]</f>
        <v>5.9699999999999996E-2</v>
      </c>
      <c r="O3471" s="1153">
        <f>IF(base[[#This Row],[L/P Líquido]]&gt;0,1,0)</f>
        <v>1</v>
      </c>
      <c r="P3471" s="1153"/>
      <c r="Q3471" s="1153" t="str">
        <f>LEFT(base[[#This Row],[Evento / Mercado]],FIND("vs",base[[#This Row],[Evento / Mercado]])-2)</f>
        <v>IF Brommapojkarna</v>
      </c>
      <c r="R347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3" t="str">
        <f>LEFT(base[[#This Row],[Evento / Mercado]],FIND("/",base[[#This Row],[Evento / Mercado]])-2)</f>
        <v>IF Brommapojkarna vs Hammarby IF</v>
      </c>
      <c r="T3471" s="1420">
        <f>base[[#This Row],[Data de liquidação]]</f>
        <v>46229.451238425929</v>
      </c>
    </row>
    <row r="3472" spans="2:22" ht="15" customHeight="1">
      <c r="B3472" s="1154" t="s">
        <v>4120</v>
      </c>
      <c r="C3472" s="935" t="s">
        <v>3556</v>
      </c>
      <c r="D3472" s="1404">
        <v>46229.451238425929</v>
      </c>
      <c r="E3472" s="1155">
        <v>8.17</v>
      </c>
      <c r="F3472" s="654">
        <v>4.4999999999999998E-2</v>
      </c>
      <c r="G3472" s="1150">
        <f t="shared" si="100"/>
        <v>8.5549738219895293</v>
      </c>
      <c r="H3472" s="1150" t="s">
        <v>3334</v>
      </c>
      <c r="I3472" s="1151" t="s">
        <v>627</v>
      </c>
      <c r="J3472" s="1150">
        <v>40</v>
      </c>
      <c r="K3472" s="1150">
        <v>333.45</v>
      </c>
      <c r="L3472" s="1152">
        <f>INT(base[[#This Row],[Data de liquidação]])</f>
        <v>46229</v>
      </c>
      <c r="M3472" s="1150">
        <f>base[[#This Row],[L/P Bruto]]-base[[#This Row],[L/P Líquido]]</f>
        <v>0.38497382198952934</v>
      </c>
      <c r="N3472" s="1150">
        <f>base[[#This Row],[L/P Líquido]]/base[[#This Row],[Stake/Responsabilidade]]</f>
        <v>2.4501424501424503E-2</v>
      </c>
      <c r="O3472" s="1153">
        <f>IF(base[[#This Row],[L/P Líquido]]&gt;0,1,0)</f>
        <v>1</v>
      </c>
      <c r="P3472" s="1153"/>
      <c r="Q3472" s="1153" t="str">
        <f>LEFT(base[[#This Row],[Evento / Mercado]],FIND("vs",base[[#This Row],[Evento / Mercado]])-2)</f>
        <v>IK Sirius</v>
      </c>
      <c r="R347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3" t="str">
        <f>LEFT(base[[#This Row],[Evento / Mercado]],FIND("/",base[[#This Row],[Evento / Mercado]])-2)</f>
        <v>IK Sirius vs IFK Göteborg</v>
      </c>
      <c r="T3472" s="1420">
        <f>base[[#This Row],[Data de liquidação]]</f>
        <v>46229.451238425929</v>
      </c>
    </row>
    <row r="3473" spans="2:20" ht="15" customHeight="1">
      <c r="B3473" s="1154" t="s">
        <v>4120</v>
      </c>
      <c r="C3473" s="1109" t="s">
        <v>3555</v>
      </c>
      <c r="D3473" s="1404">
        <v>46229.451238425929</v>
      </c>
      <c r="E3473" s="1155">
        <v>-27.27</v>
      </c>
      <c r="F3473" s="654">
        <v>4.4999999999999998E-2</v>
      </c>
      <c r="G3473" s="1150">
        <f t="shared" si="100"/>
        <v>-27.27</v>
      </c>
      <c r="H3473" s="1133" t="s">
        <v>3253</v>
      </c>
      <c r="I3473" s="1134" t="s">
        <v>3254</v>
      </c>
      <c r="J3473" s="1150">
        <v>12</v>
      </c>
      <c r="K3473" s="1150">
        <v>27.27</v>
      </c>
      <c r="L3473" s="1152">
        <f>INT(base[[#This Row],[Data de liquidação]])</f>
        <v>46229</v>
      </c>
      <c r="M3473" s="1150">
        <f>base[[#This Row],[L/P Bruto]]-base[[#This Row],[L/P Líquido]]</f>
        <v>0</v>
      </c>
      <c r="N3473" s="1150">
        <f>base[[#This Row],[L/P Líquido]]/base[[#This Row],[Stake/Responsabilidade]]</f>
        <v>-1</v>
      </c>
      <c r="O3473" s="1153">
        <f>IF(base[[#This Row],[L/P Líquido]]&gt;0,1,0)</f>
        <v>0</v>
      </c>
      <c r="P3473" s="1153"/>
      <c r="Q3473" s="1153" t="str">
        <f>LEFT(base[[#This Row],[Evento / Mercado]],FIND("vs",base[[#This Row],[Evento / Mercado]])-2)</f>
        <v>IK Sirius</v>
      </c>
      <c r="R347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3" t="str">
        <f>LEFT(base[[#This Row],[Evento / Mercado]],FIND("/",base[[#This Row],[Evento / Mercado]])-2)</f>
        <v>IK Sirius vs IFK Göteborg</v>
      </c>
      <c r="T3473" s="1420">
        <f>base[[#This Row],[Data de liquidação]]</f>
        <v>46229.451238425929</v>
      </c>
    </row>
    <row r="3474" spans="2:20" ht="15" customHeight="1">
      <c r="B3474" s="1154" t="s">
        <v>4118</v>
      </c>
      <c r="C3474" s="935" t="s">
        <v>3556</v>
      </c>
      <c r="D3474" s="1404">
        <v>46229.451365740744</v>
      </c>
      <c r="E3474" s="1155">
        <v>57.73</v>
      </c>
      <c r="F3474" s="654">
        <v>4.4999999999999998E-2</v>
      </c>
      <c r="G3474" s="1150">
        <f t="shared" si="100"/>
        <v>60.450261780104711</v>
      </c>
      <c r="H3474" s="1150" t="s">
        <v>179</v>
      </c>
      <c r="I3474" s="1151" t="s">
        <v>392</v>
      </c>
      <c r="J3474" s="1150">
        <f>(6.4*229.99+6.6*100.02)/base[[#This Row],[Stake/Responsabilidade]]</f>
        <v>6.4606163449592442</v>
      </c>
      <c r="K3474" s="1150">
        <f>229.99+100.02</f>
        <v>330.01</v>
      </c>
      <c r="L3474" s="1152">
        <f>INT(base[[#This Row],[Data de liquidação]])</f>
        <v>46229</v>
      </c>
      <c r="M3474" s="1150">
        <f>base[[#This Row],[L/P Bruto]]-base[[#This Row],[L/P Líquido]]</f>
        <v>2.720261780104714</v>
      </c>
      <c r="N3474" s="1150">
        <f>base[[#This Row],[L/P Líquido]]/base[[#This Row],[Stake/Responsabilidade]]</f>
        <v>0.17493409290627557</v>
      </c>
      <c r="O3474" s="1153">
        <f>IF(base[[#This Row],[L/P Líquido]]&gt;0,1,0)</f>
        <v>1</v>
      </c>
      <c r="P3474" s="1153"/>
      <c r="Q3474" s="1153" t="str">
        <f>LEFT(base[[#This Row],[Evento / Mercado]],FIND("vs",base[[#This Row],[Evento / Mercado]])-2)</f>
        <v>IK Sirius</v>
      </c>
      <c r="R347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3" t="str">
        <f>LEFT(base[[#This Row],[Evento / Mercado]],FIND("/",base[[#This Row],[Evento / Mercado]])-2)</f>
        <v>IK Sirius vs IFK Göteborg</v>
      </c>
      <c r="T3474" s="1420">
        <f>base[[#This Row],[Data de liquidação]]</f>
        <v>46229.451365740744</v>
      </c>
    </row>
    <row r="3475" spans="2:20" ht="15" customHeight="1">
      <c r="B3475" s="1154" t="s">
        <v>4118</v>
      </c>
      <c r="C3475" s="1109" t="s">
        <v>3555</v>
      </c>
      <c r="D3475" s="1404">
        <v>46229.451365740744</v>
      </c>
      <c r="E3475" s="1155">
        <v>47.28</v>
      </c>
      <c r="F3475" s="654">
        <v>4.4999999999999998E-2</v>
      </c>
      <c r="G3475" s="1150">
        <f t="shared" si="100"/>
        <v>49.507853403141361</v>
      </c>
      <c r="H3475" s="938" t="s">
        <v>3253</v>
      </c>
      <c r="I3475" s="939" t="s">
        <v>1555</v>
      </c>
      <c r="J3475" s="1150">
        <v>5.3</v>
      </c>
      <c r="K3475" s="1150">
        <v>300.01</v>
      </c>
      <c r="L3475" s="1152">
        <f>INT(base[[#This Row],[Data de liquidação]])</f>
        <v>46229</v>
      </c>
      <c r="M3475" s="1150">
        <f>base[[#This Row],[L/P Bruto]]-base[[#This Row],[L/P Líquido]]</f>
        <v>2.2278534031413599</v>
      </c>
      <c r="N3475" s="1150">
        <f>base[[#This Row],[L/P Líquido]]/base[[#This Row],[Stake/Responsabilidade]]</f>
        <v>0.15759474684177194</v>
      </c>
      <c r="O3475" s="1153">
        <f>IF(base[[#This Row],[L/P Líquido]]&gt;0,1,0)</f>
        <v>1</v>
      </c>
      <c r="P3475" s="1153"/>
      <c r="Q3475" s="1153" t="str">
        <f>LEFT(base[[#This Row],[Evento / Mercado]],FIND("vs",base[[#This Row],[Evento / Mercado]])-2)</f>
        <v>IK Sirius</v>
      </c>
      <c r="R347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3" t="str">
        <f>LEFT(base[[#This Row],[Evento / Mercado]],FIND("/",base[[#This Row],[Evento / Mercado]])-2)</f>
        <v>IK Sirius vs IFK Göteborg</v>
      </c>
      <c r="T3475" s="1420">
        <f>base[[#This Row],[Data de liquidação]]</f>
        <v>46229.451365740744</v>
      </c>
    </row>
    <row r="3476" spans="2:20" ht="15" customHeight="1">
      <c r="B3476" s="1154" t="s">
        <v>4117</v>
      </c>
      <c r="C3476" s="935" t="s">
        <v>3556</v>
      </c>
      <c r="D3476" s="1404">
        <v>46229.454710648148</v>
      </c>
      <c r="E3476" s="1155">
        <v>21.99</v>
      </c>
      <c r="F3476" s="654">
        <v>4.4999999999999998E-2</v>
      </c>
      <c r="G3476" s="1150">
        <f t="shared" si="100"/>
        <v>23.026178010471202</v>
      </c>
      <c r="H3476" s="1150" t="s">
        <v>3271</v>
      </c>
      <c r="I3476" s="1151" t="s">
        <v>627</v>
      </c>
      <c r="J3476" s="1150">
        <v>17</v>
      </c>
      <c r="K3476" s="1150">
        <v>368.48</v>
      </c>
      <c r="L3476" s="1152">
        <f>INT(base[[#This Row],[Data de liquidação]])</f>
        <v>46229</v>
      </c>
      <c r="M3476" s="1150">
        <f>base[[#This Row],[L/P Bruto]]-base[[#This Row],[L/P Líquido]]</f>
        <v>1.0361780104712039</v>
      </c>
      <c r="N3476" s="1150">
        <f>base[[#This Row],[L/P Líquido]]/base[[#This Row],[Stake/Responsabilidade]]</f>
        <v>5.9677594442032127E-2</v>
      </c>
      <c r="O3476" s="1153">
        <f>IF(base[[#This Row],[L/P Líquido]]&gt;0,1,0)</f>
        <v>1</v>
      </c>
      <c r="P3476" s="1153"/>
      <c r="Q3476" s="1153" t="str">
        <f>LEFT(base[[#This Row],[Evento / Mercado]],FIND("vs",base[[#This Row],[Evento / Mercado]])-2)</f>
        <v>FC Inter Turku</v>
      </c>
      <c r="R347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3" t="str">
        <f>LEFT(base[[#This Row],[Evento / Mercado]],FIND("/",base[[#This Row],[Evento / Mercado]])-2)</f>
        <v>FC Inter Turku vs IF Gnistan</v>
      </c>
      <c r="T3476" s="1420">
        <f>base[[#This Row],[Data de liquidação]]</f>
        <v>46229.454710648148</v>
      </c>
    </row>
    <row r="3477" spans="2:20" ht="15" customHeight="1">
      <c r="B3477" s="1154" t="s">
        <v>4116</v>
      </c>
      <c r="C3477" s="935" t="s">
        <v>3556</v>
      </c>
      <c r="D3477" s="1404">
        <v>46229.476817129631</v>
      </c>
      <c r="E3477" s="1155">
        <v>-30</v>
      </c>
      <c r="F3477" s="654">
        <v>4.4999999999999998E-2</v>
      </c>
      <c r="G3477" s="1150">
        <f t="shared" si="100"/>
        <v>-30</v>
      </c>
      <c r="H3477" s="1133" t="s">
        <v>3253</v>
      </c>
      <c r="I3477" s="1134" t="s">
        <v>3254</v>
      </c>
      <c r="J3477" s="1150">
        <v>11</v>
      </c>
      <c r="K3477" s="1150">
        <v>30</v>
      </c>
      <c r="L3477" s="1152">
        <f>INT(base[[#This Row],[Data de liquidação]])</f>
        <v>46229</v>
      </c>
      <c r="M3477" s="1150">
        <f>base[[#This Row],[L/P Bruto]]-base[[#This Row],[L/P Líquido]]</f>
        <v>0</v>
      </c>
      <c r="N3477" s="1150">
        <f>base[[#This Row],[L/P Líquido]]/base[[#This Row],[Stake/Responsabilidade]]</f>
        <v>-1</v>
      </c>
      <c r="O3477" s="1153">
        <f>IF(base[[#This Row],[L/P Líquido]]&gt;0,1,0)</f>
        <v>0</v>
      </c>
      <c r="P3477" s="1153"/>
      <c r="Q3477" s="1153" t="str">
        <f>LEFT(base[[#This Row],[Evento / Mercado]],FIND("vs",base[[#This Row],[Evento / Mercado]])-2)</f>
        <v>Brann</v>
      </c>
      <c r="R347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3" t="str">
        <f>LEFT(base[[#This Row],[Evento / Mercado]],FIND("/",base[[#This Row],[Evento / Mercado]])-2)</f>
        <v>Brann vs Vålerenga</v>
      </c>
      <c r="T3477" s="1420">
        <f>base[[#This Row],[Data de liquidação]]</f>
        <v>46229.476817129631</v>
      </c>
    </row>
    <row r="3478" spans="2:20" ht="15" customHeight="1">
      <c r="B3478" s="1154" t="s">
        <v>4115</v>
      </c>
      <c r="C3478" s="935" t="s">
        <v>3556</v>
      </c>
      <c r="D3478" s="1404">
        <v>46229.477060185185</v>
      </c>
      <c r="E3478" s="1155">
        <v>23.91</v>
      </c>
      <c r="F3478" s="654">
        <v>4.4999999999999998E-2</v>
      </c>
      <c r="G3478" s="1150">
        <f t="shared" si="100"/>
        <v>25.036649214659686</v>
      </c>
      <c r="H3478" s="938" t="s">
        <v>3253</v>
      </c>
      <c r="I3478" s="939" t="s">
        <v>1555</v>
      </c>
      <c r="J3478" s="1150">
        <v>4.7</v>
      </c>
      <c r="K3478" s="1150">
        <v>300</v>
      </c>
      <c r="L3478" s="1152">
        <f>INT(base[[#This Row],[Data de liquidação]])</f>
        <v>46229</v>
      </c>
      <c r="M3478" s="1150">
        <f>base[[#This Row],[L/P Bruto]]-base[[#This Row],[L/P Líquido]]</f>
        <v>1.126649214659686</v>
      </c>
      <c r="N3478" s="1150">
        <f>base[[#This Row],[L/P Líquido]]/base[[#This Row],[Stake/Responsabilidade]]</f>
        <v>7.9700000000000007E-2</v>
      </c>
      <c r="O3478" s="1153">
        <f>IF(base[[#This Row],[L/P Líquido]]&gt;0,1,0)</f>
        <v>1</v>
      </c>
      <c r="P3478" s="1153"/>
      <c r="Q3478" s="1153" t="str">
        <f>LEFT(base[[#This Row],[Evento / Mercado]],FIND("vs",base[[#This Row],[Evento / Mercado]])-2)</f>
        <v>Brann</v>
      </c>
      <c r="R347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3" t="str">
        <f>LEFT(base[[#This Row],[Evento / Mercado]],FIND("/",base[[#This Row],[Evento / Mercado]])-2)</f>
        <v>Brann vs Vålerenga</v>
      </c>
      <c r="T3478" s="1420">
        <f>base[[#This Row],[Data de liquidação]]</f>
        <v>46229.477060185185</v>
      </c>
    </row>
    <row r="3479" spans="2:20" ht="15" customHeight="1">
      <c r="B3479" s="1154" t="s">
        <v>4115</v>
      </c>
      <c r="C3479" s="1109" t="s">
        <v>3555</v>
      </c>
      <c r="D3479" s="1404">
        <v>46229.477060185185</v>
      </c>
      <c r="E3479" s="1155">
        <v>-198.8</v>
      </c>
      <c r="F3479" s="654">
        <v>4.4999999999999998E-2</v>
      </c>
      <c r="G3479" s="1150">
        <f t="shared" si="100"/>
        <v>-198.8</v>
      </c>
      <c r="H3479" s="1147" t="s">
        <v>3330</v>
      </c>
      <c r="I3479" s="1248" t="s">
        <v>4367</v>
      </c>
      <c r="J3479" s="1150">
        <f>(1.82*98.79+4.6*100.01)/base[[#This Row],[Stake/Responsabilidade]]</f>
        <v>3.218530181086519</v>
      </c>
      <c r="K3479" s="1150">
        <f>98.79+100.01</f>
        <v>198.8</v>
      </c>
      <c r="L3479" s="1152">
        <f>INT(base[[#This Row],[Data de liquidação]])</f>
        <v>46229</v>
      </c>
      <c r="M3479" s="1150">
        <f>base[[#This Row],[L/P Bruto]]-base[[#This Row],[L/P Líquido]]</f>
        <v>0</v>
      </c>
      <c r="N3479" s="1150">
        <f>base[[#This Row],[L/P Líquido]]/base[[#This Row],[Stake/Responsabilidade]]</f>
        <v>-1</v>
      </c>
      <c r="O3479" s="1153">
        <f>IF(base[[#This Row],[L/P Líquido]]&gt;0,1,0)</f>
        <v>0</v>
      </c>
      <c r="P3479" s="1153"/>
      <c r="Q3479" s="1153" t="str">
        <f>LEFT(base[[#This Row],[Evento / Mercado]],FIND("vs",base[[#This Row],[Evento / Mercado]])-2)</f>
        <v>Brann</v>
      </c>
      <c r="R347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3" t="str">
        <f>LEFT(base[[#This Row],[Evento / Mercado]],FIND("/",base[[#This Row],[Evento / Mercado]])-2)</f>
        <v>Brann vs Vålerenga</v>
      </c>
      <c r="T3479" s="1420">
        <f>base[[#This Row],[Data de liquidação]]</f>
        <v>46229.477060185185</v>
      </c>
    </row>
    <row r="3480" spans="2:20" ht="15" customHeight="1">
      <c r="B3480" s="1154" t="s">
        <v>4114</v>
      </c>
      <c r="C3480" s="935" t="s">
        <v>3556</v>
      </c>
      <c r="D3480" s="1404">
        <v>46229.556030092594</v>
      </c>
      <c r="E3480" s="1155">
        <v>23.88</v>
      </c>
      <c r="F3480" s="654">
        <v>4.4999999999999998E-2</v>
      </c>
      <c r="G3480" s="1150">
        <f t="shared" si="100"/>
        <v>25.005235602094242</v>
      </c>
      <c r="H3480" s="1150" t="s">
        <v>3271</v>
      </c>
      <c r="I3480" s="1151" t="s">
        <v>627</v>
      </c>
      <c r="J3480" s="1150">
        <v>18</v>
      </c>
      <c r="K3480" s="1150">
        <v>425</v>
      </c>
      <c r="L3480" s="1152">
        <f>INT(base[[#This Row],[Data de liquidação]])</f>
        <v>46229</v>
      </c>
      <c r="M3480" s="1150">
        <f>base[[#This Row],[L/P Bruto]]-base[[#This Row],[L/P Líquido]]</f>
        <v>1.1252356020942429</v>
      </c>
      <c r="N3480" s="1150">
        <f>base[[#This Row],[L/P Líquido]]/base[[#This Row],[Stake/Responsabilidade]]</f>
        <v>5.6188235294117643E-2</v>
      </c>
      <c r="O3480" s="1153">
        <f>IF(base[[#This Row],[L/P Líquido]]&gt;0,1,0)</f>
        <v>1</v>
      </c>
      <c r="P3480" s="1153"/>
      <c r="Q3480" s="1153" t="str">
        <f>LEFT(base[[#This Row],[Evento / Mercado]],FIND("vs",base[[#This Row],[Evento / Mercado]])-2)</f>
        <v>GAIS</v>
      </c>
      <c r="R348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3" t="str">
        <f>LEFT(base[[#This Row],[Evento / Mercado]],FIND("/",base[[#This Row],[Evento / Mercado]])-2)</f>
        <v>GAIS vs Halmstads BK</v>
      </c>
      <c r="T3480" s="1420">
        <f>base[[#This Row],[Data de liquidação]]</f>
        <v>46229.556030092594</v>
      </c>
    </row>
    <row r="3481" spans="2:20" ht="15" customHeight="1">
      <c r="B3481" s="1154" t="s">
        <v>4113</v>
      </c>
      <c r="C3481" s="935" t="s">
        <v>3556</v>
      </c>
      <c r="D3481" s="1404">
        <v>46229.557905092595</v>
      </c>
      <c r="E3481" s="1155">
        <v>18.57</v>
      </c>
      <c r="F3481" s="654">
        <v>4.4999999999999998E-2</v>
      </c>
      <c r="G3481" s="1150">
        <f t="shared" si="100"/>
        <v>19.445026178010473</v>
      </c>
      <c r="H3481" s="1150" t="s">
        <v>3334</v>
      </c>
      <c r="I3481" s="1151" t="s">
        <v>627</v>
      </c>
      <c r="J3481" s="1150">
        <v>19</v>
      </c>
      <c r="K3481" s="1150">
        <v>349.92</v>
      </c>
      <c r="L3481" s="1152">
        <f>INT(base[[#This Row],[Data de liquidação]])</f>
        <v>46229</v>
      </c>
      <c r="M3481" s="1150">
        <f>base[[#This Row],[L/P Bruto]]-base[[#This Row],[L/P Líquido]]</f>
        <v>0.87502617801047222</v>
      </c>
      <c r="N3481" s="1150">
        <f>base[[#This Row],[L/P Líquido]]/base[[#This Row],[Stake/Responsabilidade]]</f>
        <v>5.3069272976680383E-2</v>
      </c>
      <c r="O3481" s="1153">
        <f>IF(base[[#This Row],[L/P Líquido]]&gt;0,1,0)</f>
        <v>1</v>
      </c>
      <c r="P3481" s="1153"/>
      <c r="Q3481" s="1153" t="str">
        <f>LEFT(base[[#This Row],[Evento / Mercado]],FIND("vs",base[[#This Row],[Evento / Mercado]])-2)</f>
        <v>Malmö FF</v>
      </c>
      <c r="R348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3" t="str">
        <f>LEFT(base[[#This Row],[Evento / Mercado]],FIND("/",base[[#This Row],[Evento / Mercado]])-2)</f>
        <v>Malmö FF vs IF Elfsborg</v>
      </c>
      <c r="T3481" s="1420">
        <f>base[[#This Row],[Data de liquidação]]</f>
        <v>46229.557905092595</v>
      </c>
    </row>
    <row r="3482" spans="2:20" ht="15" customHeight="1">
      <c r="B3482" s="1154" t="s">
        <v>4113</v>
      </c>
      <c r="C3482" s="1109" t="s">
        <v>3555</v>
      </c>
      <c r="D3482" s="1404">
        <v>46229.557905092595</v>
      </c>
      <c r="E3482" s="1155">
        <v>27</v>
      </c>
      <c r="F3482" s="654">
        <v>4.4999999999999998E-2</v>
      </c>
      <c r="G3482" s="1150">
        <f t="shared" si="100"/>
        <v>28.272251308900525</v>
      </c>
      <c r="H3482" s="1150" t="s">
        <v>3868</v>
      </c>
      <c r="I3482" s="1151" t="s">
        <v>627</v>
      </c>
      <c r="J3482" s="1150">
        <v>19</v>
      </c>
      <c r="K3482" s="1150">
        <v>500.04</v>
      </c>
      <c r="L3482" s="1152">
        <f>INT(base[[#This Row],[Data de liquidação]])</f>
        <v>46229</v>
      </c>
      <c r="M3482" s="1150">
        <f>base[[#This Row],[L/P Bruto]]-base[[#This Row],[L/P Líquido]]</f>
        <v>1.2722513089005254</v>
      </c>
      <c r="N3482" s="1150">
        <f>base[[#This Row],[L/P Líquido]]/base[[#This Row],[Stake/Responsabilidade]]</f>
        <v>5.3995680345572353E-2</v>
      </c>
      <c r="O3482" s="1153">
        <f>IF(base[[#This Row],[L/P Líquido]]&gt;0,1,0)</f>
        <v>1</v>
      </c>
      <c r="P3482" s="1153"/>
      <c r="Q3482" s="1153" t="str">
        <f>LEFT(base[[#This Row],[Evento / Mercado]],FIND("vs",base[[#This Row],[Evento / Mercado]])-2)</f>
        <v>Malmö FF</v>
      </c>
      <c r="R348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3" t="str">
        <f>LEFT(base[[#This Row],[Evento / Mercado]],FIND("/",base[[#This Row],[Evento / Mercado]])-2)</f>
        <v>Malmö FF vs IF Elfsborg</v>
      </c>
      <c r="T3482" s="1420">
        <f>base[[#This Row],[Data de liquidação]]</f>
        <v>46229.557905092595</v>
      </c>
    </row>
    <row r="3483" spans="2:20" ht="15" customHeight="1">
      <c r="B3483" s="1154" t="s">
        <v>4112</v>
      </c>
      <c r="C3483" s="935" t="s">
        <v>3556</v>
      </c>
      <c r="D3483" s="1404">
        <v>46229.578206018516</v>
      </c>
      <c r="E3483" s="1155">
        <v>21.56</v>
      </c>
      <c r="F3483" s="654">
        <v>4.4999999999999998E-2</v>
      </c>
      <c r="G3483" s="1150">
        <f t="shared" si="100"/>
        <v>22.575916230366492</v>
      </c>
      <c r="H3483" s="1150" t="s">
        <v>74</v>
      </c>
      <c r="I3483" s="1151" t="s">
        <v>693</v>
      </c>
      <c r="J3483" s="1150">
        <v>16.5</v>
      </c>
      <c r="K3483" s="1150">
        <v>349.99</v>
      </c>
      <c r="L3483" s="1152">
        <f>INT(base[[#This Row],[Data de liquidação]])</f>
        <v>46229</v>
      </c>
      <c r="M3483" s="1150">
        <f>base[[#This Row],[L/P Bruto]]-base[[#This Row],[L/P Líquido]]</f>
        <v>1.0159162303664928</v>
      </c>
      <c r="N3483" s="1150">
        <f>base[[#This Row],[L/P Líquido]]/base[[#This Row],[Stake/Responsabilidade]]</f>
        <v>6.1601760050287148E-2</v>
      </c>
      <c r="O3483" s="1153">
        <f>IF(base[[#This Row],[L/P Líquido]]&gt;0,1,0)</f>
        <v>1</v>
      </c>
      <c r="P3483" s="1153"/>
      <c r="Q3483" s="1153" t="str">
        <f>LEFT(base[[#This Row],[Evento / Mercado]],FIND("vs",base[[#This Row],[Evento / Mercado]])-2)</f>
        <v>Åsane</v>
      </c>
      <c r="R348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3" t="str">
        <f>LEFT(base[[#This Row],[Evento / Mercado]],FIND("/",base[[#This Row],[Evento / Mercado]])-2)</f>
        <v>Åsane vs Egersund</v>
      </c>
      <c r="T3483" s="1420">
        <f>base[[#This Row],[Data de liquidação]]</f>
        <v>46229.578206018516</v>
      </c>
    </row>
    <row r="3484" spans="2:20" ht="15" customHeight="1">
      <c r="B3484" s="1154" t="s">
        <v>4111</v>
      </c>
      <c r="C3484" s="935" t="s">
        <v>3556</v>
      </c>
      <c r="D3484" s="1404">
        <v>46229.578912037039</v>
      </c>
      <c r="E3484" s="1155">
        <v>23.05</v>
      </c>
      <c r="F3484" s="654">
        <v>4.4999999999999998E-2</v>
      </c>
      <c r="G3484" s="1150">
        <f t="shared" si="100"/>
        <v>24.136125654450264</v>
      </c>
      <c r="H3484" s="1150" t="s">
        <v>74</v>
      </c>
      <c r="I3484" s="1151" t="s">
        <v>693</v>
      </c>
      <c r="J3484" s="1150">
        <v>15.5</v>
      </c>
      <c r="K3484" s="1150">
        <v>350.03</v>
      </c>
      <c r="L3484" s="1152">
        <f>INT(base[[#This Row],[Data de liquidação]])</f>
        <v>46229</v>
      </c>
      <c r="M3484" s="1150">
        <f>base[[#This Row],[L/P Bruto]]-base[[#This Row],[L/P Líquido]]</f>
        <v>1.0861256544502638</v>
      </c>
      <c r="N3484" s="1150">
        <f>base[[#This Row],[L/P Líquido]]/base[[#This Row],[Stake/Responsabilidade]]</f>
        <v>6.5851498442990611E-2</v>
      </c>
      <c r="O3484" s="1153">
        <f>IF(base[[#This Row],[L/P Líquido]]&gt;0,1,0)</f>
        <v>1</v>
      </c>
      <c r="P3484" s="1153"/>
      <c r="Q3484" s="1153" t="str">
        <f>LEFT(base[[#This Row],[Evento / Mercado]],FIND("vs",base[[#This Row],[Evento / Mercado]])-2)</f>
        <v>Strømmen</v>
      </c>
      <c r="R348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3" t="str">
        <f>LEFT(base[[#This Row],[Evento / Mercado]],FIND("/",base[[#This Row],[Evento / Mercado]])-2)</f>
        <v>Strømmen vs Odds Ballklubb</v>
      </c>
      <c r="T3484" s="1420">
        <f>base[[#This Row],[Data de liquidação]]</f>
        <v>46229.578912037039</v>
      </c>
    </row>
    <row r="3485" spans="2:20" ht="15" customHeight="1">
      <c r="B3485" s="1154" t="s">
        <v>4108</v>
      </c>
      <c r="C3485" s="1154" t="s">
        <v>3554</v>
      </c>
      <c r="D3485" s="1404">
        <v>46229.57916666667</v>
      </c>
      <c r="E3485" s="1155">
        <v>81.849999999999994</v>
      </c>
      <c r="F3485" s="654">
        <v>4.4999999999999998E-2</v>
      </c>
      <c r="G3485" s="1150">
        <f t="shared" si="100"/>
        <v>85.706806282722511</v>
      </c>
      <c r="H3485" s="938" t="s">
        <v>3253</v>
      </c>
      <c r="I3485" s="939" t="s">
        <v>1555</v>
      </c>
      <c r="J3485" s="1150">
        <v>4.5</v>
      </c>
      <c r="K3485" s="1150">
        <v>299.98</v>
      </c>
      <c r="L3485" s="1152">
        <f>INT(base[[#This Row],[Data de liquidação]])</f>
        <v>46229</v>
      </c>
      <c r="M3485" s="1150">
        <f>base[[#This Row],[L/P Bruto]]-base[[#This Row],[L/P Líquido]]</f>
        <v>3.8568062827225162</v>
      </c>
      <c r="N3485" s="1150">
        <f>base[[#This Row],[L/P Líquido]]/base[[#This Row],[Stake/Responsabilidade]]</f>
        <v>0.2728515234348956</v>
      </c>
      <c r="O3485" s="1153">
        <f>IF(base[[#This Row],[L/P Líquido]]&gt;0,1,0)</f>
        <v>1</v>
      </c>
      <c r="P3485" s="1153"/>
      <c r="Q3485" s="1153" t="str">
        <f>LEFT(base[[#This Row],[Evento / Mercado]],FIND("vs",base[[#This Row],[Evento / Mercado]])-2)</f>
        <v>Sarpsborg 08</v>
      </c>
      <c r="R348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3" t="str">
        <f>LEFT(base[[#This Row],[Evento / Mercado]],FIND("/",base[[#This Row],[Evento / Mercado]])-2)</f>
        <v>Sarpsborg 08 vs Hamarkameratene</v>
      </c>
      <c r="T3485" s="1420">
        <f>base[[#This Row],[Data de liquidação]]</f>
        <v>46229.57916666667</v>
      </c>
    </row>
    <row r="3486" spans="2:20" ht="15" customHeight="1">
      <c r="B3486" s="1154" t="s">
        <v>4110</v>
      </c>
      <c r="C3486" s="1154" t="s">
        <v>3554</v>
      </c>
      <c r="D3486" s="1404">
        <v>46229.57916666667</v>
      </c>
      <c r="E3486" s="1155">
        <v>-34.880000000000003</v>
      </c>
      <c r="F3486" s="654">
        <v>4.4999999999999998E-2</v>
      </c>
      <c r="G3486" s="1150">
        <f t="shared" si="100"/>
        <v>-34.880000000000003</v>
      </c>
      <c r="H3486" s="938" t="s">
        <v>3253</v>
      </c>
      <c r="I3486" s="939" t="s">
        <v>3254</v>
      </c>
      <c r="J3486" s="1150">
        <v>9.6</v>
      </c>
      <c r="K3486" s="1150">
        <v>34.880000000000003</v>
      </c>
      <c r="L3486" s="1152">
        <f>INT(base[[#This Row],[Data de liquidação]])</f>
        <v>46229</v>
      </c>
      <c r="M3486" s="1150">
        <f>base[[#This Row],[L/P Bruto]]-base[[#This Row],[L/P Líquido]]</f>
        <v>0</v>
      </c>
      <c r="N3486" s="1150">
        <f>base[[#This Row],[L/P Líquido]]/base[[#This Row],[Stake/Responsabilidade]]</f>
        <v>-1</v>
      </c>
      <c r="O3486" s="1153">
        <f>IF(base[[#This Row],[L/P Líquido]]&gt;0,1,0)</f>
        <v>0</v>
      </c>
      <c r="P3486" s="1153"/>
      <c r="Q3486" s="1153" t="str">
        <f>LEFT(base[[#This Row],[Evento / Mercado]],FIND("vs",base[[#This Row],[Evento / Mercado]])-2)</f>
        <v>Sarpsborg 08</v>
      </c>
      <c r="R348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3" t="str">
        <f>LEFT(base[[#This Row],[Evento / Mercado]],FIND("/",base[[#This Row],[Evento / Mercado]])-2)</f>
        <v>Sarpsborg 08 vs Hamarkameratene</v>
      </c>
      <c r="T3486" s="1420">
        <f>base[[#This Row],[Data de liquidação]]</f>
        <v>46229.57916666667</v>
      </c>
    </row>
    <row r="3487" spans="2:20" ht="15" customHeight="1">
      <c r="B3487" s="1154" t="s">
        <v>4110</v>
      </c>
      <c r="C3487" s="935" t="s">
        <v>3556</v>
      </c>
      <c r="D3487" s="1404">
        <v>46229.579282407409</v>
      </c>
      <c r="E3487" s="1155">
        <v>21.71</v>
      </c>
      <c r="F3487" s="654">
        <v>4.4999999999999998E-2</v>
      </c>
      <c r="G3487" s="1150">
        <f t="shared" si="100"/>
        <v>22.73298429319372</v>
      </c>
      <c r="H3487" s="1150" t="s">
        <v>3868</v>
      </c>
      <c r="I3487" s="1151" t="s">
        <v>627</v>
      </c>
      <c r="J3487" s="1150">
        <v>23</v>
      </c>
      <c r="K3487" s="1150">
        <v>500.06</v>
      </c>
      <c r="L3487" s="1152">
        <f>INT(base[[#This Row],[Data de liquidação]])</f>
        <v>46229</v>
      </c>
      <c r="M3487" s="1150">
        <f>base[[#This Row],[L/P Bruto]]-base[[#This Row],[L/P Líquido]]</f>
        <v>1.0229842931937192</v>
      </c>
      <c r="N3487" s="1150">
        <f>base[[#This Row],[L/P Líquido]]/base[[#This Row],[Stake/Responsabilidade]]</f>
        <v>4.3414790225172979E-2</v>
      </c>
      <c r="O3487" s="1153">
        <f>IF(base[[#This Row],[L/P Líquido]]&gt;0,1,0)</f>
        <v>1</v>
      </c>
      <c r="P3487" s="1153"/>
      <c r="Q3487" s="1153" t="str">
        <f>LEFT(base[[#This Row],[Evento / Mercado]],FIND("vs",base[[#This Row],[Evento / Mercado]])-2)</f>
        <v>Sarpsborg 08</v>
      </c>
      <c r="R348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3" t="str">
        <f>LEFT(base[[#This Row],[Evento / Mercado]],FIND("/",base[[#This Row],[Evento / Mercado]])-2)</f>
        <v>Sarpsborg 08 vs Hamarkameratene</v>
      </c>
      <c r="T3487" s="1420">
        <f>base[[#This Row],[Data de liquidação]]</f>
        <v>46229.579282407409</v>
      </c>
    </row>
    <row r="3488" spans="2:20" ht="15" customHeight="1">
      <c r="B3488" s="1154" t="s">
        <v>4109</v>
      </c>
      <c r="C3488" s="935" t="s">
        <v>3556</v>
      </c>
      <c r="D3488" s="1404">
        <v>46229.579467592594</v>
      </c>
      <c r="E3488" s="1155">
        <v>-100</v>
      </c>
      <c r="F3488" s="654">
        <v>4.4999999999999998E-2</v>
      </c>
      <c r="G3488" s="1150">
        <f t="shared" si="100"/>
        <v>-100</v>
      </c>
      <c r="H3488" s="1150" t="s">
        <v>314</v>
      </c>
      <c r="I3488" s="1151" t="s">
        <v>349</v>
      </c>
      <c r="J3488" s="1150">
        <v>1.68</v>
      </c>
      <c r="K3488" s="1150">
        <v>100</v>
      </c>
      <c r="L3488" s="1152">
        <f>INT(base[[#This Row],[Data de liquidação]])</f>
        <v>46229</v>
      </c>
      <c r="M3488" s="1150">
        <f>base[[#This Row],[L/P Bruto]]-base[[#This Row],[L/P Líquido]]</f>
        <v>0</v>
      </c>
      <c r="N3488" s="1150">
        <f>base[[#This Row],[L/P Líquido]]/base[[#This Row],[Stake/Responsabilidade]]</f>
        <v>-1</v>
      </c>
      <c r="O3488" s="1153">
        <f>IF(base[[#This Row],[L/P Líquido]]&gt;0,1,0)</f>
        <v>0</v>
      </c>
      <c r="P3488" s="1153"/>
      <c r="Q3488" s="1153" t="str">
        <f>LEFT(base[[#This Row],[Evento / Mercado]],FIND("vs",base[[#This Row],[Evento / Mercado]])-2)</f>
        <v>Sarpsborg 08</v>
      </c>
      <c r="R348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3" t="str">
        <f>LEFT(base[[#This Row],[Evento / Mercado]],FIND("/",base[[#This Row],[Evento / Mercado]])-2)</f>
        <v>Sarpsborg 08 vs Hamarkameratene</v>
      </c>
      <c r="T3488" s="1420">
        <f>base[[#This Row],[Data de liquidação]]</f>
        <v>46229.579467592594</v>
      </c>
    </row>
    <row r="3489" spans="2:20" ht="15" customHeight="1">
      <c r="B3489" s="1154" t="s">
        <v>4108</v>
      </c>
      <c r="C3489" s="935" t="s">
        <v>3556</v>
      </c>
      <c r="D3489" s="1404">
        <v>46229.57949074074</v>
      </c>
      <c r="E3489" s="1155">
        <v>12.96</v>
      </c>
      <c r="F3489" s="654">
        <v>4.4999999999999998E-2</v>
      </c>
      <c r="G3489" s="1150">
        <f t="shared" si="100"/>
        <v>13.570680628272253</v>
      </c>
      <c r="H3489" s="1150" t="s">
        <v>3330</v>
      </c>
      <c r="I3489" s="1248" t="s">
        <v>4368</v>
      </c>
      <c r="J3489" s="1150">
        <v>5.0999999999999996</v>
      </c>
      <c r="K3489" s="1150">
        <v>100</v>
      </c>
      <c r="L3489" s="1152">
        <f>INT(base[[#This Row],[Data de liquidação]])</f>
        <v>46229</v>
      </c>
      <c r="M3489" s="1150">
        <f>base[[#This Row],[L/P Bruto]]-base[[#This Row],[L/P Líquido]]</f>
        <v>0.61068062827225233</v>
      </c>
      <c r="N3489" s="1150">
        <f>base[[#This Row],[L/P Líquido]]/base[[#This Row],[Stake/Responsabilidade]]</f>
        <v>0.12960000000000002</v>
      </c>
      <c r="O3489" s="1153">
        <f>IF(base[[#This Row],[L/P Líquido]]&gt;0,1,0)</f>
        <v>1</v>
      </c>
      <c r="P3489" s="1153"/>
      <c r="Q3489" s="1153" t="str">
        <f>LEFT(base[[#This Row],[Evento / Mercado]],FIND("vs",base[[#This Row],[Evento / Mercado]])-2)</f>
        <v>Sarpsborg 08</v>
      </c>
      <c r="R348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3" t="str">
        <f>LEFT(base[[#This Row],[Evento / Mercado]],FIND("/",base[[#This Row],[Evento / Mercado]])-2)</f>
        <v>Sarpsborg 08 vs Hamarkameratene</v>
      </c>
      <c r="T3489" s="1420">
        <f>base[[#This Row],[Data de liquidação]]</f>
        <v>46229.57949074074</v>
      </c>
    </row>
    <row r="3490" spans="2:20" ht="15" customHeight="1">
      <c r="B3490" s="1154" t="s">
        <v>4107</v>
      </c>
      <c r="C3490" s="935" t="s">
        <v>3556</v>
      </c>
      <c r="D3490" s="1404">
        <v>46229.637731481482</v>
      </c>
      <c r="E3490" s="1155">
        <v>1.22</v>
      </c>
      <c r="F3490" s="654">
        <v>4.4999999999999998E-2</v>
      </c>
      <c r="G3490" s="1150">
        <f t="shared" si="100"/>
        <v>1.2774869109947644</v>
      </c>
      <c r="H3490" s="1150" t="s">
        <v>1666</v>
      </c>
      <c r="I3490" s="1151" t="s">
        <v>2564</v>
      </c>
      <c r="J3490" s="1150">
        <v>1.64</v>
      </c>
      <c r="K3490" s="1150">
        <v>2</v>
      </c>
      <c r="L3490" s="1152">
        <f>INT(base[[#This Row],[Data de liquidação]])</f>
        <v>46229</v>
      </c>
      <c r="M3490" s="1150">
        <f>base[[#This Row],[L/P Bruto]]-base[[#This Row],[L/P Líquido]]</f>
        <v>5.748691099476444E-2</v>
      </c>
      <c r="N3490" s="1150">
        <f>base[[#This Row],[L/P Líquido]]/base[[#This Row],[Stake/Responsabilidade]]</f>
        <v>0.61</v>
      </c>
      <c r="O3490" s="1153">
        <f>IF(base[[#This Row],[L/P Líquido]]&gt;0,1,0)</f>
        <v>1</v>
      </c>
      <c r="P3490" s="1153"/>
      <c r="Q3490" s="1153" t="str">
        <f>LEFT(base[[#This Row],[Evento / Mercado]],FIND("vs",base[[#This Row],[Evento / Mercado]])-2)</f>
        <v>Aalesunds FK</v>
      </c>
      <c r="R349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3" t="str">
        <f>LEFT(base[[#This Row],[Evento / Mercado]],FIND("/",base[[#This Row],[Evento / Mercado]])-2)</f>
        <v>Aalesunds FK vs Viking FK</v>
      </c>
      <c r="T3490" s="1420">
        <f>base[[#This Row],[Data de liquidação]]</f>
        <v>46229.637731481482</v>
      </c>
    </row>
    <row r="3491" spans="2:20" ht="15" customHeight="1">
      <c r="B3491" s="1154" t="s">
        <v>4106</v>
      </c>
      <c r="C3491" s="935" t="s">
        <v>3556</v>
      </c>
      <c r="D3491" s="1404">
        <v>46229.695868055554</v>
      </c>
      <c r="E3491" s="1155">
        <v>0.96</v>
      </c>
      <c r="F3491" s="654">
        <v>4.4999999999999998E-2</v>
      </c>
      <c r="G3491" s="1150">
        <f t="shared" si="100"/>
        <v>1.0052356020942408</v>
      </c>
      <c r="H3491" s="1150" t="s">
        <v>1666</v>
      </c>
      <c r="I3491" s="1151" t="s">
        <v>2362</v>
      </c>
      <c r="J3491" s="1150">
        <v>1.1000000000000001</v>
      </c>
      <c r="K3491" s="1150">
        <v>10</v>
      </c>
      <c r="L3491" s="1152">
        <f>INT(base[[#This Row],[Data de liquidação]])</f>
        <v>46229</v>
      </c>
      <c r="M3491" s="1150">
        <f>base[[#This Row],[L/P Bruto]]-base[[#This Row],[L/P Líquido]]</f>
        <v>4.5235602094240823E-2</v>
      </c>
      <c r="N3491" s="1150">
        <f>base[[#This Row],[L/P Líquido]]/base[[#This Row],[Stake/Responsabilidade]]</f>
        <v>9.6000000000000002E-2</v>
      </c>
      <c r="O3491" s="1153">
        <f>IF(base[[#This Row],[L/P Líquido]]&gt;0,1,0)</f>
        <v>1</v>
      </c>
      <c r="P3491" s="1153"/>
      <c r="Q3491" s="1153" t="str">
        <f>LEFT(base[[#This Row],[Evento / Mercado]],FIND("vs",base[[#This Row],[Evento / Mercado]])-2)</f>
        <v>Cruzeiro</v>
      </c>
      <c r="R349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3" t="str">
        <f>LEFT(base[[#This Row],[Evento / Mercado]],FIND("/",base[[#This Row],[Evento / Mercado]])-2)</f>
        <v>Cruzeiro vs Botafogo FR</v>
      </c>
      <c r="T3491" s="1420">
        <f>base[[#This Row],[Data de liquidação]]</f>
        <v>46229.695868055554</v>
      </c>
    </row>
    <row r="3492" spans="2:20" ht="15" customHeight="1">
      <c r="B3492" s="1154" t="s">
        <v>4105</v>
      </c>
      <c r="C3492" s="935" t="s">
        <v>3556</v>
      </c>
      <c r="D3492" s="1404">
        <v>46229.702928240738</v>
      </c>
      <c r="E3492" s="1155">
        <v>4.42</v>
      </c>
      <c r="F3492" s="654">
        <v>4.4999999999999998E-2</v>
      </c>
      <c r="G3492" s="1150">
        <f t="shared" si="100"/>
        <v>4.6282722513089007</v>
      </c>
      <c r="H3492" s="1150" t="s">
        <v>1666</v>
      </c>
      <c r="I3492" s="1151" t="s">
        <v>2883</v>
      </c>
      <c r="J3492" s="1150">
        <v>1.93</v>
      </c>
      <c r="K3492" s="1150">
        <v>5</v>
      </c>
      <c r="L3492" s="1152">
        <f>INT(base[[#This Row],[Data de liquidação]])</f>
        <v>46229</v>
      </c>
      <c r="M3492" s="1150">
        <f>base[[#This Row],[L/P Bruto]]-base[[#This Row],[L/P Líquido]]</f>
        <v>0.20827225130890081</v>
      </c>
      <c r="N3492" s="1150">
        <f>base[[#This Row],[L/P Líquido]]/base[[#This Row],[Stake/Responsabilidade]]</f>
        <v>0.88400000000000001</v>
      </c>
      <c r="O3492" s="1153">
        <f>IF(base[[#This Row],[L/P Líquido]]&gt;0,1,0)</f>
        <v>1</v>
      </c>
      <c r="P3492" s="1153"/>
      <c r="Q3492" s="1153" t="str">
        <f>LEFT(base[[#This Row],[Evento / Mercado]],FIND("vs",base[[#This Row],[Evento / Mercado]])-2)</f>
        <v>Esporte Clube Bahia</v>
      </c>
      <c r="R349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3" t="str">
        <f>LEFT(base[[#This Row],[Evento / Mercado]],FIND("/",base[[#This Row],[Evento / Mercado]])-2)</f>
        <v>Esporte Clube Bahia vs Corinthians</v>
      </c>
      <c r="T3492" s="1420">
        <f>base[[#This Row],[Data de liquidação]]</f>
        <v>46229.702928240738</v>
      </c>
    </row>
    <row r="3493" spans="2:20" ht="15" customHeight="1">
      <c r="B3493" s="1154" t="s">
        <v>4104</v>
      </c>
      <c r="C3493" s="935" t="s">
        <v>3556</v>
      </c>
      <c r="D3493" s="1404">
        <v>46229.750543981485</v>
      </c>
      <c r="E3493" s="1155">
        <v>-76.34</v>
      </c>
      <c r="F3493" s="654">
        <v>4.4999999999999998E-2</v>
      </c>
      <c r="G3493" s="1150">
        <f t="shared" si="100"/>
        <v>-76.34</v>
      </c>
      <c r="H3493" s="1150" t="s">
        <v>3271</v>
      </c>
      <c r="I3493" s="1151" t="s">
        <v>627</v>
      </c>
      <c r="J3493" s="1150">
        <v>14</v>
      </c>
      <c r="K3493" s="1150">
        <v>300.04000000000002</v>
      </c>
      <c r="L3493" s="1152">
        <f>INT(base[[#This Row],[Data de liquidação]])</f>
        <v>46229</v>
      </c>
      <c r="M3493" s="1150">
        <f>base[[#This Row],[L/P Bruto]]-base[[#This Row],[L/P Líquido]]</f>
        <v>0</v>
      </c>
      <c r="N3493" s="1150">
        <f>base[[#This Row],[L/P Líquido]]/base[[#This Row],[Stake/Responsabilidade]]</f>
        <v>-0.25443274230102653</v>
      </c>
      <c r="O3493" s="1153">
        <f>IF(base[[#This Row],[L/P Líquido]]&gt;0,1,0)</f>
        <v>0</v>
      </c>
      <c r="P3493" s="1153"/>
      <c r="Q3493" s="1153" t="str">
        <f>LEFT(base[[#This Row],[Evento / Mercado]],FIND("vs",base[[#This Row],[Evento / Mercado]])-2)</f>
        <v>Cruzeiro</v>
      </c>
      <c r="R349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3" t="str">
        <f>LEFT(base[[#This Row],[Evento / Mercado]],FIND("/",base[[#This Row],[Evento / Mercado]])-2)</f>
        <v>Cruzeiro vs Botafogo FR</v>
      </c>
      <c r="T3493" s="1420">
        <f>base[[#This Row],[Data de liquidação]]</f>
        <v>46229.750543981485</v>
      </c>
    </row>
    <row r="3494" spans="2:20" ht="15" customHeight="1">
      <c r="B3494" s="1154" t="s">
        <v>4103</v>
      </c>
      <c r="C3494" s="935" t="s">
        <v>3556</v>
      </c>
      <c r="D3494" s="1404">
        <v>46229.750949074078</v>
      </c>
      <c r="E3494" s="1155">
        <v>-100</v>
      </c>
      <c r="F3494" s="654">
        <v>4.4999999999999998E-2</v>
      </c>
      <c r="G3494" s="1150">
        <f t="shared" si="100"/>
        <v>-100</v>
      </c>
      <c r="H3494" s="1150" t="s">
        <v>314</v>
      </c>
      <c r="I3494" s="1151" t="s">
        <v>349</v>
      </c>
      <c r="J3494" s="1150">
        <v>1.83</v>
      </c>
      <c r="K3494" s="1150">
        <v>100</v>
      </c>
      <c r="L3494" s="1152">
        <f>INT(base[[#This Row],[Data de liquidação]])</f>
        <v>46229</v>
      </c>
      <c r="M3494" s="1150">
        <f>base[[#This Row],[L/P Bruto]]-base[[#This Row],[L/P Líquido]]</f>
        <v>0</v>
      </c>
      <c r="N3494" s="1150">
        <f>base[[#This Row],[L/P Líquido]]/base[[#This Row],[Stake/Responsabilidade]]</f>
        <v>-1</v>
      </c>
      <c r="O3494" s="1153">
        <f>IF(base[[#This Row],[L/P Líquido]]&gt;0,1,0)</f>
        <v>0</v>
      </c>
      <c r="P3494" s="1153"/>
      <c r="Q3494" s="1153" t="str">
        <f>LEFT(base[[#This Row],[Evento / Mercado]],FIND("vs",base[[#This Row],[Evento / Mercado]])-2)</f>
        <v>Cruzeiro</v>
      </c>
      <c r="R349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3" t="str">
        <f>LEFT(base[[#This Row],[Evento / Mercado]],FIND("/",base[[#This Row],[Evento / Mercado]])-2)</f>
        <v>Cruzeiro vs Botafogo FR</v>
      </c>
      <c r="T3494" s="1420">
        <f>base[[#This Row],[Data de liquidação]]</f>
        <v>46229.750949074078</v>
      </c>
    </row>
    <row r="3495" spans="2:20" ht="15" customHeight="1">
      <c r="B3495" s="1154" t="s">
        <v>4101</v>
      </c>
      <c r="C3495" s="1154" t="s">
        <v>3554</v>
      </c>
      <c r="D3495" s="1404">
        <v>46229.752083333333</v>
      </c>
      <c r="E3495" s="1155">
        <v>2.0299999999999998</v>
      </c>
      <c r="F3495" s="654">
        <v>4.4999999999999998E-2</v>
      </c>
      <c r="G3495" s="1150">
        <f t="shared" si="100"/>
        <v>2.1256544502617798</v>
      </c>
      <c r="H3495" s="1147" t="s">
        <v>3330</v>
      </c>
      <c r="I3495" s="1148" t="s">
        <v>3566</v>
      </c>
      <c r="J3495" s="1150">
        <v>8</v>
      </c>
      <c r="K3495" s="1150">
        <v>100.03</v>
      </c>
      <c r="L3495" s="1152">
        <f>INT(base[[#This Row],[Data de liquidação]])</f>
        <v>46229</v>
      </c>
      <c r="M3495" s="1150">
        <f>base[[#This Row],[L/P Bruto]]-base[[#This Row],[L/P Líquido]]</f>
        <v>9.5654450261779989E-2</v>
      </c>
      <c r="N3495" s="1150">
        <f>base[[#This Row],[L/P Líquido]]/base[[#This Row],[Stake/Responsabilidade]]</f>
        <v>2.0293911826452061E-2</v>
      </c>
      <c r="O3495" s="1153">
        <f>IF(base[[#This Row],[L/P Líquido]]&gt;0,1,0)</f>
        <v>1</v>
      </c>
      <c r="P3495" s="1153"/>
      <c r="Q3495" s="1153" t="str">
        <f>LEFT(base[[#This Row],[Evento / Mercado]],FIND("vs",base[[#This Row],[Evento / Mercado]])-2)</f>
        <v>Criciúma EC</v>
      </c>
      <c r="R349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3" t="str">
        <f>LEFT(base[[#This Row],[Evento / Mercado]],FIND("/",base[[#This Row],[Evento / Mercado]])-2)</f>
        <v>Criciúma EC vs Clube Náutico Capibaribe</v>
      </c>
      <c r="T3495" s="1420">
        <f>base[[#This Row],[Data de liquidação]]</f>
        <v>46229.752083333333</v>
      </c>
    </row>
    <row r="3496" spans="2:20" ht="15" customHeight="1">
      <c r="B3496" s="1154" t="s">
        <v>4103</v>
      </c>
      <c r="C3496" s="935" t="s">
        <v>3556</v>
      </c>
      <c r="D3496" s="1404">
        <v>46229.750949074078</v>
      </c>
      <c r="E3496" s="1155">
        <v>-5</v>
      </c>
      <c r="F3496" s="654">
        <v>4.4999999999999998E-2</v>
      </c>
      <c r="G3496" s="1150">
        <f t="shared" ref="G3496" si="103">IF(E3496&gt;0,E3496/(1-F3496),E3496)</f>
        <v>-5</v>
      </c>
      <c r="H3496" s="1150" t="s">
        <v>1666</v>
      </c>
      <c r="I3496" s="1151" t="s">
        <v>2883</v>
      </c>
      <c r="J3496" s="1150">
        <v>1.79</v>
      </c>
      <c r="K3496" s="1150">
        <v>5</v>
      </c>
      <c r="L3496" s="1152">
        <f>INT(base[[#This Row],[Data de liquidação]])</f>
        <v>46229</v>
      </c>
      <c r="M3496" s="1150">
        <f>base[[#This Row],[L/P Bruto]]-base[[#This Row],[L/P Líquido]]</f>
        <v>0</v>
      </c>
      <c r="N3496" s="1150">
        <f>base[[#This Row],[L/P Líquido]]/base[[#This Row],[Stake/Responsabilidade]]</f>
        <v>-1</v>
      </c>
      <c r="O3496" s="1153">
        <f>IF(base[[#This Row],[L/P Líquido]]&gt;0,1,0)</f>
        <v>0</v>
      </c>
      <c r="P3496" s="1153"/>
      <c r="Q3496" s="1153" t="str">
        <f>LEFT(base[[#This Row],[Evento / Mercado]],FIND("vs",base[[#This Row],[Evento / Mercado]])-2)</f>
        <v>Cruzeiro</v>
      </c>
      <c r="R349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3" t="str">
        <f>LEFT(base[[#This Row],[Evento / Mercado]],FIND("/",base[[#This Row],[Evento / Mercado]])-2)</f>
        <v>Cruzeiro vs Botafogo FR</v>
      </c>
      <c r="T3496" s="1420">
        <f>base[[#This Row],[Data de liquidação]]</f>
        <v>46229.750949074078</v>
      </c>
    </row>
    <row r="3497" spans="2:20" ht="15" customHeight="1">
      <c r="B3497" s="1154" t="s">
        <v>4102</v>
      </c>
      <c r="C3497" s="935" t="s">
        <v>3556</v>
      </c>
      <c r="D3497" s="1404">
        <v>46229.752592592595</v>
      </c>
      <c r="E3497" s="1155">
        <v>29.77</v>
      </c>
      <c r="F3497" s="654">
        <v>4.4999999999999998E-2</v>
      </c>
      <c r="G3497" s="1150">
        <f t="shared" ref="G3497:G3521" si="104">IF(E3497&gt;0,E3497/(1-F3497),E3497)</f>
        <v>31.172774869109947</v>
      </c>
      <c r="H3497" s="1133" t="s">
        <v>3253</v>
      </c>
      <c r="I3497" s="1134" t="s">
        <v>3254</v>
      </c>
      <c r="J3497" s="1150">
        <v>6.4</v>
      </c>
      <c r="K3497" s="1150">
        <v>55.56</v>
      </c>
      <c r="L3497" s="1152">
        <f>INT(base[[#This Row],[Data de liquidação]])</f>
        <v>46229</v>
      </c>
      <c r="M3497" s="1150">
        <f>base[[#This Row],[L/P Bruto]]-base[[#This Row],[L/P Líquido]]</f>
        <v>1.4027748691099475</v>
      </c>
      <c r="N3497" s="1150">
        <f>base[[#This Row],[L/P Líquido]]/base[[#This Row],[Stake/Responsabilidade]]</f>
        <v>0.53581713462922964</v>
      </c>
      <c r="O3497" s="1153">
        <f>IF(base[[#This Row],[L/P Líquido]]&gt;0,1,0)</f>
        <v>1</v>
      </c>
      <c r="P3497" s="1153"/>
      <c r="Q3497" s="1153" t="str">
        <f>LEFT(base[[#This Row],[Evento / Mercado]],FIND("vs",base[[#This Row],[Evento / Mercado]])-2)</f>
        <v>Criciúma EC</v>
      </c>
      <c r="R349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3" t="str">
        <f>LEFT(base[[#This Row],[Evento / Mercado]],FIND("/",base[[#This Row],[Evento / Mercado]])-2)</f>
        <v>Criciúma EC vs Clube Náutico Capibaribe</v>
      </c>
      <c r="T3497" s="1420">
        <f>base[[#This Row],[Data de liquidação]]</f>
        <v>46229.752592592595</v>
      </c>
    </row>
    <row r="3498" spans="2:20" ht="15" customHeight="1">
      <c r="B3498" s="1154" t="s">
        <v>4102</v>
      </c>
      <c r="C3498" s="1109" t="s">
        <v>3555</v>
      </c>
      <c r="D3498" s="1404">
        <v>46229.752592592595</v>
      </c>
      <c r="E3498" s="1155">
        <v>16.559999999999999</v>
      </c>
      <c r="F3498" s="654">
        <v>4.4999999999999998E-2</v>
      </c>
      <c r="G3498" s="1150">
        <f t="shared" si="104"/>
        <v>17.340314136125652</v>
      </c>
      <c r="H3498" s="1053" t="s">
        <v>3817</v>
      </c>
      <c r="I3498" s="1148"/>
      <c r="J3498" s="1150">
        <v>26</v>
      </c>
      <c r="K3498" s="1150">
        <v>500</v>
      </c>
      <c r="L3498" s="1152">
        <f>INT(base[[#This Row],[Data de liquidação]])</f>
        <v>46229</v>
      </c>
      <c r="M3498" s="1150">
        <f>base[[#This Row],[L/P Bruto]]-base[[#This Row],[L/P Líquido]]</f>
        <v>0.78031413612565359</v>
      </c>
      <c r="N3498" s="1150">
        <f>base[[#This Row],[L/P Líquido]]/base[[#This Row],[Stake/Responsabilidade]]</f>
        <v>3.3119999999999997E-2</v>
      </c>
      <c r="O3498" s="1153">
        <f>IF(base[[#This Row],[L/P Líquido]]&gt;0,1,0)</f>
        <v>1</v>
      </c>
      <c r="P3498" s="1153"/>
      <c r="Q3498" s="1153" t="str">
        <f>LEFT(base[[#This Row],[Evento / Mercado]],FIND("vs",base[[#This Row],[Evento / Mercado]])-2)</f>
        <v>Criciúma EC</v>
      </c>
      <c r="R349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3" t="str">
        <f>LEFT(base[[#This Row],[Evento / Mercado]],FIND("/",base[[#This Row],[Evento / Mercado]])-2)</f>
        <v>Criciúma EC vs Clube Náutico Capibaribe</v>
      </c>
      <c r="T3498" s="1420">
        <f>base[[#This Row],[Data de liquidação]]</f>
        <v>46229.752592592595</v>
      </c>
    </row>
    <row r="3499" spans="2:20" ht="15" customHeight="1">
      <c r="B3499" s="1154" t="s">
        <v>4101</v>
      </c>
      <c r="C3499" s="935" t="s">
        <v>3556</v>
      </c>
      <c r="D3499" s="1404">
        <v>46229.75271990741</v>
      </c>
      <c r="E3499" s="1155">
        <v>-98.89</v>
      </c>
      <c r="F3499" s="654">
        <v>4.4999999999999998E-2</v>
      </c>
      <c r="G3499" s="1150">
        <f t="shared" si="104"/>
        <v>-98.89</v>
      </c>
      <c r="H3499" s="938" t="s">
        <v>3253</v>
      </c>
      <c r="I3499" s="939" t="s">
        <v>1555</v>
      </c>
      <c r="J3499" s="1150">
        <v>4.2</v>
      </c>
      <c r="K3499" s="1150">
        <v>300</v>
      </c>
      <c r="L3499" s="1152">
        <f>INT(base[[#This Row],[Data de liquidação]])</f>
        <v>46229</v>
      </c>
      <c r="M3499" s="1150">
        <f>base[[#This Row],[L/P Bruto]]-base[[#This Row],[L/P Líquido]]</f>
        <v>0</v>
      </c>
      <c r="N3499" s="1150">
        <f>base[[#This Row],[L/P Líquido]]/base[[#This Row],[Stake/Responsabilidade]]</f>
        <v>-0.32963333333333333</v>
      </c>
      <c r="O3499" s="1153">
        <f>IF(base[[#This Row],[L/P Líquido]]&gt;0,1,0)</f>
        <v>0</v>
      </c>
      <c r="P3499" s="1153"/>
      <c r="Q3499" s="1153" t="str">
        <f>LEFT(base[[#This Row],[Evento / Mercado]],FIND("vs",base[[#This Row],[Evento / Mercado]])-2)</f>
        <v>Criciúma EC</v>
      </c>
      <c r="R349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3" t="str">
        <f>LEFT(base[[#This Row],[Evento / Mercado]],FIND("/",base[[#This Row],[Evento / Mercado]])-2)</f>
        <v>Criciúma EC vs Clube Náutico Capibaribe</v>
      </c>
      <c r="T3499" s="1420">
        <f>base[[#This Row],[Data de liquidação]]</f>
        <v>46229.75271990741</v>
      </c>
    </row>
    <row r="3500" spans="2:20" ht="15" customHeight="1">
      <c r="B3500" s="1154" t="s">
        <v>4100</v>
      </c>
      <c r="C3500" s="935" t="s">
        <v>3556</v>
      </c>
      <c r="D3500" s="1404">
        <v>46229.754305555558</v>
      </c>
      <c r="E3500" s="1155">
        <v>7.02</v>
      </c>
      <c r="F3500" s="654">
        <v>4.4999999999999998E-2</v>
      </c>
      <c r="G3500" s="1150">
        <f t="shared" si="104"/>
        <v>7.3507853403141361</v>
      </c>
      <c r="H3500" s="1133" t="s">
        <v>3253</v>
      </c>
      <c r="I3500" s="1134" t="s">
        <v>3254</v>
      </c>
      <c r="J3500" s="1150">
        <v>14</v>
      </c>
      <c r="K3500" s="1150">
        <v>23.08</v>
      </c>
      <c r="L3500" s="1152">
        <f>INT(base[[#This Row],[Data de liquidação]])</f>
        <v>46229</v>
      </c>
      <c r="M3500" s="1150">
        <f>base[[#This Row],[L/P Bruto]]-base[[#This Row],[L/P Líquido]]</f>
        <v>0.33078534031413653</v>
      </c>
      <c r="N3500" s="1150">
        <f>base[[#This Row],[L/P Líquido]]/base[[#This Row],[Stake/Responsabilidade]]</f>
        <v>0.30415944540727902</v>
      </c>
      <c r="O3500" s="1153">
        <f>IF(base[[#This Row],[L/P Líquido]]&gt;0,1,0)</f>
        <v>1</v>
      </c>
      <c r="P3500" s="1153"/>
      <c r="Q3500" s="1153" t="str">
        <f>LEFT(base[[#This Row],[Evento / Mercado]],FIND("vs",base[[#This Row],[Evento / Mercado]])-2)</f>
        <v>Fram Reykjavik</v>
      </c>
      <c r="R350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3" t="str">
        <f>LEFT(base[[#This Row],[Evento / Mercado]],FIND("/",base[[#This Row],[Evento / Mercado]])-2)</f>
        <v>Fram Reykjavik vs FH Hafnarfjördur</v>
      </c>
      <c r="T3500" s="1420">
        <f>base[[#This Row],[Data de liquidação]]</f>
        <v>46229.754305555558</v>
      </c>
    </row>
    <row r="3501" spans="2:20" ht="15" customHeight="1">
      <c r="B3501" s="1154" t="s">
        <v>4099</v>
      </c>
      <c r="C3501" s="935" t="s">
        <v>3556</v>
      </c>
      <c r="D3501" s="1404">
        <v>46229.754432870373</v>
      </c>
      <c r="E3501" s="1155">
        <v>-76.150000000000006</v>
      </c>
      <c r="F3501" s="654">
        <v>4.4999999999999998E-2</v>
      </c>
      <c r="G3501" s="1150">
        <f t="shared" si="104"/>
        <v>-76.150000000000006</v>
      </c>
      <c r="H3501" s="938" t="s">
        <v>3253</v>
      </c>
      <c r="I3501" s="939" t="s">
        <v>1555</v>
      </c>
      <c r="J3501" s="1150">
        <v>5.6</v>
      </c>
      <c r="K3501" s="1150">
        <v>300.01</v>
      </c>
      <c r="L3501" s="1152">
        <f>INT(base[[#This Row],[Data de liquidação]])</f>
        <v>46229</v>
      </c>
      <c r="M3501" s="1150">
        <f>base[[#This Row],[L/P Bruto]]-base[[#This Row],[L/P Líquido]]</f>
        <v>0</v>
      </c>
      <c r="N3501" s="1150">
        <f>base[[#This Row],[L/P Líquido]]/base[[#This Row],[Stake/Responsabilidade]]</f>
        <v>-0.2538248725042499</v>
      </c>
      <c r="O3501" s="1153">
        <f>IF(base[[#This Row],[L/P Líquido]]&gt;0,1,0)</f>
        <v>0</v>
      </c>
      <c r="P3501" s="1153"/>
      <c r="Q3501" s="1153" t="str">
        <f>LEFT(base[[#This Row],[Evento / Mercado]],FIND("vs",base[[#This Row],[Evento / Mercado]])-2)</f>
        <v>Fram Reykjavik</v>
      </c>
      <c r="R350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3" t="str">
        <f>LEFT(base[[#This Row],[Evento / Mercado]],FIND("/",base[[#This Row],[Evento / Mercado]])-2)</f>
        <v>Fram Reykjavik vs FH Hafnarfjördur</v>
      </c>
      <c r="T3501" s="1420">
        <f>base[[#This Row],[Data de liquidação]]</f>
        <v>46229.754432870373</v>
      </c>
    </row>
    <row r="3502" spans="2:20" ht="15" customHeight="1">
      <c r="B3502" s="1154" t="s">
        <v>4099</v>
      </c>
      <c r="C3502" s="1109" t="s">
        <v>3555</v>
      </c>
      <c r="D3502" s="1404">
        <v>46229.754432870373</v>
      </c>
      <c r="E3502" s="1155">
        <v>3.2</v>
      </c>
      <c r="F3502" s="654">
        <v>4.4999999999999998E-2</v>
      </c>
      <c r="G3502" s="1150">
        <f t="shared" si="104"/>
        <v>3.3507853403141366</v>
      </c>
      <c r="H3502" s="1147" t="s">
        <v>3330</v>
      </c>
      <c r="I3502" s="1148" t="s">
        <v>3566</v>
      </c>
      <c r="J3502" s="1150">
        <v>5.2</v>
      </c>
      <c r="K3502" s="1150">
        <v>100</v>
      </c>
      <c r="L3502" s="1152">
        <f>INT(base[[#This Row],[Data de liquidação]])</f>
        <v>46229</v>
      </c>
      <c r="M3502" s="1150">
        <f>base[[#This Row],[L/P Bruto]]-base[[#This Row],[L/P Líquido]]</f>
        <v>0.15078534031413637</v>
      </c>
      <c r="N3502" s="1150">
        <f>base[[#This Row],[L/P Líquido]]/base[[#This Row],[Stake/Responsabilidade]]</f>
        <v>3.2000000000000001E-2</v>
      </c>
      <c r="O3502" s="1153">
        <f>IF(base[[#This Row],[L/P Líquido]]&gt;0,1,0)</f>
        <v>1</v>
      </c>
      <c r="P3502" s="1153"/>
      <c r="Q3502" s="1153" t="str">
        <f>LEFT(base[[#This Row],[Evento / Mercado]],FIND("vs",base[[#This Row],[Evento / Mercado]])-2)</f>
        <v>Fram Reykjavik</v>
      </c>
      <c r="R350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3" t="str">
        <f>LEFT(base[[#This Row],[Evento / Mercado]],FIND("/",base[[#This Row],[Evento / Mercado]])-2)</f>
        <v>Fram Reykjavik vs FH Hafnarfjördur</v>
      </c>
      <c r="T3502" s="1420">
        <f>base[[#This Row],[Data de liquidação]]</f>
        <v>46229.754432870373</v>
      </c>
    </row>
    <row r="3503" spans="2:20" ht="15" customHeight="1">
      <c r="B3503" s="1154" t="s">
        <v>4098</v>
      </c>
      <c r="C3503" s="935" t="s">
        <v>3556</v>
      </c>
      <c r="D3503" s="1404">
        <v>46229.823611111111</v>
      </c>
      <c r="E3503" s="1155">
        <v>21.41</v>
      </c>
      <c r="F3503" s="654">
        <v>4.4999999999999998E-2</v>
      </c>
      <c r="G3503" s="1150">
        <f t="shared" si="104"/>
        <v>22.418848167539267</v>
      </c>
      <c r="H3503" s="1150" t="s">
        <v>3334</v>
      </c>
      <c r="I3503" s="1151" t="s">
        <v>694</v>
      </c>
      <c r="J3503" s="1150">
        <v>17.5</v>
      </c>
      <c r="K3503" s="1150">
        <v>369.93</v>
      </c>
      <c r="L3503" s="1152">
        <f>INT(base[[#This Row],[Data de liquidação]])</f>
        <v>46229</v>
      </c>
      <c r="M3503" s="1150">
        <f>base[[#This Row],[L/P Bruto]]-base[[#This Row],[L/P Líquido]]</f>
        <v>1.0088481675392664</v>
      </c>
      <c r="N3503" s="1150">
        <f>base[[#This Row],[L/P Líquido]]/base[[#This Row],[Stake/Responsabilidade]]</f>
        <v>5.7875814343254131E-2</v>
      </c>
      <c r="O3503" s="1153">
        <f>IF(base[[#This Row],[L/P Líquido]]&gt;0,1,0)</f>
        <v>1</v>
      </c>
      <c r="P3503" s="1153"/>
      <c r="Q3503" s="1153" t="str">
        <f>LEFT(base[[#This Row],[Evento / Mercado]],FIND("vs",base[[#This Row],[Evento / Mercado]])-2)</f>
        <v>Orense SC</v>
      </c>
      <c r="R350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3" t="str">
        <f>LEFT(base[[#This Row],[Evento / Mercado]],FIND("/",base[[#This Row],[Evento / Mercado]])-2)</f>
        <v>Orense SC vs Independiente del Valle</v>
      </c>
      <c r="T3503" s="1420">
        <f>base[[#This Row],[Data de liquidação]]</f>
        <v>46229.823611111111</v>
      </c>
    </row>
    <row r="3504" spans="2:20" ht="15" customHeight="1">
      <c r="B3504" s="1154" t="s">
        <v>4097</v>
      </c>
      <c r="C3504" s="935" t="s">
        <v>3556</v>
      </c>
      <c r="D3504" s="1404">
        <v>46229.824479166666</v>
      </c>
      <c r="E3504" s="1155">
        <v>78.19</v>
      </c>
      <c r="F3504" s="654">
        <v>4.4999999999999998E-2</v>
      </c>
      <c r="G3504" s="1150">
        <f t="shared" si="104"/>
        <v>81.874345549738223</v>
      </c>
      <c r="H3504" s="1150" t="s">
        <v>314</v>
      </c>
      <c r="I3504" s="1151" t="s">
        <v>349</v>
      </c>
      <c r="J3504" s="1150">
        <v>1.82</v>
      </c>
      <c r="K3504" s="1150">
        <v>99.85</v>
      </c>
      <c r="L3504" s="1152">
        <f>INT(base[[#This Row],[Data de liquidação]])</f>
        <v>46229</v>
      </c>
      <c r="M3504" s="1150">
        <f>base[[#This Row],[L/P Bruto]]-base[[#This Row],[L/P Líquido]]</f>
        <v>3.6843455497382251</v>
      </c>
      <c r="N3504" s="1150">
        <f>base[[#This Row],[L/P Líquido]]/base[[#This Row],[Stake/Responsabilidade]]</f>
        <v>0.78307461191787686</v>
      </c>
      <c r="O3504" s="1153">
        <f>IF(base[[#This Row],[L/P Líquido]]&gt;0,1,0)</f>
        <v>1</v>
      </c>
      <c r="P3504" s="1153"/>
      <c r="Q3504" s="1153" t="str">
        <f>LEFT(base[[#This Row],[Evento / Mercado]],FIND("vs",base[[#This Row],[Evento / Mercado]])-2)</f>
        <v>Audax Italiano</v>
      </c>
      <c r="R350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3" t="str">
        <f>LEFT(base[[#This Row],[Evento / Mercado]],FIND("/",base[[#This Row],[Evento / Mercado]])-2)</f>
        <v>Audax Italiano vs Universidad de Chile</v>
      </c>
      <c r="T3504" s="1420">
        <f>base[[#This Row],[Data de liquidação]]</f>
        <v>46229.824479166666</v>
      </c>
    </row>
    <row r="3505" spans="2:22" ht="15" customHeight="1">
      <c r="B3505" s="1154" t="s">
        <v>4096</v>
      </c>
      <c r="C3505" s="935" t="s">
        <v>3556</v>
      </c>
      <c r="D3505" s="1404">
        <v>46229.852916666663</v>
      </c>
      <c r="E3505" s="1155">
        <v>-29.26</v>
      </c>
      <c r="F3505" s="654">
        <v>4.4999999999999998E-2</v>
      </c>
      <c r="G3505" s="1150">
        <f t="shared" si="104"/>
        <v>-29.26</v>
      </c>
      <c r="H3505" s="1053" t="s">
        <v>3817</v>
      </c>
      <c r="I3505" s="1151"/>
      <c r="J3505" s="1150">
        <f>(183.6*20+21*316.4)/base[[#This Row],[Stake/Responsabilidade]]</f>
        <v>20.6328</v>
      </c>
      <c r="K3505" s="1150">
        <f>183.6+316.4</f>
        <v>500</v>
      </c>
      <c r="L3505" s="1152">
        <f>INT(base[[#This Row],[Data de liquidação]])</f>
        <v>46229</v>
      </c>
      <c r="M3505" s="1150">
        <f>base[[#This Row],[L/P Bruto]]-base[[#This Row],[L/P Líquido]]</f>
        <v>0</v>
      </c>
      <c r="N3505" s="1150">
        <f>base[[#This Row],[L/P Líquido]]/base[[#This Row],[Stake/Responsabilidade]]</f>
        <v>-5.8520000000000003E-2</v>
      </c>
      <c r="O3505" s="1153">
        <f>IF(base[[#This Row],[L/P Líquido]]&gt;0,1,0)</f>
        <v>0</v>
      </c>
      <c r="P3505" s="1153"/>
      <c r="Q3505" s="1153" t="str">
        <f>LEFT(base[[#This Row],[Evento / Mercado]],FIND("vs",base[[#This Row],[Evento / Mercado]])-2)</f>
        <v>Londrina</v>
      </c>
      <c r="R350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3" t="str">
        <f>LEFT(base[[#This Row],[Evento / Mercado]],FIND("/",base[[#This Row],[Evento / Mercado]])-2)</f>
        <v>Londrina vs Gremio Novorizontino</v>
      </c>
      <c r="T3505" s="1420">
        <f>base[[#This Row],[Data de liquidação]]</f>
        <v>46229.852916666663</v>
      </c>
    </row>
    <row r="3506" spans="2:22" ht="15" customHeight="1">
      <c r="B3506" s="1154" t="s">
        <v>4095</v>
      </c>
      <c r="C3506" s="935" t="s">
        <v>3556</v>
      </c>
      <c r="D3506" s="1404">
        <v>46229.854710648149</v>
      </c>
      <c r="E3506" s="1155">
        <v>9.74</v>
      </c>
      <c r="F3506" s="654">
        <v>4.4999999999999998E-2</v>
      </c>
      <c r="G3506" s="1150">
        <f t="shared" si="104"/>
        <v>10.198952879581153</v>
      </c>
      <c r="H3506" s="1113" t="s">
        <v>3922</v>
      </c>
      <c r="I3506" s="1151"/>
      <c r="J3506" s="1150">
        <v>50</v>
      </c>
      <c r="K3506" s="1150">
        <v>499.8</v>
      </c>
      <c r="L3506" s="1152">
        <f>INT(base[[#This Row],[Data de liquidação]])</f>
        <v>46229</v>
      </c>
      <c r="M3506" s="1150">
        <f>base[[#This Row],[L/P Bruto]]-base[[#This Row],[L/P Líquido]]</f>
        <v>0.45895287958115283</v>
      </c>
      <c r="N3506" s="1150">
        <f>base[[#This Row],[L/P Líquido]]/base[[#This Row],[Stake/Responsabilidade]]</f>
        <v>1.948779511804722E-2</v>
      </c>
      <c r="O3506" s="1153">
        <f>IF(base[[#This Row],[L/P Líquido]]&gt;0,1,0)</f>
        <v>1</v>
      </c>
      <c r="P3506" s="1153"/>
      <c r="Q3506" s="1153" t="str">
        <f>LEFT(base[[#This Row],[Evento / Mercado]],FIND("vs",base[[#This Row],[Evento / Mercado]])-2)</f>
        <v>América-MG</v>
      </c>
      <c r="R350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3" t="str">
        <f>LEFT(base[[#This Row],[Evento / Mercado]],FIND("/",base[[#This Row],[Evento / Mercado]])-2)</f>
        <v>América-MG vs Goiás EC</v>
      </c>
      <c r="T3506" s="1420">
        <f>base[[#This Row],[Data de liquidação]]</f>
        <v>46229.854710648149</v>
      </c>
    </row>
    <row r="3507" spans="2:22" ht="15" customHeight="1">
      <c r="B3507" s="1154" t="s">
        <v>4093</v>
      </c>
      <c r="C3507" s="1154" t="s">
        <v>3554</v>
      </c>
      <c r="D3507" s="1404">
        <v>46229.855555555558</v>
      </c>
      <c r="E3507" s="1155">
        <v>-299.99</v>
      </c>
      <c r="F3507" s="654">
        <v>4.4999999999999998E-2</v>
      </c>
      <c r="G3507" s="1150">
        <f t="shared" si="104"/>
        <v>-299.99</v>
      </c>
      <c r="H3507" s="938" t="s">
        <v>3253</v>
      </c>
      <c r="I3507" s="939" t="s">
        <v>1555</v>
      </c>
      <c r="J3507" s="1150">
        <v>4.5999999999999996</v>
      </c>
      <c r="K3507" s="1150">
        <v>299.99</v>
      </c>
      <c r="L3507" s="1152">
        <f>INT(base[[#This Row],[Data de liquidação]])</f>
        <v>46229</v>
      </c>
      <c r="M3507" s="1150">
        <f>base[[#This Row],[L/P Bruto]]-base[[#This Row],[L/P Líquido]]</f>
        <v>0</v>
      </c>
      <c r="N3507" s="1150">
        <f>base[[#This Row],[L/P Líquido]]/base[[#This Row],[Stake/Responsabilidade]]</f>
        <v>-1</v>
      </c>
      <c r="O3507" s="1153">
        <f>IF(base[[#This Row],[L/P Líquido]]&gt;0,1,0)</f>
        <v>0</v>
      </c>
      <c r="P3507" s="1153"/>
      <c r="Q3507" s="1153" t="str">
        <f>LEFT(base[[#This Row],[Evento / Mercado]],FIND("vs",base[[#This Row],[Evento / Mercado]])-2)</f>
        <v>Flamengo</v>
      </c>
      <c r="R350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3" t="str">
        <f>LEFT(base[[#This Row],[Evento / Mercado]],FIND("/",base[[#This Row],[Evento / Mercado]])-2)</f>
        <v>Flamengo vs São Paulo</v>
      </c>
      <c r="T3507" s="1420">
        <f>base[[#This Row],[Data de liquidação]]</f>
        <v>46229.855555555558</v>
      </c>
    </row>
    <row r="3508" spans="2:22" ht="15" customHeight="1">
      <c r="B3508" s="1154" t="s">
        <v>4094</v>
      </c>
      <c r="C3508" s="1154" t="s">
        <v>3554</v>
      </c>
      <c r="D3508" s="1404">
        <v>46229.855555555558</v>
      </c>
      <c r="E3508" s="1155">
        <v>286.47000000000003</v>
      </c>
      <c r="F3508" s="654">
        <v>4.4999999999999998E-2</v>
      </c>
      <c r="G3508" s="1150">
        <f t="shared" si="104"/>
        <v>299.96858638743458</v>
      </c>
      <c r="H3508" s="938" t="s">
        <v>3253</v>
      </c>
      <c r="I3508" s="939" t="s">
        <v>3254</v>
      </c>
      <c r="J3508" s="1150">
        <v>9.4</v>
      </c>
      <c r="K3508" s="1150">
        <v>35.71</v>
      </c>
      <c r="L3508" s="1152">
        <f>INT(base[[#This Row],[Data de liquidação]])</f>
        <v>46229</v>
      </c>
      <c r="M3508" s="1150">
        <f>base[[#This Row],[L/P Bruto]]-base[[#This Row],[L/P Líquido]]</f>
        <v>13.498586387434557</v>
      </c>
      <c r="N3508" s="1150">
        <f>base[[#This Row],[L/P Líquido]]/base[[#This Row],[Stake/Responsabilidade]]</f>
        <v>8.0221226547185669</v>
      </c>
      <c r="O3508" s="1153">
        <f>IF(base[[#This Row],[L/P Líquido]]&gt;0,1,0)</f>
        <v>1</v>
      </c>
      <c r="P3508" s="1153"/>
      <c r="Q3508" s="1153" t="str">
        <f>LEFT(base[[#This Row],[Evento / Mercado]],FIND("vs",base[[#This Row],[Evento / Mercado]])-2)</f>
        <v>Flamengo</v>
      </c>
      <c r="R350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3" t="str">
        <f>LEFT(base[[#This Row],[Evento / Mercado]],FIND("/",base[[#This Row],[Evento / Mercado]])-2)</f>
        <v>Flamengo vs São Paulo</v>
      </c>
      <c r="T3508" s="1420">
        <f>base[[#This Row],[Data de liquidação]]</f>
        <v>46229.855555555558</v>
      </c>
    </row>
    <row r="3509" spans="2:22" ht="15" customHeight="1">
      <c r="B3509" s="1154" t="s">
        <v>4094</v>
      </c>
      <c r="C3509" s="1109" t="s">
        <v>3555</v>
      </c>
      <c r="D3509" s="1404">
        <v>46229.855706018519</v>
      </c>
      <c r="E3509" s="1155">
        <v>14.98</v>
      </c>
      <c r="F3509" s="654">
        <v>4.4999999999999998E-2</v>
      </c>
      <c r="G3509" s="1150">
        <f t="shared" si="104"/>
        <v>15.68586387434555</v>
      </c>
      <c r="H3509" s="1053" t="s">
        <v>3817</v>
      </c>
      <c r="I3509" s="1148"/>
      <c r="J3509" s="1150">
        <v>24</v>
      </c>
      <c r="K3509" s="1150">
        <v>500.02</v>
      </c>
      <c r="L3509" s="1152">
        <f>INT(base[[#This Row],[Data de liquidação]])</f>
        <v>46229</v>
      </c>
      <c r="M3509" s="1150">
        <f>base[[#This Row],[L/P Bruto]]-base[[#This Row],[L/P Líquido]]</f>
        <v>0.70586387434554965</v>
      </c>
      <c r="N3509" s="1150">
        <f>base[[#This Row],[L/P Líquido]]/base[[#This Row],[Stake/Responsabilidade]]</f>
        <v>2.9958801647934085E-2</v>
      </c>
      <c r="O3509" s="1153">
        <f>IF(base[[#This Row],[L/P Líquido]]&gt;0,1,0)</f>
        <v>1</v>
      </c>
      <c r="P3509" s="1153"/>
      <c r="Q3509" s="1153" t="str">
        <f>LEFT(base[[#This Row],[Evento / Mercado]],FIND("vs",base[[#This Row],[Evento / Mercado]])-2)</f>
        <v>Flamengo</v>
      </c>
      <c r="R350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3" t="str">
        <f>LEFT(base[[#This Row],[Evento / Mercado]],FIND("/",base[[#This Row],[Evento / Mercado]])-2)</f>
        <v>Flamengo vs São Paulo</v>
      </c>
      <c r="T3509" s="1420">
        <f>base[[#This Row],[Data de liquidação]]</f>
        <v>46229.855706018519</v>
      </c>
    </row>
    <row r="3510" spans="2:22" ht="15" customHeight="1">
      <c r="B3510" s="1154" t="s">
        <v>4094</v>
      </c>
      <c r="C3510" s="935" t="s">
        <v>3556</v>
      </c>
      <c r="D3510" s="1404">
        <v>46229.855717592596</v>
      </c>
      <c r="E3510" s="1155">
        <v>13.790199999999999</v>
      </c>
      <c r="F3510" s="654">
        <v>4.4999999999999998E-2</v>
      </c>
      <c r="G3510" s="1150">
        <f t="shared" si="104"/>
        <v>14.44</v>
      </c>
      <c r="H3510" s="1150" t="s">
        <v>3334</v>
      </c>
      <c r="I3510" s="1151" t="s">
        <v>627</v>
      </c>
      <c r="J3510" s="1150">
        <v>28</v>
      </c>
      <c r="K3510" s="1150">
        <v>389.88</v>
      </c>
      <c r="L3510" s="1152">
        <f>INT(base[[#This Row],[Data de liquidação]])</f>
        <v>46229</v>
      </c>
      <c r="M3510" s="1150">
        <f>base[[#This Row],[L/P Bruto]]-base[[#This Row],[L/P Líquido]]</f>
        <v>0.64980000000000082</v>
      </c>
      <c r="N3510" s="1150">
        <f>base[[#This Row],[L/P Líquido]]/base[[#This Row],[Stake/Responsabilidade]]</f>
        <v>3.5370370370370365E-2</v>
      </c>
      <c r="O3510" s="1153">
        <f>IF(base[[#This Row],[L/P Líquido]]&gt;0,1,0)</f>
        <v>1</v>
      </c>
      <c r="P3510" s="1153"/>
      <c r="Q3510" s="1153" t="str">
        <f>LEFT(base[[#This Row],[Evento / Mercado]],FIND("vs",base[[#This Row],[Evento / Mercado]])-2)</f>
        <v>Flamengo</v>
      </c>
      <c r="R351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3" t="str">
        <f>LEFT(base[[#This Row],[Evento / Mercado]],FIND("/",base[[#This Row],[Evento / Mercado]])-2)</f>
        <v>Flamengo vs São Paulo</v>
      </c>
      <c r="T3510" s="142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154" t="s">
        <v>4094</v>
      </c>
      <c r="C3511" s="935" t="s">
        <v>3556</v>
      </c>
      <c r="D3511" s="1404">
        <v>46229.855717592596</v>
      </c>
      <c r="E3511" s="1155">
        <v>28.65</v>
      </c>
      <c r="F3511" s="654">
        <v>4.4999999999999998E-2</v>
      </c>
      <c r="G3511" s="1150">
        <f t="shared" ref="G3511" si="106">IF(E3511&gt;0,E3511/(1-F3511),E3511)</f>
        <v>30</v>
      </c>
      <c r="H3511" s="1150" t="s">
        <v>3271</v>
      </c>
      <c r="I3511" s="1151" t="s">
        <v>627</v>
      </c>
      <c r="J3511" s="1150">
        <v>11</v>
      </c>
      <c r="K3511" s="1150">
        <v>300</v>
      </c>
      <c r="L3511" s="1152">
        <f>INT(base[[#This Row],[Data de liquidação]])</f>
        <v>46229</v>
      </c>
      <c r="M3511" s="1150">
        <f>base[[#This Row],[L/P Bruto]]-base[[#This Row],[L/P Líquido]]</f>
        <v>1.3500000000000014</v>
      </c>
      <c r="N3511" s="1150">
        <f>base[[#This Row],[L/P Líquido]]/base[[#This Row],[Stake/Responsabilidade]]</f>
        <v>9.5500000000000002E-2</v>
      </c>
      <c r="O3511" s="1153">
        <f>IF(base[[#This Row],[L/P Líquido]]&gt;0,1,0)</f>
        <v>1</v>
      </c>
      <c r="P3511" s="1153"/>
      <c r="Q3511" s="1153" t="str">
        <f>LEFT(base[[#This Row],[Evento / Mercado]],FIND("vs",base[[#This Row],[Evento / Mercado]])-2)</f>
        <v>Flamengo</v>
      </c>
      <c r="R351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3" t="str">
        <f>LEFT(base[[#This Row],[Evento / Mercado]],FIND("/",base[[#This Row],[Evento / Mercado]])-2)</f>
        <v>Flamengo vs São Paulo</v>
      </c>
      <c r="T3511" s="142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154" t="s">
        <v>4093</v>
      </c>
      <c r="C3512" s="935" t="s">
        <v>3556</v>
      </c>
      <c r="D3512" s="1404">
        <v>46229.855856481481</v>
      </c>
      <c r="E3512" s="1155">
        <v>47.75</v>
      </c>
      <c r="F3512" s="654">
        <v>4.4999999999999998E-2</v>
      </c>
      <c r="G3512" s="1150">
        <f t="shared" si="104"/>
        <v>50</v>
      </c>
      <c r="H3512" s="1150" t="s">
        <v>179</v>
      </c>
      <c r="I3512" s="1151" t="s">
        <v>392</v>
      </c>
      <c r="J3512" s="1150">
        <v>8.8000000000000007</v>
      </c>
      <c r="K3512" s="1150">
        <v>390</v>
      </c>
      <c r="L3512" s="1152">
        <f>INT(base[[#This Row],[Data de liquidação]])</f>
        <v>46229</v>
      </c>
      <c r="M3512" s="1150">
        <f>base[[#This Row],[L/P Bruto]]-base[[#This Row],[L/P Líquido]]</f>
        <v>2.25</v>
      </c>
      <c r="N3512" s="1150">
        <f>base[[#This Row],[L/P Líquido]]/base[[#This Row],[Stake/Responsabilidade]]</f>
        <v>0.12243589743589743</v>
      </c>
      <c r="O3512" s="1153">
        <f>IF(base[[#This Row],[L/P Líquido]]&gt;0,1,0)</f>
        <v>1</v>
      </c>
      <c r="P3512" s="1153"/>
      <c r="Q3512" s="1153" t="str">
        <f>LEFT(base[[#This Row],[Evento / Mercado]],FIND("vs",base[[#This Row],[Evento / Mercado]])-2)</f>
        <v>Flamengo</v>
      </c>
      <c r="R351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3" t="str">
        <f>LEFT(base[[#This Row],[Evento / Mercado]],FIND("/",base[[#This Row],[Evento / Mercado]])-2)</f>
        <v>Flamengo vs São Paulo</v>
      </c>
      <c r="T3512" s="1420">
        <f>base[[#This Row],[Data de liquidação]]</f>
        <v>46229.855856481481</v>
      </c>
    </row>
    <row r="3513" spans="2:22" ht="15" customHeight="1">
      <c r="B3513" s="1154" t="s">
        <v>4093</v>
      </c>
      <c r="C3513" s="1109" t="s">
        <v>3555</v>
      </c>
      <c r="D3513" s="1404">
        <v>46229.855856481481</v>
      </c>
      <c r="E3513" s="1155">
        <v>9.74</v>
      </c>
      <c r="F3513" s="654">
        <v>4.4999999999999998E-2</v>
      </c>
      <c r="G3513" s="1150">
        <f t="shared" si="104"/>
        <v>10.198952879581153</v>
      </c>
      <c r="H3513" s="1147" t="s">
        <v>3330</v>
      </c>
      <c r="I3513" s="1148" t="s">
        <v>3566</v>
      </c>
      <c r="J3513" s="1150">
        <v>8.6</v>
      </c>
      <c r="K3513" s="1150">
        <v>100.02</v>
      </c>
      <c r="L3513" s="1152">
        <f>INT(base[[#This Row],[Data de liquidação]])</f>
        <v>46229</v>
      </c>
      <c r="M3513" s="1150">
        <f>base[[#This Row],[L/P Bruto]]-base[[#This Row],[L/P Líquido]]</f>
        <v>0.45895287958115283</v>
      </c>
      <c r="N3513" s="1150">
        <f>base[[#This Row],[L/P Líquido]]/base[[#This Row],[Stake/Responsabilidade]]</f>
        <v>9.7380523895220963E-2</v>
      </c>
      <c r="O3513" s="1153">
        <f>IF(base[[#This Row],[L/P Líquido]]&gt;0,1,0)</f>
        <v>1</v>
      </c>
      <c r="P3513" s="1153"/>
      <c r="Q3513" s="1153" t="str">
        <f>LEFT(base[[#This Row],[Evento / Mercado]],FIND("vs",base[[#This Row],[Evento / Mercado]])-2)</f>
        <v>Flamengo</v>
      </c>
      <c r="R351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3" t="str">
        <f>LEFT(base[[#This Row],[Evento / Mercado]],FIND("/",base[[#This Row],[Evento / Mercado]])-2)</f>
        <v>Flamengo vs São Paulo</v>
      </c>
      <c r="T3513" s="1420">
        <f>base[[#This Row],[Data de liquidação]]</f>
        <v>46229.855856481481</v>
      </c>
    </row>
    <row r="3514" spans="2:22" ht="15" customHeight="1">
      <c r="B3514" s="1154" t="s">
        <v>4092</v>
      </c>
      <c r="C3514" s="1154" t="s">
        <v>3554</v>
      </c>
      <c r="D3514" s="1404">
        <v>46229.892361111109</v>
      </c>
      <c r="E3514" s="1155">
        <v>-100</v>
      </c>
      <c r="F3514" s="654">
        <v>4.4999999999999998E-2</v>
      </c>
      <c r="G3514" s="1150">
        <f t="shared" si="104"/>
        <v>-100</v>
      </c>
      <c r="H3514" s="1150" t="s">
        <v>3209</v>
      </c>
      <c r="I3514" s="1151" t="s">
        <v>3210</v>
      </c>
      <c r="J3514" s="1150"/>
      <c r="K3514" s="1150">
        <v>100</v>
      </c>
      <c r="L3514" s="1152">
        <f>INT(base[[#This Row],[Data de liquidação]])</f>
        <v>46229</v>
      </c>
      <c r="M3514" s="1150">
        <f>base[[#This Row],[L/P Bruto]]-base[[#This Row],[L/P Líquido]]</f>
        <v>0</v>
      </c>
      <c r="N3514" s="1150">
        <f>base[[#This Row],[L/P Líquido]]/base[[#This Row],[Stake/Responsabilidade]]</f>
        <v>-1</v>
      </c>
      <c r="O3514" s="1153">
        <f>IF(base[[#This Row],[L/P Líquido]]&gt;0,1,0)</f>
        <v>0</v>
      </c>
      <c r="P3514" s="1153"/>
      <c r="Q3514" s="1153" t="str">
        <f>LEFT(base[[#This Row],[Evento / Mercado]],FIND("vs",base[[#This Row],[Evento / Mercado]])-2)</f>
        <v>Palmeiras</v>
      </c>
      <c r="R351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3" t="str">
        <f>LEFT(base[[#This Row],[Evento / Mercado]],FIND("/",base[[#This Row],[Evento / Mercado]])-2)</f>
        <v>Palmeiras vs Atlético Mineiro</v>
      </c>
      <c r="T3514" s="1420">
        <f>base[[#This Row],[Data de liquidação]]</f>
        <v>46229.892361111109</v>
      </c>
    </row>
    <row r="3515" spans="2:22" ht="15" customHeight="1">
      <c r="B3515" s="1154" t="s">
        <v>4092</v>
      </c>
      <c r="C3515" s="935" t="s">
        <v>3556</v>
      </c>
      <c r="D3515" s="1404">
        <v>46229.89267361111</v>
      </c>
      <c r="E3515" s="1155">
        <v>-41.67</v>
      </c>
      <c r="F3515" s="654">
        <v>4.4999999999999998E-2</v>
      </c>
      <c r="G3515" s="1150">
        <f t="shared" si="104"/>
        <v>-41.67</v>
      </c>
      <c r="H3515" s="1133" t="s">
        <v>3253</v>
      </c>
      <c r="I3515" s="1134" t="s">
        <v>3254</v>
      </c>
      <c r="J3515" s="1150">
        <v>8.1999999999999993</v>
      </c>
      <c r="K3515" s="1150">
        <v>41.67</v>
      </c>
      <c r="L3515" s="1152">
        <f>INT(base[[#This Row],[Data de liquidação]])</f>
        <v>46229</v>
      </c>
      <c r="M3515" s="1150">
        <f>base[[#This Row],[L/P Bruto]]-base[[#This Row],[L/P Líquido]]</f>
        <v>0</v>
      </c>
      <c r="N3515" s="1150">
        <f>base[[#This Row],[L/P Líquido]]/base[[#This Row],[Stake/Responsabilidade]]</f>
        <v>-1</v>
      </c>
      <c r="O3515" s="1153">
        <f>IF(base[[#This Row],[L/P Líquido]]&gt;0,1,0)</f>
        <v>0</v>
      </c>
      <c r="P3515" s="1153"/>
      <c r="Q3515" s="1153" t="str">
        <f>LEFT(base[[#This Row],[Evento / Mercado]],FIND("vs",base[[#This Row],[Evento / Mercado]])-2)</f>
        <v>Palmeiras</v>
      </c>
      <c r="R351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3" t="str">
        <f>LEFT(base[[#This Row],[Evento / Mercado]],FIND("/",base[[#This Row],[Evento / Mercado]])-2)</f>
        <v>Palmeiras vs Atlético Mineiro</v>
      </c>
      <c r="T3515" s="1420">
        <f>base[[#This Row],[Data de liquidação]]</f>
        <v>46229.89267361111</v>
      </c>
    </row>
    <row r="3516" spans="2:22" ht="15" customHeight="1">
      <c r="B3516" s="1154" t="s">
        <v>4092</v>
      </c>
      <c r="C3516" s="1109" t="s">
        <v>3555</v>
      </c>
      <c r="D3516" s="1404">
        <v>46229.89267361111</v>
      </c>
      <c r="E3516" s="1155">
        <v>22.24</v>
      </c>
      <c r="F3516" s="654">
        <v>4.4999999999999998E-2</v>
      </c>
      <c r="G3516" s="1150">
        <f t="shared" si="104"/>
        <v>23.287958115183244</v>
      </c>
      <c r="H3516" s="1150" t="s">
        <v>3271</v>
      </c>
      <c r="I3516" s="1151" t="s">
        <v>627</v>
      </c>
      <c r="J3516" s="1150">
        <f>(15*22.26+15.5*308.71)/base[[#This Row],[Stake/Responsabilidade]]</f>
        <v>15.466371574462944</v>
      </c>
      <c r="K3516" s="1150">
        <f>22.26+308.71</f>
        <v>330.96999999999997</v>
      </c>
      <c r="L3516" s="1152">
        <f>INT(base[[#This Row],[Data de liquidação]])</f>
        <v>46229</v>
      </c>
      <c r="M3516" s="1150">
        <f>base[[#This Row],[L/P Bruto]]-base[[#This Row],[L/P Líquido]]</f>
        <v>1.0479581151832456</v>
      </c>
      <c r="N3516" s="1150">
        <f>base[[#This Row],[L/P Líquido]]/base[[#This Row],[Stake/Responsabilidade]]</f>
        <v>6.7196422636492739E-2</v>
      </c>
      <c r="O3516" s="1153">
        <f>IF(base[[#This Row],[L/P Líquido]]&gt;0,1,0)</f>
        <v>1</v>
      </c>
      <c r="P3516" s="1153"/>
      <c r="Q3516" s="1153" t="str">
        <f>LEFT(base[[#This Row],[Evento / Mercado]],FIND("vs",base[[#This Row],[Evento / Mercado]])-2)</f>
        <v>Palmeiras</v>
      </c>
      <c r="R351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3" t="str">
        <f>LEFT(base[[#This Row],[Evento / Mercado]],FIND("/",base[[#This Row],[Evento / Mercado]])-2)</f>
        <v>Palmeiras vs Atlético Mineiro</v>
      </c>
      <c r="T3516" s="1420">
        <f>base[[#This Row],[Data de liquidação]]</f>
        <v>46229.89267361111</v>
      </c>
    </row>
    <row r="3517" spans="2:22" ht="15" customHeight="1">
      <c r="B3517" s="1154" t="s">
        <v>4091</v>
      </c>
      <c r="C3517" s="935" t="s">
        <v>3556</v>
      </c>
      <c r="D3517" s="1404">
        <v>46229.892812500002</v>
      </c>
      <c r="E3517" s="1155">
        <v>-9.7899999999999991</v>
      </c>
      <c r="F3517" s="654">
        <v>4.4999999999999998E-2</v>
      </c>
      <c r="G3517" s="1150">
        <f t="shared" si="104"/>
        <v>-9.7899999999999991</v>
      </c>
      <c r="H3517" s="938" t="s">
        <v>3253</v>
      </c>
      <c r="I3517" s="939" t="s">
        <v>1555</v>
      </c>
      <c r="J3517" s="1150">
        <v>3.95</v>
      </c>
      <c r="K3517" s="1150">
        <v>299.99</v>
      </c>
      <c r="L3517" s="1152">
        <f>INT(base[[#This Row],[Data de liquidação]])</f>
        <v>46229</v>
      </c>
      <c r="M3517" s="1150">
        <f>base[[#This Row],[L/P Bruto]]-base[[#This Row],[L/P Líquido]]</f>
        <v>0</v>
      </c>
      <c r="N3517" s="1150">
        <f>base[[#This Row],[L/P Líquido]]/base[[#This Row],[Stake/Responsabilidade]]</f>
        <v>-3.2634421147371577E-2</v>
      </c>
      <c r="O3517" s="1153">
        <f>IF(base[[#This Row],[L/P Líquido]]&gt;0,1,0)</f>
        <v>0</v>
      </c>
      <c r="P3517" s="1153"/>
      <c r="Q3517" s="1153" t="str">
        <f>LEFT(base[[#This Row],[Evento / Mercado]],FIND("vs",base[[#This Row],[Evento / Mercado]])-2)</f>
        <v>Palmeiras</v>
      </c>
      <c r="R351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3" t="str">
        <f>LEFT(base[[#This Row],[Evento / Mercado]],FIND("/",base[[#This Row],[Evento / Mercado]])-2)</f>
        <v>Palmeiras vs Atlético Mineiro</v>
      </c>
      <c r="T3517" s="1420">
        <f>base[[#This Row],[Data de liquidação]]</f>
        <v>46229.892812500002</v>
      </c>
    </row>
    <row r="3518" spans="2:22" ht="15" customHeight="1">
      <c r="B3518" s="1154" t="s">
        <v>4091</v>
      </c>
      <c r="C3518" s="1109" t="s">
        <v>3555</v>
      </c>
      <c r="D3518" s="1404">
        <v>46229.892812500002</v>
      </c>
      <c r="E3518" s="1155">
        <v>-200</v>
      </c>
      <c r="F3518" s="654">
        <v>4.4999999999999998E-2</v>
      </c>
      <c r="G3518" s="1150">
        <f t="shared" si="104"/>
        <v>-200</v>
      </c>
      <c r="H3518" s="1147" t="s">
        <v>3330</v>
      </c>
      <c r="I3518" s="1148" t="s">
        <v>3566</v>
      </c>
      <c r="J3518" s="1150">
        <f>(6.8+2.12)/2</f>
        <v>4.46</v>
      </c>
      <c r="K3518" s="1150">
        <v>200</v>
      </c>
      <c r="L3518" s="1152">
        <f>INT(base[[#This Row],[Data de liquidação]])</f>
        <v>46229</v>
      </c>
      <c r="M3518" s="1150">
        <f>base[[#This Row],[L/P Bruto]]-base[[#This Row],[L/P Líquido]]</f>
        <v>0</v>
      </c>
      <c r="N3518" s="1150">
        <f>base[[#This Row],[L/P Líquido]]/base[[#This Row],[Stake/Responsabilidade]]</f>
        <v>-1</v>
      </c>
      <c r="O3518" s="1153">
        <f>IF(base[[#This Row],[L/P Líquido]]&gt;0,1,0)</f>
        <v>0</v>
      </c>
      <c r="P3518" s="1153"/>
      <c r="Q3518" s="1153" t="str">
        <f>LEFT(base[[#This Row],[Evento / Mercado]],FIND("vs",base[[#This Row],[Evento / Mercado]])-2)</f>
        <v>Palmeiras</v>
      </c>
      <c r="R351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3" t="str">
        <f>LEFT(base[[#This Row],[Evento / Mercado]],FIND("/",base[[#This Row],[Evento / Mercado]])-2)</f>
        <v>Palmeiras vs Atlético Mineiro</v>
      </c>
      <c r="T3518" s="1420">
        <f>base[[#This Row],[Data de liquidação]]</f>
        <v>46229.892812500002</v>
      </c>
    </row>
    <row r="3519" spans="2:22" ht="15" customHeight="1">
      <c r="B3519" s="1154" t="s">
        <v>4090</v>
      </c>
      <c r="C3519" s="935" t="s">
        <v>3556</v>
      </c>
      <c r="D3519" s="1404">
        <v>46229.892916666664</v>
      </c>
      <c r="E3519" s="1155">
        <v>-22.95</v>
      </c>
      <c r="F3519" s="654">
        <v>4.4999999999999998E-2</v>
      </c>
      <c r="G3519" s="1150">
        <f t="shared" si="104"/>
        <v>-22.95</v>
      </c>
      <c r="H3519" s="1113" t="s">
        <v>3922</v>
      </c>
      <c r="I3519" s="1151"/>
      <c r="J3519" s="1150">
        <v>24</v>
      </c>
      <c r="K3519" s="1150">
        <v>500.02</v>
      </c>
      <c r="L3519" s="1152">
        <f>INT(base[[#This Row],[Data de liquidação]])</f>
        <v>46229</v>
      </c>
      <c r="M3519" s="1150">
        <f>base[[#This Row],[L/P Bruto]]-base[[#This Row],[L/P Líquido]]</f>
        <v>0</v>
      </c>
      <c r="N3519" s="1150">
        <f>base[[#This Row],[L/P Líquido]]/base[[#This Row],[Stake/Responsabilidade]]</f>
        <v>-4.589816407343706E-2</v>
      </c>
      <c r="O3519" s="1153">
        <f>IF(base[[#This Row],[L/P Líquido]]&gt;0,1,0)</f>
        <v>0</v>
      </c>
      <c r="P3519" s="1153"/>
      <c r="Q3519" s="1153" t="str">
        <f>LEFT(base[[#This Row],[Evento / Mercado]],FIND("vs",base[[#This Row],[Evento / Mercado]])-2)</f>
        <v>Clube do Remo</v>
      </c>
      <c r="R351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3" t="str">
        <f>LEFT(base[[#This Row],[Evento / Mercado]],FIND("/",base[[#This Row],[Evento / Mercado]])-2)</f>
        <v>Clube do Remo vs EC Vitória</v>
      </c>
      <c r="T3519" s="1420">
        <f>base[[#This Row],[Data de liquidação]]</f>
        <v>46229.892916666664</v>
      </c>
    </row>
    <row r="3520" spans="2:22" ht="15" customHeight="1">
      <c r="B3520" s="1154" t="s">
        <v>4089</v>
      </c>
      <c r="C3520" s="935" t="s">
        <v>3556</v>
      </c>
      <c r="D3520" s="1404">
        <v>46229.921064814815</v>
      </c>
      <c r="E3520" s="1155">
        <v>19.89</v>
      </c>
      <c r="F3520" s="654">
        <v>4.4999999999999998E-2</v>
      </c>
      <c r="G3520" s="1150">
        <f t="shared" si="104"/>
        <v>20.827225130890053</v>
      </c>
      <c r="H3520" s="1113" t="s">
        <v>3922</v>
      </c>
      <c r="I3520" s="1151"/>
      <c r="J3520" s="1150">
        <v>25</v>
      </c>
      <c r="K3520" s="1150">
        <v>499.92</v>
      </c>
      <c r="L3520" s="1152">
        <f>INT(base[[#This Row],[Data de liquidação]])</f>
        <v>46229</v>
      </c>
      <c r="M3520" s="1150">
        <f>base[[#This Row],[L/P Bruto]]-base[[#This Row],[L/P Líquido]]</f>
        <v>0.93722513089005233</v>
      </c>
      <c r="N3520" s="1150">
        <f>base[[#This Row],[L/P Líquido]]/base[[#This Row],[Stake/Responsabilidade]]</f>
        <v>3.9786365818530962E-2</v>
      </c>
      <c r="O3520" s="1153">
        <f>IF(base[[#This Row],[L/P Líquido]]&gt;0,1,0)</f>
        <v>1</v>
      </c>
      <c r="P3520" s="1153"/>
      <c r="Q3520" s="1153" t="str">
        <f>LEFT(base[[#This Row],[Evento / Mercado]],FIND("vs",base[[#This Row],[Evento / Mercado]])-2)</f>
        <v>Alianza FC Valledupar</v>
      </c>
      <c r="R352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3" t="str">
        <f>LEFT(base[[#This Row],[Evento / Mercado]],FIND("/",base[[#This Row],[Evento / Mercado]])-2)</f>
        <v>Alianza FC Valledupar vs Fortaleza FC</v>
      </c>
      <c r="T3520" s="1420">
        <f>base[[#This Row],[Data de liquidação]]</f>
        <v>46229.921064814815</v>
      </c>
    </row>
    <row r="3521" spans="2:20" ht="15" customHeight="1">
      <c r="B3521" s="1154" t="s">
        <v>4088</v>
      </c>
      <c r="C3521" s="935" t="s">
        <v>3556</v>
      </c>
      <c r="D3521" s="1404">
        <v>46229.977789351855</v>
      </c>
      <c r="E3521" s="1155">
        <v>4.24</v>
      </c>
      <c r="F3521" s="654">
        <v>4.4999999999999998E-2</v>
      </c>
      <c r="G3521" s="1150">
        <f t="shared" si="104"/>
        <v>4.4397905759162306</v>
      </c>
      <c r="H3521" s="1150" t="s">
        <v>1666</v>
      </c>
      <c r="I3521" s="1151" t="s">
        <v>1759</v>
      </c>
      <c r="J3521" s="1150">
        <v>28</v>
      </c>
      <c r="K3521" s="1150">
        <v>119.88</v>
      </c>
      <c r="L3521" s="1152">
        <f>INT(base[[#This Row],[Data de liquidação]])</f>
        <v>46229</v>
      </c>
      <c r="M3521" s="1150">
        <f>base[[#This Row],[L/P Bruto]]-base[[#This Row],[L/P Líquido]]</f>
        <v>0.1997905759162304</v>
      </c>
      <c r="N3521" s="1150">
        <f>base[[#This Row],[L/P Líquido]]/base[[#This Row],[Stake/Responsabilidade]]</f>
        <v>3.5368702035368703E-2</v>
      </c>
      <c r="O3521" s="1153">
        <f>IF(base[[#This Row],[L/P Líquido]]&gt;0,1,0)</f>
        <v>1</v>
      </c>
      <c r="P3521" s="1153"/>
      <c r="Q3521" s="1153" t="str">
        <f>LEFT(base[[#This Row],[Evento / Mercado]],FIND("vs",base[[#This Row],[Evento / Mercado]])-2)</f>
        <v>Deportes Concepción</v>
      </c>
      <c r="R352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3" t="str">
        <f>LEFT(base[[#This Row],[Evento / Mercado]],FIND("/",base[[#This Row],[Evento / Mercado]])-2)</f>
        <v>Deportes Concepción vs O'Higgins</v>
      </c>
      <c r="T3521" s="1420">
        <f>base[[#This Row],[Data de liquidação]]</f>
        <v>46229.977789351855</v>
      </c>
    </row>
    <row r="3522" spans="2:20" ht="15" customHeight="1">
      <c r="B3522" s="1157" t="s">
        <v>4139</v>
      </c>
      <c r="C3522" s="935" t="s">
        <v>3556</v>
      </c>
      <c r="D3522" s="1405">
        <v>46230.662164351852</v>
      </c>
      <c r="E3522" s="1159">
        <v>16.239999999999998</v>
      </c>
      <c r="F3522" s="654">
        <v>4.4999999999999998E-2</v>
      </c>
      <c r="G3522" s="1160">
        <f t="shared" ref="G3522:G3533" si="107">IF(E3522&gt;0,E3522/(1-F3522),E3522)</f>
        <v>17.005235602094238</v>
      </c>
      <c r="H3522" s="1160" t="s">
        <v>3334</v>
      </c>
      <c r="I3522" s="1161" t="s">
        <v>627</v>
      </c>
      <c r="J3522" s="1160">
        <f>(25*384+17*16)/base[[#This Row],[Stake/Responsabilidade]]</f>
        <v>24.68</v>
      </c>
      <c r="K3522" s="1160">
        <v>400</v>
      </c>
      <c r="L3522" s="1158">
        <f>INT(base[[#This Row],[Data de liquidação]])</f>
        <v>46230</v>
      </c>
      <c r="M3522" s="1160">
        <f>base[[#This Row],[L/P Bruto]]-base[[#This Row],[L/P Líquido]]</f>
        <v>0.76523560209423991</v>
      </c>
      <c r="N3522" s="1160">
        <f>base[[#This Row],[L/P Líquido]]/base[[#This Row],[Stake/Responsabilidade]]</f>
        <v>4.0599999999999997E-2</v>
      </c>
      <c r="O3522" s="1162">
        <f>IF(base[[#This Row],[L/P Líquido]]&gt;0,1,0)</f>
        <v>1</v>
      </c>
      <c r="P3522" s="1162"/>
      <c r="Q3522" s="1162" t="str">
        <f>LEFT(base[[#This Row],[Evento / Mercado]],FIND("vs",base[[#This Row],[Evento / Mercado]])-2)</f>
        <v>BK Häcken</v>
      </c>
      <c r="R35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2" t="str">
        <f>LEFT(base[[#This Row],[Evento / Mercado]],FIND("/",base[[#This Row],[Evento / Mercado]])-2)</f>
        <v>BK Häcken vs AIK</v>
      </c>
      <c r="T3522" s="1420">
        <f>base[[#This Row],[Data de liquidação]]</f>
        <v>46230.662164351852</v>
      </c>
    </row>
    <row r="3523" spans="2:20" ht="15" customHeight="1">
      <c r="B3523" s="1157" t="s">
        <v>4138</v>
      </c>
      <c r="C3523" s="935" t="s">
        <v>3556</v>
      </c>
      <c r="D3523" s="1405">
        <v>46230.662361111114</v>
      </c>
      <c r="E3523" s="1159">
        <v>14.04</v>
      </c>
      <c r="F3523" s="654">
        <v>4.4999999999999998E-2</v>
      </c>
      <c r="G3523" s="1160">
        <f t="shared" si="107"/>
        <v>14.701570680628272</v>
      </c>
      <c r="H3523" s="1160" t="s">
        <v>3330</v>
      </c>
      <c r="I3523" s="1248" t="s">
        <v>4368</v>
      </c>
      <c r="J3523" s="1160">
        <v>3.9</v>
      </c>
      <c r="K3523" s="1160">
        <v>99.99</v>
      </c>
      <c r="L3523" s="1158">
        <f>INT(base[[#This Row],[Data de liquidação]])</f>
        <v>46230</v>
      </c>
      <c r="M3523" s="1160">
        <f>base[[#This Row],[L/P Bruto]]-base[[#This Row],[L/P Líquido]]</f>
        <v>0.66157068062827307</v>
      </c>
      <c r="N3523" s="1160">
        <f>base[[#This Row],[L/P Líquido]]/base[[#This Row],[Stake/Responsabilidade]]</f>
        <v>0.14041404140414041</v>
      </c>
      <c r="O3523" s="1162">
        <f>IF(base[[#This Row],[L/P Líquido]]&gt;0,1,0)</f>
        <v>1</v>
      </c>
      <c r="P3523" s="1162"/>
      <c r="Q3523" s="1162" t="str">
        <f>LEFT(base[[#This Row],[Evento / Mercado]],FIND("vs",base[[#This Row],[Evento / Mercado]])-2)</f>
        <v>BK Häcken</v>
      </c>
      <c r="R35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2" t="str">
        <f>LEFT(base[[#This Row],[Evento / Mercado]],FIND("/",base[[#This Row],[Evento / Mercado]])-2)</f>
        <v>BK Häcken vs AIK</v>
      </c>
      <c r="T3523" s="1420">
        <f>base[[#This Row],[Data de liquidação]]</f>
        <v>46230.662361111114</v>
      </c>
    </row>
    <row r="3524" spans="2:20" ht="15" customHeight="1">
      <c r="B3524" s="1157" t="s">
        <v>4137</v>
      </c>
      <c r="C3524" s="935" t="s">
        <v>3556</v>
      </c>
      <c r="D3524" s="1405">
        <v>46230.663032407407</v>
      </c>
      <c r="E3524" s="1159">
        <v>11.14</v>
      </c>
      <c r="F3524" s="654">
        <v>4.4999999999999998E-2</v>
      </c>
      <c r="G3524" s="1160">
        <f t="shared" si="107"/>
        <v>11.664921465968588</v>
      </c>
      <c r="H3524" s="1160" t="s">
        <v>3330</v>
      </c>
      <c r="I3524" s="1248" t="s">
        <v>4368</v>
      </c>
      <c r="J3524" s="1160">
        <v>6.6</v>
      </c>
      <c r="K3524" s="1160">
        <v>100.02</v>
      </c>
      <c r="L3524" s="1158">
        <f>INT(base[[#This Row],[Data de liquidação]])</f>
        <v>46230</v>
      </c>
      <c r="M3524" s="1160">
        <f>base[[#This Row],[L/P Bruto]]-base[[#This Row],[L/P Líquido]]</f>
        <v>0.52492146596858724</v>
      </c>
      <c r="N3524" s="1160">
        <f>base[[#This Row],[L/P Líquido]]/base[[#This Row],[Stake/Responsabilidade]]</f>
        <v>0.11137772445510899</v>
      </c>
      <c r="O3524" s="1162">
        <f>IF(base[[#This Row],[L/P Líquido]]&gt;0,1,0)</f>
        <v>1</v>
      </c>
      <c r="P3524" s="1162"/>
      <c r="Q3524" s="1162" t="str">
        <f>LEFT(base[[#This Row],[Evento / Mercado]],FIND("vs",base[[#This Row],[Evento / Mercado]])-2)</f>
        <v>Rosenborg BK</v>
      </c>
      <c r="R35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2" t="str">
        <f>LEFT(base[[#This Row],[Evento / Mercado]],FIND("/",base[[#This Row],[Evento / Mercado]])-2)</f>
        <v>Rosenborg BK vs Fredrikstad</v>
      </c>
      <c r="T3524" s="1420">
        <f>base[[#This Row],[Data de liquidação]]</f>
        <v>46230.663032407407</v>
      </c>
    </row>
    <row r="3525" spans="2:20" ht="15" customHeight="1">
      <c r="B3525" s="1157" t="s">
        <v>4136</v>
      </c>
      <c r="C3525" s="935" t="s">
        <v>3556</v>
      </c>
      <c r="D3525" s="1405">
        <v>46230.664201388892</v>
      </c>
      <c r="E3525" s="1159">
        <v>26.39</v>
      </c>
      <c r="F3525" s="654">
        <v>4.4999999999999998E-2</v>
      </c>
      <c r="G3525" s="1160">
        <f t="shared" si="107"/>
        <v>27.633507853403142</v>
      </c>
      <c r="H3525" s="1160" t="s">
        <v>74</v>
      </c>
      <c r="I3525" s="1161" t="s">
        <v>693</v>
      </c>
      <c r="J3525" s="1160">
        <v>14.5</v>
      </c>
      <c r="K3525" s="1160">
        <v>373.01</v>
      </c>
      <c r="L3525" s="1158">
        <f>INT(base[[#This Row],[Data de liquidação]])</f>
        <v>46230</v>
      </c>
      <c r="M3525" s="1160">
        <f>base[[#This Row],[L/P Bruto]]-base[[#This Row],[L/P Líquido]]</f>
        <v>1.2435078534031412</v>
      </c>
      <c r="N3525" s="1160">
        <f>base[[#This Row],[L/P Líquido]]/base[[#This Row],[Stake/Responsabilidade]]</f>
        <v>7.0748773491327313E-2</v>
      </c>
      <c r="O3525" s="1162">
        <f>IF(base[[#This Row],[L/P Líquido]]&gt;0,1,0)</f>
        <v>1</v>
      </c>
      <c r="P3525" s="1162"/>
      <c r="Q3525" s="1162" t="str">
        <f>LEFT(base[[#This Row],[Evento / Mercado]],FIND("vs",base[[#This Row],[Evento / Mercado]])-2)</f>
        <v>Östers IF</v>
      </c>
      <c r="R35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2" t="str">
        <f>LEFT(base[[#This Row],[Evento / Mercado]],FIND("/",base[[#This Row],[Evento / Mercado]])-2)</f>
        <v>Östers IF vs Varbergs BoIS</v>
      </c>
      <c r="T3525" s="1420">
        <f>base[[#This Row],[Data de liquidação]]</f>
        <v>46230.664201388892</v>
      </c>
    </row>
    <row r="3526" spans="2:20" ht="15" customHeight="1">
      <c r="B3526" s="1157" t="s">
        <v>4135</v>
      </c>
      <c r="C3526" s="935" t="s">
        <v>3556</v>
      </c>
      <c r="D3526" s="1405">
        <v>46230.683171296296</v>
      </c>
      <c r="E3526" s="1159">
        <v>-4.55</v>
      </c>
      <c r="F3526" s="654">
        <v>4.4999999999999998E-2</v>
      </c>
      <c r="G3526" s="1160">
        <f t="shared" si="107"/>
        <v>-4.55</v>
      </c>
      <c r="H3526" s="1160" t="s">
        <v>3631</v>
      </c>
      <c r="I3526" s="1161"/>
      <c r="J3526" s="1160">
        <v>1.2</v>
      </c>
      <c r="K3526" s="1160">
        <v>50</v>
      </c>
      <c r="L3526" s="1158">
        <f>INT(base[[#This Row],[Data de liquidação]])</f>
        <v>46230</v>
      </c>
      <c r="M3526" s="1160">
        <f>base[[#This Row],[L/P Bruto]]-base[[#This Row],[L/P Líquido]]</f>
        <v>0</v>
      </c>
      <c r="N3526" s="1160">
        <f>base[[#This Row],[L/P Líquido]]/base[[#This Row],[Stake/Responsabilidade]]</f>
        <v>-9.0999999999999998E-2</v>
      </c>
      <c r="O3526" s="1162">
        <f>IF(base[[#This Row],[L/P Líquido]]&gt;0,1,0)</f>
        <v>0</v>
      </c>
      <c r="P3526" s="1162"/>
      <c r="Q3526" s="1162" t="str">
        <f>LEFT(base[[#This Row],[Evento / Mercado]],FIND("vs",base[[#This Row],[Evento / Mercado]])-2)</f>
        <v>MTK Budapest</v>
      </c>
      <c r="R35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2" t="str">
        <f>LEFT(base[[#This Row],[Evento / Mercado]],FIND("/",base[[#This Row],[Evento / Mercado]])-2)</f>
        <v>MTK Budapest vs Zalaegerszegi TE</v>
      </c>
      <c r="T3526" s="1420">
        <f>base[[#This Row],[Data de liquidação]]</f>
        <v>46230.683171296296</v>
      </c>
    </row>
    <row r="3527" spans="2:20" ht="15" customHeight="1">
      <c r="B3527" s="1157" t="s">
        <v>4134</v>
      </c>
      <c r="C3527" s="935" t="s">
        <v>3556</v>
      </c>
      <c r="D3527" s="1405">
        <v>46230.704675925925</v>
      </c>
      <c r="E3527" s="1159">
        <v>31.83</v>
      </c>
      <c r="F3527" s="654">
        <v>4.4999999999999998E-2</v>
      </c>
      <c r="G3527" s="1160">
        <f t="shared" si="107"/>
        <v>33.329842931937172</v>
      </c>
      <c r="H3527" s="1160" t="s">
        <v>3271</v>
      </c>
      <c r="I3527" s="1161" t="s">
        <v>627</v>
      </c>
      <c r="J3527" s="1160">
        <v>11.5</v>
      </c>
      <c r="K3527" s="1160">
        <v>349.97</v>
      </c>
      <c r="L3527" s="1158">
        <f>INT(base[[#This Row],[Data de liquidação]])</f>
        <v>46230</v>
      </c>
      <c r="M3527" s="1160">
        <f>base[[#This Row],[L/P Bruto]]-base[[#This Row],[L/P Líquido]]</f>
        <v>1.4998429319371738</v>
      </c>
      <c r="N3527" s="1160">
        <f>base[[#This Row],[L/P Líquido]]/base[[#This Row],[Stake/Responsabilidade]]</f>
        <v>9.0950652913106819E-2</v>
      </c>
      <c r="O3527" s="1162">
        <f>IF(base[[#This Row],[L/P Líquido]]&gt;0,1,0)</f>
        <v>1</v>
      </c>
      <c r="P3527" s="1162"/>
      <c r="Q3527" s="1162" t="str">
        <f>LEFT(base[[#This Row],[Evento / Mercado]],FIND("vs",base[[#This Row],[Evento / Mercado]])-2)</f>
        <v>Breidablik</v>
      </c>
      <c r="R35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2" t="str">
        <f>LEFT(base[[#This Row],[Evento / Mercado]],FIND("/",base[[#This Row],[Evento / Mercado]])-2)</f>
        <v>Breidablik vs ÍB Vestmannaeyja</v>
      </c>
      <c r="T3527" s="1420">
        <f>base[[#This Row],[Data de liquidação]]</f>
        <v>46230.704675925925</v>
      </c>
    </row>
    <row r="3528" spans="2:20" ht="15" customHeight="1">
      <c r="B3528" s="1157" t="s">
        <v>4133</v>
      </c>
      <c r="C3528" s="935" t="s">
        <v>3556</v>
      </c>
      <c r="D3528" s="1405">
        <v>46230.746932870374</v>
      </c>
      <c r="E3528" s="1159">
        <v>8.89</v>
      </c>
      <c r="F3528" s="654">
        <v>4.4999999999999998E-2</v>
      </c>
      <c r="G3528" s="1160">
        <f t="shared" si="107"/>
        <v>9.3089005235602098</v>
      </c>
      <c r="H3528" s="1160" t="s">
        <v>3631</v>
      </c>
      <c r="I3528" s="1161"/>
      <c r="J3528" s="1160">
        <v>1.29</v>
      </c>
      <c r="K3528" s="1160">
        <v>50</v>
      </c>
      <c r="L3528" s="1158">
        <f>INT(base[[#This Row],[Data de liquidação]])</f>
        <v>46230</v>
      </c>
      <c r="M3528" s="1160">
        <f>base[[#This Row],[L/P Bruto]]-base[[#This Row],[L/P Líquido]]</f>
        <v>0.41890052356020924</v>
      </c>
      <c r="N3528" s="1160">
        <f>base[[#This Row],[L/P Líquido]]/base[[#This Row],[Stake/Responsabilidade]]</f>
        <v>0.17780000000000001</v>
      </c>
      <c r="O3528" s="1162">
        <f>IF(base[[#This Row],[L/P Líquido]]&gt;0,1,0)</f>
        <v>1</v>
      </c>
      <c r="P3528" s="1162"/>
      <c r="Q3528" s="1162" t="str">
        <f>LEFT(base[[#This Row],[Evento / Mercado]],FIND("vs",base[[#This Row],[Evento / Mercado]])-2)</f>
        <v>CD Gualberto Villarroel</v>
      </c>
      <c r="R35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2" t="str">
        <f>LEFT(base[[#This Row],[Evento / Mercado]],FIND("/",base[[#This Row],[Evento / Mercado]])-2)</f>
        <v>CD Gualberto Villarroel vs Universitario de Vinto</v>
      </c>
      <c r="T3528" s="1420">
        <f>base[[#This Row],[Data de liquidação]]</f>
        <v>46230.746932870374</v>
      </c>
    </row>
    <row r="3529" spans="2:20" ht="15" customHeight="1">
      <c r="B3529" s="1157" t="s">
        <v>4132</v>
      </c>
      <c r="C3529" s="935" t="s">
        <v>3556</v>
      </c>
      <c r="D3529" s="1405">
        <v>46230.857476851852</v>
      </c>
      <c r="E3529" s="1159">
        <v>5.42</v>
      </c>
      <c r="F3529" s="654">
        <v>4.4999999999999998E-2</v>
      </c>
      <c r="G3529" s="1160">
        <f t="shared" si="107"/>
        <v>5.6753926701570681</v>
      </c>
      <c r="H3529" s="1160" t="s">
        <v>1666</v>
      </c>
      <c r="I3529" s="1161" t="s">
        <v>2950</v>
      </c>
      <c r="J3529" s="1160">
        <v>9.8000000000000007</v>
      </c>
      <c r="K3529" s="1160">
        <v>49.98</v>
      </c>
      <c r="L3529" s="1158">
        <f>INT(base[[#This Row],[Data de liquidação]])</f>
        <v>46230</v>
      </c>
      <c r="M3529" s="1160">
        <f>base[[#This Row],[L/P Bruto]]-base[[#This Row],[L/P Líquido]]</f>
        <v>0.25539267015706812</v>
      </c>
      <c r="N3529" s="1160">
        <f>base[[#This Row],[L/P Líquido]]/base[[#This Row],[Stake/Responsabilidade]]</f>
        <v>0.10844337735094038</v>
      </c>
      <c r="O3529" s="1162">
        <f>IF(base[[#This Row],[L/P Líquido]]&gt;0,1,0)</f>
        <v>1</v>
      </c>
      <c r="P3529" s="1162"/>
      <c r="Q3529" s="1162" t="str">
        <f>LEFT(base[[#This Row],[Evento / Mercado]],FIND("vs",base[[#This Row],[Evento / Mercado]])-2)</f>
        <v>Guayaquil City FC</v>
      </c>
      <c r="R35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2" t="str">
        <f>LEFT(base[[#This Row],[Evento / Mercado]],FIND("/",base[[#This Row],[Evento / Mercado]])-2)</f>
        <v>Guayaquil City FC vs Universidad Católica del Ecuador</v>
      </c>
      <c r="T3529" s="1420">
        <f>base[[#This Row],[Data de liquidação]]</f>
        <v>46230.857476851852</v>
      </c>
    </row>
    <row r="3530" spans="2:20" ht="15" customHeight="1">
      <c r="B3530" s="1157" t="s">
        <v>4131</v>
      </c>
      <c r="C3530" s="935" t="s">
        <v>3556</v>
      </c>
      <c r="D3530" s="1405">
        <v>46230.863611111112</v>
      </c>
      <c r="E3530" s="1159">
        <v>7.46</v>
      </c>
      <c r="F3530" s="654">
        <v>4.4999999999999998E-2</v>
      </c>
      <c r="G3530" s="1160">
        <f t="shared" si="107"/>
        <v>7.8115183246073299</v>
      </c>
      <c r="H3530" s="1160" t="s">
        <v>1666</v>
      </c>
      <c r="I3530" s="1161" t="s">
        <v>2301</v>
      </c>
      <c r="J3530" s="1160">
        <v>1.52</v>
      </c>
      <c r="K3530" s="1160">
        <v>15</v>
      </c>
      <c r="L3530" s="1158">
        <f>INT(base[[#This Row],[Data de liquidação]])</f>
        <v>46230</v>
      </c>
      <c r="M3530" s="1160">
        <f>base[[#This Row],[L/P Bruto]]-base[[#This Row],[L/P Líquido]]</f>
        <v>0.3515183246073299</v>
      </c>
      <c r="N3530" s="1160">
        <f>base[[#This Row],[L/P Líquido]]/base[[#This Row],[Stake/Responsabilidade]]</f>
        <v>0.49733333333333335</v>
      </c>
      <c r="O3530" s="1162">
        <f>IF(base[[#This Row],[L/P Líquido]]&gt;0,1,0)</f>
        <v>1</v>
      </c>
      <c r="P3530" s="1162"/>
      <c r="Q3530" s="1162" t="str">
        <f>LEFT(base[[#This Row],[Evento / Mercado]],FIND("vs",base[[#This Row],[Evento / Mercado]])-2)</f>
        <v>Sport Club do Recife</v>
      </c>
      <c r="R35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2" t="str">
        <f>LEFT(base[[#This Row],[Evento / Mercado]],FIND("/",base[[#This Row],[Evento / Mercado]])-2)</f>
        <v>Sport Club do Recife vs Cuiabá EC</v>
      </c>
      <c r="T3530" s="1420">
        <f>base[[#This Row],[Data de liquidação]]</f>
        <v>46230.863611111112</v>
      </c>
    </row>
    <row r="3531" spans="2:20" ht="15" customHeight="1">
      <c r="B3531" s="1157" t="s">
        <v>4130</v>
      </c>
      <c r="C3531" s="935" t="s">
        <v>3556</v>
      </c>
      <c r="D3531" s="1405">
        <v>46230.883090277777</v>
      </c>
      <c r="E3531" s="1159">
        <v>3.39</v>
      </c>
      <c r="F3531" s="654">
        <v>4.4999999999999998E-2</v>
      </c>
      <c r="G3531" s="1160">
        <f t="shared" si="107"/>
        <v>3.5497382198952883</v>
      </c>
      <c r="H3531" s="1160" t="s">
        <v>1666</v>
      </c>
      <c r="I3531" s="1161" t="s">
        <v>2883</v>
      </c>
      <c r="J3531" s="1160">
        <v>1.71</v>
      </c>
      <c r="K3531" s="1160">
        <v>5</v>
      </c>
      <c r="L3531" s="1158">
        <f>INT(base[[#This Row],[Data de liquidação]])</f>
        <v>46230</v>
      </c>
      <c r="M3531" s="1160">
        <f>base[[#This Row],[L/P Bruto]]-base[[#This Row],[L/P Líquido]]</f>
        <v>0.15973821989528814</v>
      </c>
      <c r="N3531" s="1160">
        <f>base[[#This Row],[L/P Líquido]]/base[[#This Row],[Stake/Responsabilidade]]</f>
        <v>0.67800000000000005</v>
      </c>
      <c r="O3531" s="1162">
        <f>IF(base[[#This Row],[L/P Líquido]]&gt;0,1,0)</f>
        <v>1</v>
      </c>
      <c r="P3531" s="1162"/>
      <c r="Q3531" s="1162" t="str">
        <f>LEFT(base[[#This Row],[Evento / Mercado]],FIND("vs",base[[#This Row],[Evento / Mercado]])-2)</f>
        <v>Unión Española</v>
      </c>
      <c r="R35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2" t="str">
        <f>LEFT(base[[#This Row],[Evento / Mercado]],FIND("/",base[[#This Row],[Evento / Mercado]])-2)</f>
        <v>Unión Española vs Deportes Recoleta</v>
      </c>
      <c r="T3531" s="1420">
        <f>base[[#This Row],[Data de liquidação]]</f>
        <v>46230.883090277777</v>
      </c>
    </row>
    <row r="3532" spans="2:20" ht="15" customHeight="1">
      <c r="B3532" s="1157" t="s">
        <v>4129</v>
      </c>
      <c r="C3532" s="935" t="s">
        <v>3556</v>
      </c>
      <c r="D3532" s="1405">
        <v>46230.893171296295</v>
      </c>
      <c r="E3532" s="1159">
        <v>-149.15</v>
      </c>
      <c r="F3532" s="654">
        <v>4.4999999999999998E-2</v>
      </c>
      <c r="G3532" s="1160">
        <f t="shared" si="107"/>
        <v>-149.15</v>
      </c>
      <c r="H3532" s="1113" t="s">
        <v>3922</v>
      </c>
      <c r="I3532" s="1161"/>
      <c r="J3532" s="1160">
        <v>20</v>
      </c>
      <c r="K3532" s="1160">
        <v>500.08</v>
      </c>
      <c r="L3532" s="1158">
        <f>INT(base[[#This Row],[Data de liquidação]])</f>
        <v>46230</v>
      </c>
      <c r="M3532" s="1160">
        <f>base[[#This Row],[L/P Bruto]]-base[[#This Row],[L/P Líquido]]</f>
        <v>0</v>
      </c>
      <c r="N3532" s="1160">
        <f>base[[#This Row],[L/P Líquido]]/base[[#This Row],[Stake/Responsabilidade]]</f>
        <v>-0.29825227963525835</v>
      </c>
      <c r="O3532" s="1162">
        <f>IF(base[[#This Row],[L/P Líquido]]&gt;0,1,0)</f>
        <v>0</v>
      </c>
      <c r="P3532" s="1162"/>
      <c r="Q3532" s="1162" t="str">
        <f>LEFT(base[[#This Row],[Evento / Mercado]],FIND("vs",base[[#This Row],[Evento / Mercado]])-2)</f>
        <v>CRB</v>
      </c>
      <c r="R35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2" t="str">
        <f>LEFT(base[[#This Row],[Evento / Mercado]],FIND("/",base[[#This Row],[Evento / Mercado]])-2)</f>
        <v>CRB vs Vila Nova FC</v>
      </c>
      <c r="T3532" s="1420">
        <f>base[[#This Row],[Data de liquidação]]</f>
        <v>46230.893171296295</v>
      </c>
    </row>
    <row r="3533" spans="2:20" ht="15" customHeight="1">
      <c r="B3533" s="1157" t="s">
        <v>4128</v>
      </c>
      <c r="C3533" s="935" t="s">
        <v>3556</v>
      </c>
      <c r="D3533" s="1405">
        <v>46230.893333333333</v>
      </c>
      <c r="E3533" s="1159">
        <v>25.95</v>
      </c>
      <c r="F3533" s="654">
        <v>4.4999999999999998E-2</v>
      </c>
      <c r="G3533" s="1160">
        <f t="shared" si="107"/>
        <v>27.172774869109947</v>
      </c>
      <c r="H3533" s="1160" t="s">
        <v>3330</v>
      </c>
      <c r="I3533" s="1248" t="s">
        <v>4368</v>
      </c>
      <c r="J3533" s="1160">
        <v>4.0999999999999996</v>
      </c>
      <c r="K3533" s="1160">
        <v>100.01</v>
      </c>
      <c r="L3533" s="1158">
        <f>INT(base[[#This Row],[Data de liquidação]])</f>
        <v>46230</v>
      </c>
      <c r="M3533" s="1160">
        <f>base[[#This Row],[L/P Bruto]]-base[[#This Row],[L/P Líquido]]</f>
        <v>1.2227748691099478</v>
      </c>
      <c r="N3533" s="1160">
        <f>base[[#This Row],[L/P Líquido]]/base[[#This Row],[Stake/Responsabilidade]]</f>
        <v>0.25947405259474049</v>
      </c>
      <c r="O3533" s="1162">
        <f>IF(base[[#This Row],[L/P Líquido]]&gt;0,1,0)</f>
        <v>1</v>
      </c>
      <c r="P3533" s="1162"/>
      <c r="Q3533" s="1162" t="str">
        <f>LEFT(base[[#This Row],[Evento / Mercado]],FIND("vs",base[[#This Row],[Evento / Mercado]])-2)</f>
        <v>Sport Club do Recife</v>
      </c>
      <c r="R35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2" t="str">
        <f>LEFT(base[[#This Row],[Evento / Mercado]],FIND("/",base[[#This Row],[Evento / Mercado]])-2)</f>
        <v>Sport Club do Recife vs Cuiabá EC</v>
      </c>
      <c r="T3533" s="1420">
        <f>base[[#This Row],[Data de liquidação]]</f>
        <v>46230.893333333333</v>
      </c>
    </row>
    <row r="3534" spans="2:20" ht="15" customHeight="1">
      <c r="B3534" s="1163" t="s">
        <v>4143</v>
      </c>
      <c r="C3534" s="935" t="s">
        <v>3556</v>
      </c>
      <c r="D3534" s="1406">
        <v>46231.746747685182</v>
      </c>
      <c r="E3534" s="1165">
        <v>16.2</v>
      </c>
      <c r="F3534" s="654">
        <v>4.4999999999999998E-2</v>
      </c>
      <c r="G3534" s="1166">
        <f t="shared" ref="G3534:G3536" si="108">IF(E3534&gt;0,E3534/(1-F3534),E3534)</f>
        <v>16.963350785340314</v>
      </c>
      <c r="H3534" s="1133" t="s">
        <v>3921</v>
      </c>
      <c r="I3534" s="1167"/>
      <c r="J3534" s="1166">
        <v>1.5</v>
      </c>
      <c r="K3534" s="1166">
        <v>300</v>
      </c>
      <c r="L3534" s="1164">
        <f>INT(base[[#This Row],[Data de liquidação]])</f>
        <v>46231</v>
      </c>
      <c r="M3534" s="1166">
        <f>base[[#This Row],[L/P Bruto]]-base[[#This Row],[L/P Líquido]]</f>
        <v>0.76335078534031453</v>
      </c>
      <c r="N3534" s="1166">
        <f>base[[#This Row],[L/P Líquido]]/base[[#This Row],[Stake/Responsabilidade]]</f>
        <v>5.3999999999999999E-2</v>
      </c>
      <c r="O3534" s="1168">
        <f>IF(base[[#This Row],[L/P Líquido]]&gt;0,1,0)</f>
        <v>1</v>
      </c>
      <c r="P3534" s="1168"/>
      <c r="Q3534" s="1168" t="str">
        <f>LEFT(base[[#This Row],[Evento / Mercado]],FIND("vs",base[[#This Row],[Evento / Mercado]])-2)</f>
        <v>Rubio Ñú</v>
      </c>
      <c r="R353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8" t="str">
        <f>LEFT(base[[#This Row],[Evento / Mercado]],FIND("/",base[[#This Row],[Evento / Mercado]])-2)</f>
        <v>Rubio Ñú vs Club Sportivo Ameliano</v>
      </c>
      <c r="T3534" s="1420">
        <f>base[[#This Row],[Data de liquidação]]</f>
        <v>46231.746747685182</v>
      </c>
    </row>
    <row r="3535" spans="2:20" ht="15" customHeight="1">
      <c r="B3535" s="1163" t="s">
        <v>4142</v>
      </c>
      <c r="C3535" s="935" t="s">
        <v>3556</v>
      </c>
      <c r="D3535" s="1406">
        <v>46231.982638888891</v>
      </c>
      <c r="E3535" s="1165">
        <v>16.63</v>
      </c>
      <c r="F3535" s="654">
        <v>4.4999999999999998E-2</v>
      </c>
      <c r="G3535" s="1166">
        <f t="shared" si="108"/>
        <v>17.413612565445025</v>
      </c>
      <c r="H3535" s="1053" t="s">
        <v>3817</v>
      </c>
      <c r="I3535" s="1167"/>
      <c r="J3535" s="1166">
        <v>23</v>
      </c>
      <c r="K3535" s="1166">
        <v>500.06</v>
      </c>
      <c r="L3535" s="1164">
        <f>INT(base[[#This Row],[Data de liquidação]])</f>
        <v>46231</v>
      </c>
      <c r="M3535" s="1166">
        <f>base[[#This Row],[L/P Bruto]]-base[[#This Row],[L/P Líquido]]</f>
        <v>0.78361256544502567</v>
      </c>
      <c r="N3535" s="1166">
        <f>base[[#This Row],[L/P Líquido]]/base[[#This Row],[Stake/Responsabilidade]]</f>
        <v>3.3256009278886528E-2</v>
      </c>
      <c r="O3535" s="1168">
        <f>IF(base[[#This Row],[L/P Líquido]]&gt;0,1,0)</f>
        <v>1</v>
      </c>
      <c r="P3535" s="1168"/>
      <c r="Q3535" s="1168" t="str">
        <f>LEFT(base[[#This Row],[Evento / Mercado]],FIND("vs",base[[#This Row],[Evento / Mercado]])-2)</f>
        <v>Fortaleza EC</v>
      </c>
      <c r="R353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8" t="str">
        <f>LEFT(base[[#This Row],[Evento / Mercado]],FIND("/",base[[#This Row],[Evento / Mercado]])-2)</f>
        <v>Fortaleza EC vs Botafogo SP</v>
      </c>
      <c r="T3535" s="1420">
        <f>base[[#This Row],[Data de liquidação]]</f>
        <v>46231.982638888891</v>
      </c>
    </row>
    <row r="3536" spans="2:20" ht="15" customHeight="1">
      <c r="B3536" s="1163" t="s">
        <v>4141</v>
      </c>
      <c r="C3536" s="935" t="s">
        <v>3556</v>
      </c>
      <c r="D3536" s="1406">
        <v>46231.982800925929</v>
      </c>
      <c r="E3536" s="1165">
        <v>21.36</v>
      </c>
      <c r="F3536" s="654">
        <v>4.4999999999999998E-2</v>
      </c>
      <c r="G3536" s="1166">
        <f t="shared" si="108"/>
        <v>22.366492146596858</v>
      </c>
      <c r="H3536" s="1166" t="s">
        <v>3330</v>
      </c>
      <c r="I3536" s="1167" t="s">
        <v>3569</v>
      </c>
      <c r="J3536" s="1166">
        <v>4.8</v>
      </c>
      <c r="K3536" s="1166">
        <v>100.02</v>
      </c>
      <c r="L3536" s="1164">
        <f>INT(base[[#This Row],[Data de liquidação]])</f>
        <v>46231</v>
      </c>
      <c r="M3536" s="1166">
        <f>base[[#This Row],[L/P Bruto]]-base[[#This Row],[L/P Líquido]]</f>
        <v>1.0064921465968588</v>
      </c>
      <c r="N3536" s="1166">
        <f>base[[#This Row],[L/P Líquido]]/base[[#This Row],[Stake/Responsabilidade]]</f>
        <v>0.21355728854229156</v>
      </c>
      <c r="O3536" s="1168">
        <f>IF(base[[#This Row],[L/P Líquido]]&gt;0,1,0)</f>
        <v>1</v>
      </c>
      <c r="P3536" s="1168"/>
      <c r="Q3536" s="1168" t="str">
        <f>LEFT(base[[#This Row],[Evento / Mercado]],FIND("vs",base[[#This Row],[Evento / Mercado]])-2)</f>
        <v>Fortaleza EC</v>
      </c>
      <c r="R353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8" t="str">
        <f>LEFT(base[[#This Row],[Evento / Mercado]],FIND("/",base[[#This Row],[Evento / Mercado]])-2)</f>
        <v>Fortaleza EC vs Botafogo SP</v>
      </c>
      <c r="T3536" s="1420">
        <f>base[[#This Row],[Data de liquidação]]</f>
        <v>46231.982800925929</v>
      </c>
    </row>
    <row r="3537" spans="2:20" ht="15" customHeight="1">
      <c r="B3537" s="1169" t="s">
        <v>4153</v>
      </c>
      <c r="C3537" s="935" t="s">
        <v>3556</v>
      </c>
      <c r="D3537" s="1407">
        <v>46232.556875000002</v>
      </c>
      <c r="E3537" s="1171">
        <v>21.13</v>
      </c>
      <c r="F3537" s="654">
        <v>4.4999999999999998E-2</v>
      </c>
      <c r="G3537" s="1172">
        <f t="shared" ref="G3537:G3547" si="109">IF(E3537&gt;0,E3537/(1-F3537),E3537)</f>
        <v>22.125654450261781</v>
      </c>
      <c r="H3537" s="1053" t="s">
        <v>3817</v>
      </c>
      <c r="I3537" s="1173"/>
      <c r="J3537" s="1172">
        <f>(26*112.5+23*387.74)/base[[#This Row],[Stake/Responsabilidade]]</f>
        <v>23.674676155445386</v>
      </c>
      <c r="K3537" s="1172">
        <f>112.5+387.74</f>
        <v>500.24</v>
      </c>
      <c r="L3537" s="1170">
        <f>INT(base[[#This Row],[Data de liquidação]])</f>
        <v>46232</v>
      </c>
      <c r="M3537" s="1172">
        <f>base[[#This Row],[L/P Bruto]]-base[[#This Row],[L/P Líquido]]</f>
        <v>0.99565445026178168</v>
      </c>
      <c r="N3537" s="1172">
        <f>base[[#This Row],[L/P Líquido]]/base[[#This Row],[Stake/Responsabilidade]]</f>
        <v>4.2239724932032624E-2</v>
      </c>
      <c r="O3537" s="1174">
        <f>IF(base[[#This Row],[L/P Líquido]]&gt;0,1,0)</f>
        <v>1</v>
      </c>
      <c r="P3537" s="1174"/>
      <c r="Q3537" s="1174" t="str">
        <f>LEFT(base[[#This Row],[Evento / Mercado]],FIND("vs",base[[#This Row],[Evento / Mercado]])-2)</f>
        <v>KF Dukagjini</v>
      </c>
      <c r="R353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4" t="str">
        <f>LEFT(base[[#This Row],[Evento / Mercado]],FIND("/",base[[#This Row],[Evento / Mercado]])-2)</f>
        <v>KF Dukagjini vs FC Lugano</v>
      </c>
      <c r="T3537" s="1420">
        <f>base[[#This Row],[Data de liquidação]]</f>
        <v>46232.556875000002</v>
      </c>
    </row>
    <row r="3538" spans="2:20" ht="15" customHeight="1">
      <c r="B3538" s="1169" t="s">
        <v>4152</v>
      </c>
      <c r="C3538" s="935" t="s">
        <v>3556</v>
      </c>
      <c r="D3538" s="1407">
        <v>46232.663541666669</v>
      </c>
      <c r="E3538" s="1171">
        <v>-16.13</v>
      </c>
      <c r="F3538" s="654">
        <v>4.4999999999999998E-2</v>
      </c>
      <c r="G3538" s="1172">
        <f t="shared" si="109"/>
        <v>-16.13</v>
      </c>
      <c r="H3538" s="1053" t="s">
        <v>3817</v>
      </c>
      <c r="I3538" s="1173"/>
      <c r="J3538" s="1172">
        <v>16.5</v>
      </c>
      <c r="K3538" s="1172">
        <v>500.03</v>
      </c>
      <c r="L3538" s="1170">
        <f>INT(base[[#This Row],[Data de liquidação]])</f>
        <v>46232</v>
      </c>
      <c r="M3538" s="1172">
        <f>base[[#This Row],[L/P Bruto]]-base[[#This Row],[L/P Líquido]]</f>
        <v>0</v>
      </c>
      <c r="N3538" s="1172">
        <f>base[[#This Row],[L/P Líquido]]/base[[#This Row],[Stake/Responsabilidade]]</f>
        <v>-3.2258064516129031E-2</v>
      </c>
      <c r="O3538" s="1174">
        <f>IF(base[[#This Row],[L/P Líquido]]&gt;0,1,0)</f>
        <v>0</v>
      </c>
      <c r="P3538" s="1174"/>
      <c r="Q3538" s="1174" t="str">
        <f>LEFT(base[[#This Row],[Evento / Mercado]],FIND("vs",base[[#This Row],[Evento / Mercado]])-2)</f>
        <v>Lech Poznan</v>
      </c>
      <c r="R3538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4" t="str">
        <f>LEFT(base[[#This Row],[Evento / Mercado]],FIND("/",base[[#This Row],[Evento / Mercado]])-2)</f>
        <v>Lech Poznan vs AGF Aarhus</v>
      </c>
      <c r="T3538" s="1420">
        <f>base[[#This Row],[Data de liquidação]]</f>
        <v>46232.663541666669</v>
      </c>
    </row>
    <row r="3539" spans="2:20" ht="15" customHeight="1">
      <c r="B3539" s="1169" t="s">
        <v>4151</v>
      </c>
      <c r="C3539" s="935" t="s">
        <v>3556</v>
      </c>
      <c r="D3539" s="1407">
        <v>46232.715879629628</v>
      </c>
      <c r="E3539" s="1171">
        <v>18.149999999999999</v>
      </c>
      <c r="F3539" s="654">
        <v>4.4999999999999998E-2</v>
      </c>
      <c r="G3539" s="1172">
        <f t="shared" si="109"/>
        <v>19.005235602094242</v>
      </c>
      <c r="H3539" s="1172" t="s">
        <v>3868</v>
      </c>
      <c r="I3539" s="1173" t="s">
        <v>4154</v>
      </c>
      <c r="J3539" s="1172">
        <v>1.38</v>
      </c>
      <c r="K3539" s="1172">
        <v>50</v>
      </c>
      <c r="L3539" s="1170">
        <f>INT(base[[#This Row],[Data de liquidação]])</f>
        <v>46232</v>
      </c>
      <c r="M3539" s="1172">
        <f>base[[#This Row],[L/P Bruto]]-base[[#This Row],[L/P Líquido]]</f>
        <v>0.85523560209424332</v>
      </c>
      <c r="N3539" s="1172">
        <f>base[[#This Row],[L/P Líquido]]/base[[#This Row],[Stake/Responsabilidade]]</f>
        <v>0.36299999999999999</v>
      </c>
      <c r="O3539" s="1174">
        <f>IF(base[[#This Row],[L/P Líquido]]&gt;0,1,0)</f>
        <v>1</v>
      </c>
      <c r="P3539" s="1174"/>
      <c r="Q3539" s="1174" t="str">
        <f>LEFT(base[[#This Row],[Evento / Mercado]],FIND("vs",base[[#This Row],[Evento / Mercado]])-2)</f>
        <v>Club Sportivo Luqueño</v>
      </c>
      <c r="R3539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4" t="str">
        <f>LEFT(base[[#This Row],[Evento / Mercado]],FIND("/",base[[#This Row],[Evento / Mercado]])-2)</f>
        <v>Club Sportivo Luqueño vs Club Sportivo Trinidense</v>
      </c>
      <c r="T3539" s="1420">
        <f>base[[#This Row],[Data de liquidação]]</f>
        <v>46232.715879629628</v>
      </c>
    </row>
    <row r="3540" spans="2:20" ht="15" customHeight="1">
      <c r="B3540" s="1169" t="s">
        <v>4150</v>
      </c>
      <c r="C3540" s="935" t="s">
        <v>3556</v>
      </c>
      <c r="D3540" s="1407">
        <v>46232.724583333336</v>
      </c>
      <c r="E3540" s="1171">
        <v>9.74</v>
      </c>
      <c r="F3540" s="654">
        <v>4.4999999999999998E-2</v>
      </c>
      <c r="G3540" s="1172">
        <f t="shared" si="109"/>
        <v>10.198952879581153</v>
      </c>
      <c r="H3540" s="1053" t="s">
        <v>3817</v>
      </c>
      <c r="I3540" s="1173"/>
      <c r="J3540" s="1172">
        <v>50</v>
      </c>
      <c r="K3540" s="1172">
        <v>499.8</v>
      </c>
      <c r="L3540" s="1170">
        <f>INT(base[[#This Row],[Data de liquidação]])</f>
        <v>46232</v>
      </c>
      <c r="M3540" s="1172">
        <f>base[[#This Row],[L/P Bruto]]-base[[#This Row],[L/P Líquido]]</f>
        <v>0.45895287958115283</v>
      </c>
      <c r="N3540" s="1172">
        <f>base[[#This Row],[L/P Líquido]]/base[[#This Row],[Stake/Responsabilidade]]</f>
        <v>1.948779511804722E-2</v>
      </c>
      <c r="O3540" s="1174">
        <f>IF(base[[#This Row],[L/P Líquido]]&gt;0,1,0)</f>
        <v>1</v>
      </c>
      <c r="P3540" s="1174"/>
      <c r="Q3540" s="1174" t="str">
        <f>LEFT(base[[#This Row],[Evento / Mercado]],FIND("vs",base[[#This Row],[Evento / Mercado]])-2)</f>
        <v>SK Rapid Wien</v>
      </c>
      <c r="R3540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4" t="str">
        <f>LEFT(base[[#This Row],[Evento / Mercado]],FIND("/",base[[#This Row],[Evento / Mercado]])-2)</f>
        <v>SK Rapid Wien vs FC Santa Coloma</v>
      </c>
      <c r="T3540" s="1420">
        <f>base[[#This Row],[Data de liquidação]]</f>
        <v>46232.724583333336</v>
      </c>
    </row>
    <row r="3541" spans="2:20" ht="15" customHeight="1">
      <c r="B3541" s="1169" t="s">
        <v>4149</v>
      </c>
      <c r="C3541" s="935" t="s">
        <v>3556</v>
      </c>
      <c r="D3541" s="1407">
        <v>46232.863819444443</v>
      </c>
      <c r="E3541" s="1171">
        <v>9.74</v>
      </c>
      <c r="F3541" s="654">
        <v>4.4999999999999998E-2</v>
      </c>
      <c r="G3541" s="1172">
        <f t="shared" si="109"/>
        <v>10.198952879581153</v>
      </c>
      <c r="H3541" s="1172" t="s">
        <v>1666</v>
      </c>
      <c r="I3541" s="1173" t="s">
        <v>2301</v>
      </c>
      <c r="J3541" s="1172">
        <v>1.51</v>
      </c>
      <c r="K3541" s="1172">
        <v>20</v>
      </c>
      <c r="L3541" s="1170">
        <f>INT(base[[#This Row],[Data de liquidação]])</f>
        <v>46232</v>
      </c>
      <c r="M3541" s="1172">
        <f>base[[#This Row],[L/P Bruto]]-base[[#This Row],[L/P Líquido]]</f>
        <v>0.45895287958115283</v>
      </c>
      <c r="N3541" s="1172">
        <f>base[[#This Row],[L/P Líquido]]/base[[#This Row],[Stake/Responsabilidade]]</f>
        <v>0.48699999999999999</v>
      </c>
      <c r="O3541" s="1174">
        <f>IF(base[[#This Row],[L/P Líquido]]&gt;0,1,0)</f>
        <v>1</v>
      </c>
      <c r="P3541" s="1174"/>
      <c r="Q3541" s="1174" t="str">
        <f>LEFT(base[[#This Row],[Evento / Mercado]],FIND("vs",base[[#This Row],[Evento / Mercado]])-2)</f>
        <v>Vasco da Gama</v>
      </c>
      <c r="R3541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4" t="str">
        <f>LEFT(base[[#This Row],[Evento / Mercado]],FIND("/",base[[#This Row],[Evento / Mercado]])-2)</f>
        <v>Vasco da Gama vs Independiente Medellín</v>
      </c>
      <c r="T3541" s="1420">
        <f>base[[#This Row],[Data de liquidação]]</f>
        <v>46232.863819444443</v>
      </c>
    </row>
    <row r="3542" spans="2:20" ht="15" customHeight="1">
      <c r="B3542" s="1169" t="s">
        <v>4148</v>
      </c>
      <c r="C3542" s="935" t="s">
        <v>3556</v>
      </c>
      <c r="D3542" s="1407">
        <v>46232.87400462963</v>
      </c>
      <c r="E3542" s="1171">
        <v>19.579999999999998</v>
      </c>
      <c r="F3542" s="654">
        <v>4.4999999999999998E-2</v>
      </c>
      <c r="G3542" s="1172">
        <f t="shared" si="109"/>
        <v>20.502617801047119</v>
      </c>
      <c r="H3542" s="1172" t="s">
        <v>3868</v>
      </c>
      <c r="I3542" s="1173" t="s">
        <v>4154</v>
      </c>
      <c r="J3542" s="1172">
        <v>1.41</v>
      </c>
      <c r="K3542" s="1172">
        <v>50</v>
      </c>
      <c r="L3542" s="1170">
        <f>INT(base[[#This Row],[Data de liquidação]])</f>
        <v>46232</v>
      </c>
      <c r="M3542" s="1172">
        <f>base[[#This Row],[L/P Bruto]]-base[[#This Row],[L/P Líquido]]</f>
        <v>0.92261780104712088</v>
      </c>
      <c r="N3542" s="1172">
        <f>base[[#This Row],[L/P Líquido]]/base[[#This Row],[Stake/Responsabilidade]]</f>
        <v>0.39159999999999995</v>
      </c>
      <c r="O3542" s="1174">
        <f>IF(base[[#This Row],[L/P Líquido]]&gt;0,1,0)</f>
        <v>1</v>
      </c>
      <c r="P3542" s="1174"/>
      <c r="Q3542" s="1174" t="str">
        <f>LEFT(base[[#This Row],[Evento / Mercado]],FIND("vs",base[[#This Row],[Evento / Mercado]])-2)</f>
        <v>Gimnasia y Esgrima La Plata</v>
      </c>
      <c r="R3542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4" t="str">
        <f>LEFT(base[[#This Row],[Evento / Mercado]],FIND("/",base[[#This Row],[Evento / Mercado]])-2)</f>
        <v>Gimnasia y Esgrima La Plata vs River Plate</v>
      </c>
      <c r="T3542" s="1420">
        <f>base[[#This Row],[Data de liquidação]]</f>
        <v>46232.87400462963</v>
      </c>
    </row>
    <row r="3543" spans="2:20" ht="15" customHeight="1">
      <c r="B3543" s="1169" t="s">
        <v>4147</v>
      </c>
      <c r="C3543" s="935" t="s">
        <v>3556</v>
      </c>
      <c r="D3543" s="1407">
        <v>46232.894155092596</v>
      </c>
      <c r="E3543" s="1171">
        <v>-40.98</v>
      </c>
      <c r="F3543" s="654">
        <v>4.4999999999999998E-2</v>
      </c>
      <c r="G3543" s="1172">
        <f t="shared" si="109"/>
        <v>-40.98</v>
      </c>
      <c r="H3543" s="1053" t="s">
        <v>3817</v>
      </c>
      <c r="I3543" s="1173"/>
      <c r="J3543" s="1172">
        <v>18.5</v>
      </c>
      <c r="K3543" s="1172">
        <v>499.98</v>
      </c>
      <c r="L3543" s="1170">
        <f>INT(base[[#This Row],[Data de liquidação]])</f>
        <v>46232</v>
      </c>
      <c r="M3543" s="1172">
        <f>base[[#This Row],[L/P Bruto]]-base[[#This Row],[L/P Líquido]]</f>
        <v>0</v>
      </c>
      <c r="N3543" s="1172">
        <f>base[[#This Row],[L/P Líquido]]/base[[#This Row],[Stake/Responsabilidade]]</f>
        <v>-8.1963278531141243E-2</v>
      </c>
      <c r="O3543" s="1174">
        <f>IF(base[[#This Row],[L/P Líquido]]&gt;0,1,0)</f>
        <v>0</v>
      </c>
      <c r="P3543" s="1174"/>
      <c r="Q3543" s="1174" t="str">
        <f>LEFT(base[[#This Row],[Evento / Mercado]],FIND("vs",base[[#This Row],[Evento / Mercado]])-2)</f>
        <v>Mirassol FC</v>
      </c>
      <c r="R3543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4" t="str">
        <f>LEFT(base[[#This Row],[Evento / Mercado]],FIND("/",base[[#This Row],[Evento / Mercado]])-2)</f>
        <v>Mirassol FC vs Clube do Remo</v>
      </c>
      <c r="T3543" s="1420">
        <f>base[[#This Row],[Data de liquidação]]</f>
        <v>46232.894155092596</v>
      </c>
    </row>
    <row r="3544" spans="2:20" ht="15" customHeight="1">
      <c r="B3544" s="1169" t="s">
        <v>4146</v>
      </c>
      <c r="C3544" s="935" t="s">
        <v>3556</v>
      </c>
      <c r="D3544" s="1407">
        <v>46232.894918981481</v>
      </c>
      <c r="E3544" s="1171">
        <v>29.36</v>
      </c>
      <c r="F3544" s="654">
        <v>4.4999999999999998E-2</v>
      </c>
      <c r="G3544" s="1172">
        <f t="shared" si="109"/>
        <v>30.7434554973822</v>
      </c>
      <c r="H3544" s="1172" t="s">
        <v>3334</v>
      </c>
      <c r="I3544" s="1173" t="s">
        <v>694</v>
      </c>
      <c r="J3544" s="1172">
        <v>14.5</v>
      </c>
      <c r="K3544" s="1172">
        <v>414.99</v>
      </c>
      <c r="L3544" s="1170">
        <f>INT(base[[#This Row],[Data de liquidação]])</f>
        <v>46232</v>
      </c>
      <c r="M3544" s="1172">
        <f>base[[#This Row],[L/P Bruto]]-base[[#This Row],[L/P Líquido]]</f>
        <v>1.3834554973822009</v>
      </c>
      <c r="N3544" s="1172">
        <f>base[[#This Row],[L/P Líquido]]/base[[#This Row],[Stake/Responsabilidade]]</f>
        <v>7.074869273958409E-2</v>
      </c>
      <c r="O3544" s="1174">
        <f>IF(base[[#This Row],[L/P Líquido]]&gt;0,1,0)</f>
        <v>1</v>
      </c>
      <c r="P3544" s="1174"/>
      <c r="Q3544" s="1174" t="str">
        <f>LEFT(base[[#This Row],[Evento / Mercado]],FIND("vs",base[[#This Row],[Evento / Mercado]])-2)</f>
        <v>SC Internacional</v>
      </c>
      <c r="R3544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4" t="str">
        <f>LEFT(base[[#This Row],[Evento / Mercado]],FIND("/",base[[#This Row],[Evento / Mercado]])-2)</f>
        <v>SC Internacional vs Flamengo</v>
      </c>
      <c r="T3544" s="1420">
        <f>base[[#This Row],[Data de liquidação]]</f>
        <v>46232.894918981481</v>
      </c>
    </row>
    <row r="3545" spans="2:20" ht="15" customHeight="1">
      <c r="B3545" s="1169" t="s">
        <v>4145</v>
      </c>
      <c r="C3545" s="935" t="s">
        <v>3556</v>
      </c>
      <c r="D3545" s="1407">
        <v>46232.978958333333</v>
      </c>
      <c r="E3545" s="1171">
        <v>-100.84</v>
      </c>
      <c r="F3545" s="654">
        <v>4.4999999999999998E-2</v>
      </c>
      <c r="G3545" s="1172">
        <f t="shared" si="109"/>
        <v>-100.84</v>
      </c>
      <c r="H3545" s="1172" t="s">
        <v>314</v>
      </c>
      <c r="I3545" s="1173" t="s">
        <v>349</v>
      </c>
      <c r="J3545" s="1172">
        <v>1.85</v>
      </c>
      <c r="K3545" s="1172">
        <v>100.84</v>
      </c>
      <c r="L3545" s="1170">
        <f>INT(base[[#This Row],[Data de liquidação]])</f>
        <v>46232</v>
      </c>
      <c r="M3545" s="1172">
        <f>base[[#This Row],[L/P Bruto]]-base[[#This Row],[L/P Líquido]]</f>
        <v>0</v>
      </c>
      <c r="N3545" s="1172">
        <f>base[[#This Row],[L/P Líquido]]/base[[#This Row],[Stake/Responsabilidade]]</f>
        <v>-1</v>
      </c>
      <c r="O3545" s="1174">
        <f>IF(base[[#This Row],[L/P Líquido]]&gt;0,1,0)</f>
        <v>0</v>
      </c>
      <c r="P3545" s="1174"/>
      <c r="Q3545" s="1174" t="str">
        <f>LEFT(base[[#This Row],[Evento / Mercado]],FIND("vs",base[[#This Row],[Evento / Mercado]])-2)</f>
        <v>Fluminense FC</v>
      </c>
      <c r="R3545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4" t="str">
        <f>LEFT(base[[#This Row],[Evento / Mercado]],FIND("/",base[[#This Row],[Evento / Mercado]])-2)</f>
        <v>Fluminense FC vs Esporte Clube Bahia</v>
      </c>
      <c r="T3545" s="1420">
        <f>base[[#This Row],[Data de liquidação]]</f>
        <v>46232.978958333333</v>
      </c>
    </row>
    <row r="3546" spans="2:20" ht="15" customHeight="1">
      <c r="B3546" s="1169" t="s">
        <v>4145</v>
      </c>
      <c r="C3546" s="935" t="s">
        <v>3556</v>
      </c>
      <c r="D3546" s="1407">
        <v>46232.978958333333</v>
      </c>
      <c r="E3546" s="1171">
        <v>-5</v>
      </c>
      <c r="F3546" s="654">
        <v>4.4999999999999998E-2</v>
      </c>
      <c r="G3546" s="1172">
        <f t="shared" ref="G3546" si="110">IF(E3546&gt;0,E3546/(1-F3546),E3546)</f>
        <v>-5</v>
      </c>
      <c r="H3546" s="1172" t="s">
        <v>1666</v>
      </c>
      <c r="I3546" s="1173" t="s">
        <v>2883</v>
      </c>
      <c r="J3546" s="1172">
        <v>1.91</v>
      </c>
      <c r="K3546" s="1172">
        <v>5</v>
      </c>
      <c r="L3546" s="1170">
        <f>INT(base[[#This Row],[Data de liquidação]])</f>
        <v>46232</v>
      </c>
      <c r="M3546" s="1172">
        <f>base[[#This Row],[L/P Bruto]]-base[[#This Row],[L/P Líquido]]</f>
        <v>0</v>
      </c>
      <c r="N3546" s="1172">
        <f>base[[#This Row],[L/P Líquido]]/base[[#This Row],[Stake/Responsabilidade]]</f>
        <v>-1</v>
      </c>
      <c r="O3546" s="1174">
        <f>IF(base[[#This Row],[L/P Líquido]]&gt;0,1,0)</f>
        <v>0</v>
      </c>
      <c r="P3546" s="1174"/>
      <c r="Q3546" s="1174" t="str">
        <f>LEFT(base[[#This Row],[Evento / Mercado]],FIND("vs",base[[#This Row],[Evento / Mercado]])-2)</f>
        <v>Fluminense FC</v>
      </c>
      <c r="R3546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4" t="str">
        <f>LEFT(base[[#This Row],[Evento / Mercado]],FIND("/",base[[#This Row],[Evento / Mercado]])-2)</f>
        <v>Fluminense FC vs Esporte Clube Bahia</v>
      </c>
      <c r="T3546" s="1420">
        <f>base[[#This Row],[Data de liquidação]]</f>
        <v>46232.978958333333</v>
      </c>
    </row>
    <row r="3547" spans="2:20" ht="15" customHeight="1">
      <c r="B3547" s="1169" t="s">
        <v>4144</v>
      </c>
      <c r="C3547" s="935" t="s">
        <v>3556</v>
      </c>
      <c r="D3547" s="1407">
        <v>46232.979004629633</v>
      </c>
      <c r="E3547" s="1171">
        <v>5.46</v>
      </c>
      <c r="F3547" s="654">
        <v>4.4999999999999998E-2</v>
      </c>
      <c r="G3547" s="1172">
        <f t="shared" si="109"/>
        <v>5.7172774869109952</v>
      </c>
      <c r="H3547" s="1172" t="s">
        <v>3330</v>
      </c>
      <c r="I3547" s="1248" t="s">
        <v>4368</v>
      </c>
      <c r="J3547" s="1172">
        <v>5.6</v>
      </c>
      <c r="K3547" s="1172">
        <v>100</v>
      </c>
      <c r="L3547" s="1170">
        <f>INT(base[[#This Row],[Data de liquidação]])</f>
        <v>46232</v>
      </c>
      <c r="M3547" s="1172">
        <f>base[[#This Row],[L/P Bruto]]-base[[#This Row],[L/P Líquido]]</f>
        <v>0.25727748691099528</v>
      </c>
      <c r="N3547" s="1172">
        <f>base[[#This Row],[L/P Líquido]]/base[[#This Row],[Stake/Responsabilidade]]</f>
        <v>5.4600000000000003E-2</v>
      </c>
      <c r="O3547" s="1174">
        <f>IF(base[[#This Row],[L/P Líquido]]&gt;0,1,0)</f>
        <v>1</v>
      </c>
      <c r="P3547" s="1174"/>
      <c r="Q3547" s="1174" t="str">
        <f>LEFT(base[[#This Row],[Evento / Mercado]],FIND("vs",base[[#This Row],[Evento / Mercado]])-2)</f>
        <v>Fluminense FC</v>
      </c>
      <c r="R354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4" t="str">
        <f>LEFT(base[[#This Row],[Evento / Mercado]],FIND("/",base[[#This Row],[Evento / Mercado]])-2)</f>
        <v>Fluminense FC vs Esporte Clube Bahia</v>
      </c>
      <c r="T3547" s="1420">
        <f>base[[#This Row],[Data de liquidação]]</f>
        <v>46232.979004629633</v>
      </c>
    </row>
    <row r="3548" spans="2:20" ht="15" customHeight="1">
      <c r="B3548" s="1176" t="s">
        <v>4158</v>
      </c>
      <c r="C3548" s="935" t="s">
        <v>3556</v>
      </c>
      <c r="D3548" s="1408">
        <v>46233.724814814814</v>
      </c>
      <c r="E3548" s="1178">
        <v>0.05</v>
      </c>
      <c r="F3548" s="654">
        <v>4.4999999999999998E-2</v>
      </c>
      <c r="G3548" s="1179">
        <f t="shared" ref="G3548:G3550" si="111">IF(E3548&gt;0,E3548/(1-F3548),E3548)</f>
        <v>5.2356020942408384E-2</v>
      </c>
      <c r="H3548" s="1179" t="s">
        <v>3631</v>
      </c>
      <c r="I3548" s="1180"/>
      <c r="J3548" s="1179">
        <v>1.26</v>
      </c>
      <c r="K3548" s="1179">
        <v>50</v>
      </c>
      <c r="L3548" s="1177">
        <f>INT(base[[#This Row],[Data de liquidação]])</f>
        <v>46233</v>
      </c>
      <c r="M3548" s="1179">
        <f>base[[#This Row],[L/P Bruto]]-base[[#This Row],[L/P Líquido]]</f>
        <v>2.3560209424083808E-3</v>
      </c>
      <c r="N3548" s="1179">
        <f>base[[#This Row],[L/P Líquido]]/base[[#This Row],[Stake/Responsabilidade]]</f>
        <v>1E-3</v>
      </c>
      <c r="O3548" s="1181">
        <f>IF(base[[#This Row],[L/P Líquido]]&gt;0,1,0)</f>
        <v>1</v>
      </c>
      <c r="P3548" s="1181"/>
      <c r="Q3548" s="1181" t="str">
        <f>LEFT(base[[#This Row],[Evento / Mercado]],FIND("vs",base[[#This Row],[Evento / Mercado]])-2)</f>
        <v>Ferencvárosi TC</v>
      </c>
      <c r="R3548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1" t="str">
        <f>LEFT(base[[#This Row],[Evento / Mercado]],FIND("/",base[[#This Row],[Evento / Mercado]])-2)</f>
        <v>Ferencvárosi TC vs FC Twente</v>
      </c>
      <c r="T3548" s="1420">
        <f>base[[#This Row],[Data de liquidação]]</f>
        <v>46233.724814814814</v>
      </c>
    </row>
    <row r="3549" spans="2:20" ht="15" customHeight="1">
      <c r="B3549" s="1176" t="s">
        <v>4157</v>
      </c>
      <c r="C3549" s="935" t="s">
        <v>3556</v>
      </c>
      <c r="D3549" s="1408">
        <v>46233.958067129628</v>
      </c>
      <c r="E3549" s="1178">
        <v>17.38</v>
      </c>
      <c r="F3549" s="654">
        <v>4.4999999999999998E-2</v>
      </c>
      <c r="G3549" s="1179">
        <f t="shared" si="111"/>
        <v>18.198952879581153</v>
      </c>
      <c r="H3549" s="1172" t="s">
        <v>3868</v>
      </c>
      <c r="I3549" s="1180" t="s">
        <v>4159</v>
      </c>
      <c r="J3549" s="1179">
        <v>1.52</v>
      </c>
      <c r="K3549" s="1179">
        <v>35</v>
      </c>
      <c r="L3549" s="1177">
        <f>INT(base[[#This Row],[Data de liquidação]])</f>
        <v>46233</v>
      </c>
      <c r="M3549" s="1179">
        <f>base[[#This Row],[L/P Bruto]]-base[[#This Row],[L/P Líquido]]</f>
        <v>0.81895287958115404</v>
      </c>
      <c r="N3549" s="1179">
        <f>base[[#This Row],[L/P Líquido]]/base[[#This Row],[Stake/Responsabilidade]]</f>
        <v>0.49657142857142855</v>
      </c>
      <c r="O3549" s="1181">
        <f>IF(base[[#This Row],[L/P Líquido]]&gt;0,1,0)</f>
        <v>1</v>
      </c>
      <c r="P3549" s="1181"/>
      <c r="Q3549" s="1181" t="str">
        <f>LEFT(base[[#This Row],[Evento / Mercado]],FIND("vs",base[[#This Row],[Evento / Mercado]])-2)</f>
        <v>Coritiba</v>
      </c>
      <c r="R3549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1" t="str">
        <f>LEFT(base[[#This Row],[Evento / Mercado]],FIND("/",base[[#This Row],[Evento / Mercado]])-2)</f>
        <v>Coritiba vs Cruzeiro</v>
      </c>
      <c r="T3549" s="1420">
        <f>base[[#This Row],[Data de liquidação]]</f>
        <v>46233.958067129628</v>
      </c>
    </row>
    <row r="3550" spans="2:20" ht="15" customHeight="1">
      <c r="B3550" s="1176" t="s">
        <v>4156</v>
      </c>
      <c r="C3550" s="935" t="s">
        <v>3556</v>
      </c>
      <c r="D3550" s="1408">
        <v>46233.959710648145</v>
      </c>
      <c r="E3550" s="1178">
        <v>9.74</v>
      </c>
      <c r="F3550" s="654">
        <v>4.4999999999999998E-2</v>
      </c>
      <c r="G3550" s="1179">
        <f t="shared" si="111"/>
        <v>10.198952879581153</v>
      </c>
      <c r="H3550" s="1179" t="s">
        <v>1666</v>
      </c>
      <c r="I3550" s="1180" t="s">
        <v>2301</v>
      </c>
      <c r="J3550" s="1179">
        <v>1.51</v>
      </c>
      <c r="K3550" s="1179">
        <v>20</v>
      </c>
      <c r="L3550" s="1177">
        <f>INT(base[[#This Row],[Data de liquidação]])</f>
        <v>46233</v>
      </c>
      <c r="M3550" s="1179">
        <f>base[[#This Row],[L/P Bruto]]-base[[#This Row],[L/P Líquido]]</f>
        <v>0.45895287958115283</v>
      </c>
      <c r="N3550" s="1179">
        <f>base[[#This Row],[L/P Líquido]]/base[[#This Row],[Stake/Responsabilidade]]</f>
        <v>0.48699999999999999</v>
      </c>
      <c r="O3550" s="1181">
        <f>IF(base[[#This Row],[L/P Líquido]]&gt;0,1,0)</f>
        <v>1</v>
      </c>
      <c r="P3550" s="1181"/>
      <c r="Q3550" s="1181" t="str">
        <f>LEFT(base[[#This Row],[Evento / Mercado]],FIND("vs",base[[#This Row],[Evento / Mercado]])-2)</f>
        <v>O'Higgins</v>
      </c>
      <c r="R3550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1" t="str">
        <f>LEFT(base[[#This Row],[Evento / Mercado]],FIND("/",base[[#This Row],[Evento / Mercado]])-2)</f>
        <v>O'Higgins vs Boca Juniors</v>
      </c>
      <c r="T3550" s="1420">
        <f>base[[#This Row],[Data de liquidação]]</f>
        <v>46233.959710648145</v>
      </c>
    </row>
    <row r="3551" spans="2:20" ht="15" customHeight="1">
      <c r="B3551" s="1182" t="s">
        <v>4227</v>
      </c>
      <c r="C3551" s="935" t="s">
        <v>3556</v>
      </c>
      <c r="D3551" s="1409">
        <v>46234.591446759259</v>
      </c>
      <c r="E3551" s="1184">
        <v>9.85</v>
      </c>
      <c r="F3551" s="654">
        <v>4.4999999999999998E-2</v>
      </c>
      <c r="G3551" s="1185">
        <f t="shared" ref="G3551:G3560" si="112">IF(E3551&gt;0,E3551/(1-F3551),E3551)</f>
        <v>10.31413612565445</v>
      </c>
      <c r="H3551" s="1185" t="s">
        <v>1666</v>
      </c>
      <c r="I3551" s="1186" t="s">
        <v>2301</v>
      </c>
      <c r="J3551" s="1185">
        <v>1.52</v>
      </c>
      <c r="K3551" s="1185">
        <v>20</v>
      </c>
      <c r="L3551" s="1183">
        <f>INT(base[[#This Row],[Data de liquidação]])</f>
        <v>46234</v>
      </c>
      <c r="M3551" s="1185">
        <f>base[[#This Row],[L/P Bruto]]-base[[#This Row],[L/P Líquido]]</f>
        <v>0.46413612565445028</v>
      </c>
      <c r="N3551" s="1185">
        <f>base[[#This Row],[L/P Líquido]]/base[[#This Row],[Stake/Responsabilidade]]</f>
        <v>0.49249999999999999</v>
      </c>
      <c r="O3551" s="1187">
        <f>IF(base[[#This Row],[L/P Líquido]]&gt;0,1,0)</f>
        <v>1</v>
      </c>
      <c r="P3551" s="1187"/>
      <c r="Q3551" s="1187" t="str">
        <f>LEFT(base[[#This Row],[Evento / Mercado]],FIND("vs",base[[#This Row],[Evento / Mercado]])-2)</f>
        <v>FC Arges Pitesti</v>
      </c>
      <c r="R3551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7" t="str">
        <f>LEFT(base[[#This Row],[Evento / Mercado]],FIND("/",base[[#This Row],[Evento / Mercado]])-2)</f>
        <v>FC Arges Pitesti vs FC Csikszereda Miercurea Ciuc</v>
      </c>
      <c r="T3551" s="1420">
        <f>base[[#This Row],[Data de liquidação]]</f>
        <v>46234.591446759259</v>
      </c>
    </row>
    <row r="3552" spans="2:20" ht="15" customHeight="1">
      <c r="B3552" s="1182" t="s">
        <v>4226</v>
      </c>
      <c r="C3552" s="935" t="s">
        <v>3556</v>
      </c>
      <c r="D3552" s="1409">
        <v>46234.62226851852</v>
      </c>
      <c r="E3552" s="1184">
        <v>17.36</v>
      </c>
      <c r="F3552" s="654">
        <v>4.4999999999999998E-2</v>
      </c>
      <c r="G3552" s="1185">
        <f t="shared" si="112"/>
        <v>18.178010471204189</v>
      </c>
      <c r="H3552" s="1185" t="s">
        <v>74</v>
      </c>
      <c r="I3552" s="1186" t="s">
        <v>627</v>
      </c>
      <c r="J3552" s="1185">
        <v>23</v>
      </c>
      <c r="K3552" s="1185">
        <v>399.96</v>
      </c>
      <c r="L3552" s="1183">
        <f>INT(base[[#This Row],[Data de liquidação]])</f>
        <v>46234</v>
      </c>
      <c r="M3552" s="1185">
        <f>base[[#This Row],[L/P Bruto]]-base[[#This Row],[L/P Líquido]]</f>
        <v>0.81801047120418957</v>
      </c>
      <c r="N3552" s="1185">
        <f>base[[#This Row],[L/P Líquido]]/base[[#This Row],[Stake/Responsabilidade]]</f>
        <v>4.3404340434043405E-2</v>
      </c>
      <c r="O3552" s="1187">
        <f>IF(base[[#This Row],[L/P Líquido]]&gt;0,1,0)</f>
        <v>1</v>
      </c>
      <c r="P3552" s="1187"/>
      <c r="Q3552" s="1187" t="str">
        <f>LEFT(base[[#This Row],[Evento / Mercado]],FIND("vs",base[[#This Row],[Evento / Mercado]])-2)</f>
        <v>FC Nõmme United</v>
      </c>
      <c r="R3552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7" t="str">
        <f>LEFT(base[[#This Row],[Evento / Mercado]],FIND("/",base[[#This Row],[Evento / Mercado]])-2)</f>
        <v>FC Nõmme United vs Narva Trans</v>
      </c>
      <c r="T3552" s="1420">
        <f>base[[#This Row],[Data de liquidação]]</f>
        <v>46234.62226851852</v>
      </c>
    </row>
    <row r="3553" spans="2:20" ht="15" customHeight="1">
      <c r="B3553" s="1182" t="s">
        <v>4225</v>
      </c>
      <c r="C3553" s="935" t="s">
        <v>3556</v>
      </c>
      <c r="D3553" s="1409">
        <v>46234.65997685185</v>
      </c>
      <c r="E3553" s="1184">
        <v>-5</v>
      </c>
      <c r="F3553" s="654">
        <v>4.4999999999999998E-2</v>
      </c>
      <c r="G3553" s="1185">
        <f t="shared" si="112"/>
        <v>-5</v>
      </c>
      <c r="H3553" s="1185" t="s">
        <v>1666</v>
      </c>
      <c r="I3553" s="1173" t="s">
        <v>2883</v>
      </c>
      <c r="J3553" s="1185">
        <v>1.72</v>
      </c>
      <c r="K3553" s="1185">
        <v>5</v>
      </c>
      <c r="L3553" s="1183">
        <f>INT(base[[#This Row],[Data de liquidação]])</f>
        <v>46234</v>
      </c>
      <c r="M3553" s="1185">
        <f>base[[#This Row],[L/P Bruto]]-base[[#This Row],[L/P Líquido]]</f>
        <v>0</v>
      </c>
      <c r="N3553" s="1185">
        <f>base[[#This Row],[L/P Líquido]]/base[[#This Row],[Stake/Responsabilidade]]</f>
        <v>-1</v>
      </c>
      <c r="O3553" s="1187">
        <f>IF(base[[#This Row],[L/P Líquido]]&gt;0,1,0)</f>
        <v>0</v>
      </c>
      <c r="P3553" s="1187"/>
      <c r="Q3553" s="1187" t="str">
        <f>LEFT(base[[#This Row],[Evento / Mercado]],FIND("vs",base[[#This Row],[Evento / Mercado]])-2)</f>
        <v>IK Oddevold</v>
      </c>
      <c r="R3553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7" t="str">
        <f>LEFT(base[[#This Row],[Evento / Mercado]],FIND("/",base[[#This Row],[Evento / Mercado]])-2)</f>
        <v>IK Oddevold vs Norrby IF</v>
      </c>
      <c r="T3553" s="1420">
        <f>base[[#This Row],[Data de liquidação]]</f>
        <v>46234.65997685185</v>
      </c>
    </row>
    <row r="3554" spans="2:20" ht="15" customHeight="1">
      <c r="B3554" s="1182" t="s">
        <v>4224</v>
      </c>
      <c r="C3554" s="935" t="s">
        <v>3556</v>
      </c>
      <c r="D3554" s="1409">
        <v>46234.659988425927</v>
      </c>
      <c r="E3554" s="1184">
        <v>7.9</v>
      </c>
      <c r="F3554" s="654">
        <v>4.4999999999999998E-2</v>
      </c>
      <c r="G3554" s="1185">
        <f t="shared" si="112"/>
        <v>8.2722513089005236</v>
      </c>
      <c r="H3554" s="1185" t="s">
        <v>3330</v>
      </c>
      <c r="I3554" s="1248" t="s">
        <v>4368</v>
      </c>
      <c r="J3554" s="1185">
        <v>4.8</v>
      </c>
      <c r="K3554" s="1185">
        <v>100.02</v>
      </c>
      <c r="L3554" s="1183">
        <f>INT(base[[#This Row],[Data de liquidação]])</f>
        <v>46234</v>
      </c>
      <c r="M3554" s="1185">
        <f>base[[#This Row],[L/P Bruto]]-base[[#This Row],[L/P Líquido]]</f>
        <v>0.37225130890052327</v>
      </c>
      <c r="N3554" s="1185">
        <f>base[[#This Row],[L/P Líquido]]/base[[#This Row],[Stake/Responsabilidade]]</f>
        <v>7.8984203159368133E-2</v>
      </c>
      <c r="O3554" s="1187">
        <f>IF(base[[#This Row],[L/P Líquido]]&gt;0,1,0)</f>
        <v>1</v>
      </c>
      <c r="P3554" s="1187"/>
      <c r="Q3554" s="1187" t="str">
        <f>LEFT(base[[#This Row],[Evento / Mercado]],FIND("vs",base[[#This Row],[Evento / Mercado]])-2)</f>
        <v>IK Oddevold</v>
      </c>
      <c r="R3554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7" t="str">
        <f>LEFT(base[[#This Row],[Evento / Mercado]],FIND("/",base[[#This Row],[Evento / Mercado]])-2)</f>
        <v>IK Oddevold vs Norrby IF</v>
      </c>
      <c r="T3554" s="1420">
        <f>base[[#This Row],[Data de liquidação]]</f>
        <v>46234.659988425927</v>
      </c>
    </row>
    <row r="3555" spans="2:20" ht="15" customHeight="1">
      <c r="B3555" s="1182" t="s">
        <v>4223</v>
      </c>
      <c r="C3555" s="935" t="s">
        <v>3556</v>
      </c>
      <c r="D3555" s="1409">
        <v>46234.663090277776</v>
      </c>
      <c r="E3555" s="1184">
        <v>9.24</v>
      </c>
      <c r="F3555" s="654">
        <v>4.4999999999999998E-2</v>
      </c>
      <c r="G3555" s="1185">
        <f t="shared" si="112"/>
        <v>9.6753926701570681</v>
      </c>
      <c r="H3555" s="1185" t="s">
        <v>3334</v>
      </c>
      <c r="I3555" s="1186" t="s">
        <v>627</v>
      </c>
      <c r="J3555" s="1185">
        <v>32</v>
      </c>
      <c r="K3555" s="1185">
        <v>300.08</v>
      </c>
      <c r="L3555" s="1183">
        <f>INT(base[[#This Row],[Data de liquidação]])</f>
        <v>46234</v>
      </c>
      <c r="M3555" s="1185">
        <f>base[[#This Row],[L/P Bruto]]-base[[#This Row],[L/P Líquido]]</f>
        <v>0.43539267015706784</v>
      </c>
      <c r="N3555" s="1185">
        <f>base[[#This Row],[L/P Líquido]]/base[[#This Row],[Stake/Responsabilidade]]</f>
        <v>3.0791788856304989E-2</v>
      </c>
      <c r="O3555" s="1187">
        <f>IF(base[[#This Row],[L/P Líquido]]&gt;0,1,0)</f>
        <v>1</v>
      </c>
      <c r="P3555" s="1187"/>
      <c r="Q3555" s="1187" t="str">
        <f>LEFT(base[[#This Row],[Evento / Mercado]],FIND("vs",base[[#This Row],[Evento / Mercado]])-2)</f>
        <v>Vålerenga</v>
      </c>
      <c r="R3555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7" t="str">
        <f>LEFT(base[[#This Row],[Evento / Mercado]],FIND("/",base[[#This Row],[Evento / Mercado]])-2)</f>
        <v>Vålerenga vs Hamarkameratene</v>
      </c>
      <c r="T3555" s="1420">
        <f>base[[#This Row],[Data de liquidação]]</f>
        <v>46234.663090277776</v>
      </c>
    </row>
    <row r="3556" spans="2:20" ht="15" customHeight="1">
      <c r="B3556" s="1182" t="s">
        <v>4222</v>
      </c>
      <c r="C3556" s="935" t="s">
        <v>3556</v>
      </c>
      <c r="D3556" s="1409">
        <v>46234.663217592592</v>
      </c>
      <c r="E3556" s="1184">
        <v>-153.77000000000001</v>
      </c>
      <c r="F3556" s="654">
        <v>4.4999999999999998E-2</v>
      </c>
      <c r="G3556" s="1185">
        <f t="shared" si="112"/>
        <v>-153.77000000000001</v>
      </c>
      <c r="H3556" s="1185" t="s">
        <v>179</v>
      </c>
      <c r="I3556" s="1186" t="s">
        <v>392</v>
      </c>
      <c r="J3556" s="1185">
        <v>5.5</v>
      </c>
      <c r="K3556" s="1185">
        <v>435.02</v>
      </c>
      <c r="L3556" s="1183">
        <f>INT(base[[#This Row],[Data de liquidação]])</f>
        <v>46234</v>
      </c>
      <c r="M3556" s="1185">
        <f>base[[#This Row],[L/P Bruto]]-base[[#This Row],[L/P Líquido]]</f>
        <v>0</v>
      </c>
      <c r="N3556" s="1185">
        <f>base[[#This Row],[L/P Líquido]]/base[[#This Row],[Stake/Responsabilidade]]</f>
        <v>-0.35347800101144777</v>
      </c>
      <c r="O3556" s="1187">
        <f>IF(base[[#This Row],[L/P Líquido]]&gt;0,1,0)</f>
        <v>0</v>
      </c>
      <c r="P3556" s="1187"/>
      <c r="Q3556" s="1187" t="str">
        <f>LEFT(base[[#This Row],[Evento / Mercado]],FIND("vs",base[[#This Row],[Evento / Mercado]])-2)</f>
        <v>Vålerenga</v>
      </c>
      <c r="R3556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7" t="str">
        <f>LEFT(base[[#This Row],[Evento / Mercado]],FIND("/",base[[#This Row],[Evento / Mercado]])-2)</f>
        <v>Vålerenga vs Hamarkameratene</v>
      </c>
      <c r="T3556" s="1420">
        <f>base[[#This Row],[Data de liquidação]]</f>
        <v>46234.663217592592</v>
      </c>
    </row>
    <row r="3557" spans="2:20" ht="15" customHeight="1">
      <c r="B3557" s="1188" t="s">
        <v>4222</v>
      </c>
      <c r="C3557" s="1188" t="s">
        <v>3555</v>
      </c>
      <c r="D3557" s="1409">
        <v>46234.663217592592</v>
      </c>
      <c r="E3557" s="1184">
        <v>-36.75</v>
      </c>
      <c r="F3557" s="654">
        <v>4.4999999999999998E-2</v>
      </c>
      <c r="G3557" s="1185">
        <f>IF(E3557&gt;0,E3557/(1-F3557),E3557)</f>
        <v>-36.75</v>
      </c>
      <c r="H3557" s="1189" t="s">
        <v>3330</v>
      </c>
      <c r="I3557" s="1248" t="s">
        <v>4368</v>
      </c>
      <c r="J3557" s="1185">
        <v>5.8</v>
      </c>
      <c r="K3557" s="1185">
        <v>99.98</v>
      </c>
      <c r="L3557" s="1183">
        <f>INT(base[[#This Row],[Data de liquidação]])</f>
        <v>46234</v>
      </c>
      <c r="M3557" s="1185">
        <f>base[[#This Row],[L/P Bruto]]-base[[#This Row],[L/P Líquido]]</f>
        <v>0</v>
      </c>
      <c r="N3557" s="1185">
        <f>base[[#This Row],[L/P Líquido]]/base[[#This Row],[Stake/Responsabilidade]]</f>
        <v>-0.36757351470294058</v>
      </c>
      <c r="O3557" s="1187">
        <f>IF(base[[#This Row],[L/P Líquido]]&gt;0,1,0)</f>
        <v>0</v>
      </c>
      <c r="P3557" s="1187"/>
      <c r="Q3557" s="1187" t="str">
        <f>LEFT(base[[#This Row],[Evento / Mercado]],FIND("vs",base[[#This Row],[Evento / Mercado]])-2)</f>
        <v>Vålerenga</v>
      </c>
      <c r="R3557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7" t="str">
        <f>LEFT(base[[#This Row],[Evento / Mercado]],FIND("/",base[[#This Row],[Evento / Mercado]])-2)</f>
        <v>Vålerenga vs Hamarkameratene</v>
      </c>
      <c r="T3557" s="1420">
        <f>base[[#This Row],[Data de liquidação]]</f>
        <v>46234.663217592592</v>
      </c>
    </row>
    <row r="3558" spans="2:20" ht="15" customHeight="1">
      <c r="B3558" s="1182" t="s">
        <v>4221</v>
      </c>
      <c r="C3558" s="935" t="s">
        <v>3556</v>
      </c>
      <c r="D3558" s="1409">
        <v>46234.734733796293</v>
      </c>
      <c r="E3558" s="1184">
        <v>36.29</v>
      </c>
      <c r="F3558" s="654">
        <v>4.4999999999999998E-2</v>
      </c>
      <c r="G3558" s="1185">
        <f t="shared" si="112"/>
        <v>38</v>
      </c>
      <c r="H3558" s="1185" t="s">
        <v>3271</v>
      </c>
      <c r="I3558" s="1186" t="s">
        <v>627</v>
      </c>
      <c r="J3558" s="1185">
        <v>11</v>
      </c>
      <c r="K3558" s="1185">
        <v>380</v>
      </c>
      <c r="L3558" s="1183">
        <f>INT(base[[#This Row],[Data de liquidação]])</f>
        <v>46234</v>
      </c>
      <c r="M3558" s="1185">
        <f>base[[#This Row],[L/P Bruto]]-base[[#This Row],[L/P Líquido]]</f>
        <v>1.7100000000000009</v>
      </c>
      <c r="N3558" s="1185">
        <f>base[[#This Row],[L/P Líquido]]/base[[#This Row],[Stake/Responsabilidade]]</f>
        <v>9.5500000000000002E-2</v>
      </c>
      <c r="O3558" s="1187">
        <f>IF(base[[#This Row],[L/P Líquido]]&gt;0,1,0)</f>
        <v>1</v>
      </c>
      <c r="P3558" s="1187"/>
      <c r="Q3558" s="1187" t="str">
        <f>LEFT(base[[#This Row],[Evento / Mercado]],FIND("vs",base[[#This Row],[Evento / Mercado]])-2)</f>
        <v>Dundalk</v>
      </c>
      <c r="R3558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7" t="str">
        <f>LEFT(base[[#This Row],[Evento / Mercado]],FIND("/",base[[#This Row],[Evento / Mercado]])-2)</f>
        <v>Dundalk vs Sligo Rovers</v>
      </c>
      <c r="T3558" s="1420">
        <f>base[[#This Row],[Data de liquidação]]</f>
        <v>46234.734733796293</v>
      </c>
    </row>
    <row r="3559" spans="2:20" ht="15" customHeight="1">
      <c r="B3559" s="1182" t="s">
        <v>4220</v>
      </c>
      <c r="C3559" s="935" t="s">
        <v>3556</v>
      </c>
      <c r="D3559" s="1409">
        <v>46234.943993055553</v>
      </c>
      <c r="E3559" s="1184">
        <v>-5.89</v>
      </c>
      <c r="F3559" s="654">
        <v>4.4999999999999998E-2</v>
      </c>
      <c r="G3559" s="1185">
        <f t="shared" si="112"/>
        <v>-5.89</v>
      </c>
      <c r="H3559" s="1185" t="s">
        <v>3631</v>
      </c>
      <c r="I3559" s="1186"/>
      <c r="J3559" s="1185">
        <v>1.24</v>
      </c>
      <c r="K3559" s="1185">
        <v>50</v>
      </c>
      <c r="L3559" s="1183">
        <f>INT(base[[#This Row],[Data de liquidação]])</f>
        <v>46234</v>
      </c>
      <c r="M3559" s="1185">
        <f>base[[#This Row],[L/P Bruto]]-base[[#This Row],[L/P Líquido]]</f>
        <v>0</v>
      </c>
      <c r="N3559" s="1185">
        <f>base[[#This Row],[L/P Líquido]]/base[[#This Row],[Stake/Responsabilidade]]</f>
        <v>-0.11779999999999999</v>
      </c>
      <c r="O3559" s="1187">
        <f>IF(base[[#This Row],[L/P Líquido]]&gt;0,1,0)</f>
        <v>0</v>
      </c>
      <c r="P3559" s="1187"/>
      <c r="Q3559" s="1187" t="str">
        <f>LEFT(base[[#This Row],[Evento / Mercado]],FIND("vs",base[[#This Row],[Evento / Mercado]])-2)</f>
        <v>New York City FC</v>
      </c>
      <c r="R3559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7" t="str">
        <f>LEFT(base[[#This Row],[Evento / Mercado]],FIND("/",base[[#This Row],[Evento / Mercado]])-2)</f>
        <v>New York City FC vs Toronto FC</v>
      </c>
      <c r="T3559" s="1420">
        <f>base[[#This Row],[Data de liquidação]]</f>
        <v>46234.943993055553</v>
      </c>
    </row>
    <row r="3560" spans="2:20" ht="15" customHeight="1">
      <c r="B3560" s="1182" t="s">
        <v>4219</v>
      </c>
      <c r="C3560" s="935" t="s">
        <v>3556</v>
      </c>
      <c r="D3560" s="1409">
        <v>46234.996979166666</v>
      </c>
      <c r="E3560" s="1184">
        <v>-50</v>
      </c>
      <c r="F3560" s="654">
        <v>4.4999999999999998E-2</v>
      </c>
      <c r="G3560" s="1185">
        <f t="shared" si="112"/>
        <v>-50</v>
      </c>
      <c r="H3560" s="1185" t="s">
        <v>3868</v>
      </c>
      <c r="I3560" s="1186" t="s">
        <v>4159</v>
      </c>
      <c r="J3560" s="1185">
        <v>2.76</v>
      </c>
      <c r="K3560" s="1185">
        <v>50</v>
      </c>
      <c r="L3560" s="1183">
        <f>INT(base[[#This Row],[Data de liquidação]])</f>
        <v>46234</v>
      </c>
      <c r="M3560" s="1185">
        <f>base[[#This Row],[L/P Bruto]]-base[[#This Row],[L/P Líquido]]</f>
        <v>0</v>
      </c>
      <c r="N3560" s="1185">
        <f>base[[#This Row],[L/P Líquido]]/base[[#This Row],[Stake/Responsabilidade]]</f>
        <v>-1</v>
      </c>
      <c r="O3560" s="1187">
        <f>IF(base[[#This Row],[L/P Líquido]]&gt;0,1,0)</f>
        <v>0</v>
      </c>
      <c r="P3560" s="1187"/>
      <c r="Q3560" s="1187" t="str">
        <f>LEFT(base[[#This Row],[Evento / Mercado]],FIND("vs",base[[#This Row],[Evento / Mercado]])-2)</f>
        <v>Fortaleza FC</v>
      </c>
      <c r="R3560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7" t="str">
        <f>LEFT(base[[#This Row],[Evento / Mercado]],FIND("/",base[[#This Row],[Evento / Mercado]])-2)</f>
        <v>Fortaleza FC vs Deportivo Pereira</v>
      </c>
      <c r="T3560" s="1420">
        <f>base[[#This Row],[Data de liquidação]]</f>
        <v>46234.996979166666</v>
      </c>
    </row>
    <row r="3561" spans="2:20" ht="15" customHeight="1">
      <c r="B3561" s="1188" t="s">
        <v>4248</v>
      </c>
      <c r="C3561" s="935" t="s">
        <v>3556</v>
      </c>
      <c r="D3561" s="1410">
        <v>46235.427037037036</v>
      </c>
      <c r="E3561" s="1192">
        <v>20.86</v>
      </c>
      <c r="F3561" s="654">
        <v>4.4999999999999998E-2</v>
      </c>
      <c r="G3561" s="1189">
        <f t="shared" ref="G3561:G3580" si="113">IF(E3561&gt;0,E3561/(1-F3561),E3561)</f>
        <v>21.842931937172775</v>
      </c>
      <c r="H3561" s="1185" t="s">
        <v>74</v>
      </c>
      <c r="I3561" s="1186" t="s">
        <v>627</v>
      </c>
      <c r="J3561" s="1189">
        <v>20</v>
      </c>
      <c r="K3561" s="1189">
        <v>414.96</v>
      </c>
      <c r="L3561" s="1191">
        <f>INT(base[[#This Row],[Data de liquidação]])</f>
        <v>46235</v>
      </c>
      <c r="M3561" s="1189">
        <f>base[[#This Row],[L/P Bruto]]-base[[#This Row],[L/P Líquido]]</f>
        <v>0.9829319371727756</v>
      </c>
      <c r="N3561" s="1189">
        <f>base[[#This Row],[L/P Líquido]]/base[[#This Row],[Stake/Responsabilidade]]</f>
        <v>5.026990553306343E-2</v>
      </c>
      <c r="O3561" s="1193">
        <f>IF(base[[#This Row],[L/P Líquido]]&gt;0,1,0)</f>
        <v>1</v>
      </c>
      <c r="P3561" s="1193"/>
      <c r="Q3561" s="1193" t="str">
        <f>LEFT(base[[#This Row],[Evento / Mercado]],FIND("vs",base[[#This Row],[Evento / Mercado]])-2)</f>
        <v>Östersunds FK</v>
      </c>
      <c r="R356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3" t="str">
        <f>LEFT(base[[#This Row],[Evento / Mercado]],FIND("/",base[[#This Row],[Evento / Mercado]])-2)</f>
        <v>Östersunds FK vs Östers IF</v>
      </c>
      <c r="T3561" s="1420">
        <f>base[[#This Row],[Data de liquidação]]</f>
        <v>46235.427037037036</v>
      </c>
    </row>
    <row r="3562" spans="2:20" ht="15" customHeight="1">
      <c r="B3562" s="1188" t="s">
        <v>4247</v>
      </c>
      <c r="C3562" s="935" t="s">
        <v>3556</v>
      </c>
      <c r="D3562" s="1410">
        <v>46235.427152777775</v>
      </c>
      <c r="E3562" s="1192">
        <v>16.27</v>
      </c>
      <c r="F3562" s="654">
        <v>4.4999999999999998E-2</v>
      </c>
      <c r="G3562" s="1189">
        <f t="shared" si="113"/>
        <v>17.036649214659686</v>
      </c>
      <c r="H3562" s="1189" t="s">
        <v>3330</v>
      </c>
      <c r="I3562" s="1248" t="s">
        <v>4368</v>
      </c>
      <c r="J3562" s="1189">
        <v>4.4000000000000004</v>
      </c>
      <c r="K3562" s="1189">
        <v>124.98</v>
      </c>
      <c r="L3562" s="1191">
        <f>INT(base[[#This Row],[Data de liquidação]])</f>
        <v>46235</v>
      </c>
      <c r="M3562" s="1189">
        <f>base[[#This Row],[L/P Bruto]]-base[[#This Row],[L/P Líquido]]</f>
        <v>0.76664921465968661</v>
      </c>
      <c r="N3562" s="1189">
        <f>base[[#This Row],[L/P Líquido]]/base[[#This Row],[Stake/Responsabilidade]]</f>
        <v>0.13018082893262922</v>
      </c>
      <c r="O3562" s="1193">
        <f>IF(base[[#This Row],[L/P Líquido]]&gt;0,1,0)</f>
        <v>1</v>
      </c>
      <c r="P3562" s="1193"/>
      <c r="Q3562" s="1193" t="str">
        <f>LEFT(base[[#This Row],[Evento / Mercado]],FIND("vs",base[[#This Row],[Evento / Mercado]])-2)</f>
        <v>Östersunds FK</v>
      </c>
      <c r="R356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3" t="str">
        <f>LEFT(base[[#This Row],[Evento / Mercado]],FIND("/",base[[#This Row],[Evento / Mercado]])-2)</f>
        <v>Östersunds FK vs Östers IF</v>
      </c>
      <c r="T3562" s="1420">
        <f>base[[#This Row],[Data de liquidação]]</f>
        <v>46235.427152777775</v>
      </c>
    </row>
    <row r="3563" spans="2:20" ht="15" customHeight="1">
      <c r="B3563" s="1188" t="s">
        <v>4246</v>
      </c>
      <c r="C3563" s="935" t="s">
        <v>3556</v>
      </c>
      <c r="D3563" s="1410">
        <v>46235.427164351851</v>
      </c>
      <c r="E3563" s="1192">
        <v>-5</v>
      </c>
      <c r="F3563" s="654">
        <v>4.4999999999999998E-2</v>
      </c>
      <c r="G3563" s="1189">
        <f t="shared" si="113"/>
        <v>-5</v>
      </c>
      <c r="H3563" s="1185" t="s">
        <v>1666</v>
      </c>
      <c r="I3563" s="1173" t="s">
        <v>2883</v>
      </c>
      <c r="J3563" s="1189">
        <v>1.64</v>
      </c>
      <c r="K3563" s="1189">
        <v>5</v>
      </c>
      <c r="L3563" s="1191">
        <f>INT(base[[#This Row],[Data de liquidação]])</f>
        <v>46235</v>
      </c>
      <c r="M3563" s="1189">
        <f>base[[#This Row],[L/P Bruto]]-base[[#This Row],[L/P Líquido]]</f>
        <v>0</v>
      </c>
      <c r="N3563" s="1189">
        <f>base[[#This Row],[L/P Líquido]]/base[[#This Row],[Stake/Responsabilidade]]</f>
        <v>-1</v>
      </c>
      <c r="O3563" s="1193">
        <f>IF(base[[#This Row],[L/P Líquido]]&gt;0,1,0)</f>
        <v>0</v>
      </c>
      <c r="P3563" s="1193"/>
      <c r="Q3563" s="1193" t="str">
        <f>LEFT(base[[#This Row],[Evento / Mercado]],FIND("vs",base[[#This Row],[Evento / Mercado]])-2)</f>
        <v>Östersunds FK</v>
      </c>
      <c r="R356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3" t="str">
        <f>LEFT(base[[#This Row],[Evento / Mercado]],FIND("/",base[[#This Row],[Evento / Mercado]])-2)</f>
        <v>Östersunds FK vs Östers IF</v>
      </c>
      <c r="T3563" s="1420">
        <f>base[[#This Row],[Data de liquidação]]</f>
        <v>46235.427164351851</v>
      </c>
    </row>
    <row r="3564" spans="2:20" ht="15" customHeight="1">
      <c r="B3564" s="1188" t="s">
        <v>4245</v>
      </c>
      <c r="C3564" s="935" t="s">
        <v>3556</v>
      </c>
      <c r="D3564" s="1410">
        <v>46235.444814814815</v>
      </c>
      <c r="E3564" s="1192">
        <v>-2</v>
      </c>
      <c r="F3564" s="654">
        <v>4.4999999999999998E-2</v>
      </c>
      <c r="G3564" s="1189">
        <f t="shared" si="113"/>
        <v>-2</v>
      </c>
      <c r="H3564" s="1185" t="s">
        <v>1666</v>
      </c>
      <c r="I3564" s="1190" t="s">
        <v>3333</v>
      </c>
      <c r="J3564" s="1189">
        <v>1.25</v>
      </c>
      <c r="K3564" s="1189">
        <v>2</v>
      </c>
      <c r="L3564" s="1191">
        <f>INT(base[[#This Row],[Data de liquidação]])</f>
        <v>46235</v>
      </c>
      <c r="M3564" s="1189">
        <f>base[[#This Row],[L/P Bruto]]-base[[#This Row],[L/P Líquido]]</f>
        <v>0</v>
      </c>
      <c r="N3564" s="1189">
        <f>base[[#This Row],[L/P Líquido]]/base[[#This Row],[Stake/Responsabilidade]]</f>
        <v>-1</v>
      </c>
      <c r="O3564" s="1193">
        <f>IF(base[[#This Row],[L/P Líquido]]&gt;0,1,0)</f>
        <v>0</v>
      </c>
      <c r="P3564" s="1193"/>
      <c r="Q3564" s="1193" t="str">
        <f>LEFT(base[[#This Row],[Evento / Mercado]],FIND("vs",base[[#This Row],[Evento / Mercado]])-2)</f>
        <v>Shanghai Port</v>
      </c>
      <c r="R356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3" t="str">
        <f>LEFT(base[[#This Row],[Evento / Mercado]],FIND("/",base[[#This Row],[Evento / Mercado]])-2)</f>
        <v>Shanghai Port vs Shandong Taishan</v>
      </c>
      <c r="T3564" s="1420">
        <f>base[[#This Row],[Data de liquidação]]</f>
        <v>46235.444814814815</v>
      </c>
    </row>
    <row r="3565" spans="2:20" ht="15" customHeight="1">
      <c r="B3565" s="1188" t="s">
        <v>4244</v>
      </c>
      <c r="C3565" s="935" t="s">
        <v>3556</v>
      </c>
      <c r="D3565" s="1410">
        <v>46235.452638888892</v>
      </c>
      <c r="E3565" s="1192">
        <v>24.92</v>
      </c>
      <c r="F3565" s="654">
        <v>4.4999999999999998E-2</v>
      </c>
      <c r="G3565" s="1189">
        <f t="shared" si="113"/>
        <v>26.094240837696336</v>
      </c>
      <c r="H3565" s="1185" t="s">
        <v>3868</v>
      </c>
      <c r="I3565" s="1190" t="s">
        <v>627</v>
      </c>
      <c r="J3565" s="1189">
        <v>24</v>
      </c>
      <c r="K3565" s="1189">
        <v>600.07000000000005</v>
      </c>
      <c r="L3565" s="1191">
        <f>INT(base[[#This Row],[Data de liquidação]])</f>
        <v>46235</v>
      </c>
      <c r="M3565" s="1189">
        <f>base[[#This Row],[L/P Bruto]]-base[[#This Row],[L/P Líquido]]</f>
        <v>1.1742408376963347</v>
      </c>
      <c r="N3565" s="1189">
        <f>base[[#This Row],[L/P Líquido]]/base[[#This Row],[Stake/Responsabilidade]]</f>
        <v>4.1528488343026644E-2</v>
      </c>
      <c r="O3565" s="1193">
        <f>IF(base[[#This Row],[L/P Líquido]]&gt;0,1,0)</f>
        <v>1</v>
      </c>
      <c r="P3565" s="1193"/>
      <c r="Q3565" s="1193" t="str">
        <f>LEFT(base[[#This Row],[Evento / Mercado]],FIND("vs",base[[#This Row],[Evento / Mercado]])-2)</f>
        <v>TPS</v>
      </c>
      <c r="R356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3" t="str">
        <f>LEFT(base[[#This Row],[Evento / Mercado]],FIND("/",base[[#This Row],[Evento / Mercado]])-2)</f>
        <v>TPS vs IFK Mariehamn</v>
      </c>
      <c r="T3565" s="1420">
        <f>base[[#This Row],[Data de liquidação]]</f>
        <v>46235.452638888892</v>
      </c>
    </row>
    <row r="3566" spans="2:20" ht="15" customHeight="1">
      <c r="B3566" s="1188" t="s">
        <v>4243</v>
      </c>
      <c r="C3566" s="935" t="s">
        <v>3556</v>
      </c>
      <c r="D3566" s="1410">
        <v>46235.45275462963</v>
      </c>
      <c r="E3566" s="1192">
        <v>79.89</v>
      </c>
      <c r="F3566" s="654">
        <v>4.4999999999999998E-2</v>
      </c>
      <c r="G3566" s="1189">
        <f t="shared" si="113"/>
        <v>83.654450261780113</v>
      </c>
      <c r="H3566" s="1185" t="s">
        <v>179</v>
      </c>
      <c r="I3566" s="1186" t="s">
        <v>392</v>
      </c>
      <c r="J3566" s="1189">
        <v>6.2</v>
      </c>
      <c r="K3566" s="1189">
        <v>434.98</v>
      </c>
      <c r="L3566" s="1191">
        <f>INT(base[[#This Row],[Data de liquidação]])</f>
        <v>46235</v>
      </c>
      <c r="M3566" s="1189">
        <f>base[[#This Row],[L/P Bruto]]-base[[#This Row],[L/P Líquido]]</f>
        <v>3.7644502617801123</v>
      </c>
      <c r="N3566" s="1189">
        <f>base[[#This Row],[L/P Líquido]]/base[[#This Row],[Stake/Responsabilidade]]</f>
        <v>0.18366361671801001</v>
      </c>
      <c r="O3566" s="1193">
        <f>IF(base[[#This Row],[L/P Líquido]]&gt;0,1,0)</f>
        <v>1</v>
      </c>
      <c r="P3566" s="1193"/>
      <c r="Q3566" s="1193" t="str">
        <f>LEFT(base[[#This Row],[Evento / Mercado]],FIND("vs",base[[#This Row],[Evento / Mercado]])-2)</f>
        <v>TPS</v>
      </c>
      <c r="R356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3" t="str">
        <f>LEFT(base[[#This Row],[Evento / Mercado]],FIND("/",base[[#This Row],[Evento / Mercado]])-2)</f>
        <v>TPS vs IFK Mariehamn</v>
      </c>
      <c r="T3566" s="1420">
        <f>base[[#This Row],[Data de liquidação]]</f>
        <v>46235.45275462963</v>
      </c>
    </row>
    <row r="3567" spans="2:20" ht="15" customHeight="1">
      <c r="B3567" s="1188" t="s">
        <v>4242</v>
      </c>
      <c r="C3567" s="935" t="s">
        <v>3556</v>
      </c>
      <c r="D3567" s="1410">
        <v>46235.453414351854</v>
      </c>
      <c r="E3567" s="1192">
        <v>61.09</v>
      </c>
      <c r="F3567" s="654">
        <v>4.4999999999999998E-2</v>
      </c>
      <c r="G3567" s="1189">
        <f t="shared" si="113"/>
        <v>63.968586387434563</v>
      </c>
      <c r="H3567" s="1185" t="s">
        <v>179</v>
      </c>
      <c r="I3567" s="1186" t="s">
        <v>392</v>
      </c>
      <c r="J3567" s="1189">
        <v>7.8</v>
      </c>
      <c r="K3567" s="1189">
        <v>435</v>
      </c>
      <c r="L3567" s="1191">
        <f>INT(base[[#This Row],[Data de liquidação]])</f>
        <v>46235</v>
      </c>
      <c r="M3567" s="1189">
        <f>base[[#This Row],[L/P Bruto]]-base[[#This Row],[L/P Líquido]]</f>
        <v>2.8785863874345594</v>
      </c>
      <c r="N3567" s="1189">
        <f>base[[#This Row],[L/P Líquido]]/base[[#This Row],[Stake/Responsabilidade]]</f>
        <v>0.1404367816091954</v>
      </c>
      <c r="O3567" s="1193">
        <f>IF(base[[#This Row],[L/P Líquido]]&gt;0,1,0)</f>
        <v>1</v>
      </c>
      <c r="P3567" s="1193"/>
      <c r="Q3567" s="1193" t="str">
        <f>LEFT(base[[#This Row],[Evento / Mercado]],FIND("vs",base[[#This Row],[Evento / Mercado]])-2)</f>
        <v>Chengdu Rongcheng</v>
      </c>
      <c r="R356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3" t="str">
        <f>LEFT(base[[#This Row],[Evento / Mercado]],FIND("/",base[[#This Row],[Evento / Mercado]])-2)</f>
        <v>Chengdu Rongcheng vs Wuhan Three Towns</v>
      </c>
      <c r="T3567" s="1420">
        <f>base[[#This Row],[Data de liquidação]]</f>
        <v>46235.453414351854</v>
      </c>
    </row>
    <row r="3568" spans="2:20" ht="15" customHeight="1">
      <c r="B3568" s="1188" t="s">
        <v>4241</v>
      </c>
      <c r="C3568" s="935" t="s">
        <v>3556</v>
      </c>
      <c r="D3568" s="1410">
        <v>46235.473993055559</v>
      </c>
      <c r="E3568" s="1192">
        <v>3.02</v>
      </c>
      <c r="F3568" s="654">
        <v>4.4999999999999998E-2</v>
      </c>
      <c r="G3568" s="1189">
        <f t="shared" si="113"/>
        <v>3.162303664921466</v>
      </c>
      <c r="H3568" s="1185" t="s">
        <v>1666</v>
      </c>
      <c r="I3568" s="1173" t="s">
        <v>2883</v>
      </c>
      <c r="J3568" s="1189">
        <v>1.63</v>
      </c>
      <c r="K3568" s="1189">
        <v>5</v>
      </c>
      <c r="L3568" s="1191">
        <f>INT(base[[#This Row],[Data de liquidação]])</f>
        <v>46235</v>
      </c>
      <c r="M3568" s="1189">
        <f>base[[#This Row],[L/P Bruto]]-base[[#This Row],[L/P Líquido]]</f>
        <v>0.14230366492146596</v>
      </c>
      <c r="N3568" s="1189">
        <f>base[[#This Row],[L/P Líquido]]/base[[#This Row],[Stake/Responsabilidade]]</f>
        <v>0.60399999999999998</v>
      </c>
      <c r="O3568" s="1193">
        <f>IF(base[[#This Row],[L/P Líquido]]&gt;0,1,0)</f>
        <v>1</v>
      </c>
      <c r="P3568" s="1193"/>
      <c r="Q3568" s="1193" t="str">
        <f>LEFT(base[[#This Row],[Evento / Mercado]],FIND("vs",base[[#This Row],[Evento / Mercado]])-2)</f>
        <v>Varbergs BoIS</v>
      </c>
      <c r="R356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3" t="str">
        <f>LEFT(base[[#This Row],[Evento / Mercado]],FIND("/",base[[#This Row],[Evento / Mercado]])-2)</f>
        <v>Varbergs BoIS vs Falkenbergs FF</v>
      </c>
      <c r="T3568" s="1420">
        <f>base[[#This Row],[Data de liquidação]]</f>
        <v>46235.473993055559</v>
      </c>
    </row>
    <row r="3569" spans="2:20" ht="15" customHeight="1">
      <c r="B3569" s="1188" t="s">
        <v>4240</v>
      </c>
      <c r="C3569" s="935" t="s">
        <v>3556</v>
      </c>
      <c r="D3569" s="1410">
        <v>46235.49355324074</v>
      </c>
      <c r="E3569" s="1192">
        <v>17.14</v>
      </c>
      <c r="F3569" s="654">
        <v>4.4999999999999998E-2</v>
      </c>
      <c r="G3569" s="1189">
        <f t="shared" si="113"/>
        <v>17.947643979057592</v>
      </c>
      <c r="H3569" s="1189" t="s">
        <v>3330</v>
      </c>
      <c r="I3569" s="1248" t="s">
        <v>4368</v>
      </c>
      <c r="J3569" s="1189">
        <v>4.4000000000000004</v>
      </c>
      <c r="K3569" s="1189">
        <v>124.98</v>
      </c>
      <c r="L3569" s="1191">
        <f>INT(base[[#This Row],[Data de liquidação]])</f>
        <v>46235</v>
      </c>
      <c r="M3569" s="1189">
        <f>base[[#This Row],[L/P Bruto]]-base[[#This Row],[L/P Líquido]]</f>
        <v>0.80764397905759111</v>
      </c>
      <c r="N3569" s="1189">
        <f>base[[#This Row],[L/P Líquido]]/base[[#This Row],[Stake/Responsabilidade]]</f>
        <v>0.13714194271083374</v>
      </c>
      <c r="O3569" s="1193">
        <f>IF(base[[#This Row],[L/P Líquido]]&gt;0,1,0)</f>
        <v>1</v>
      </c>
      <c r="P3569" s="1193"/>
      <c r="Q3569" s="1193" t="str">
        <f>LEFT(base[[#This Row],[Evento / Mercado]],FIND("vs",base[[#This Row],[Evento / Mercado]])-2)</f>
        <v>Sandvikens IF</v>
      </c>
      <c r="R356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3" t="str">
        <f>LEFT(base[[#This Row],[Evento / Mercado]],FIND("/",base[[#This Row],[Evento / Mercado]])-2)</f>
        <v>Sandvikens IF vs GIF Sundsvall</v>
      </c>
      <c r="T3569" s="1420">
        <f>base[[#This Row],[Data de liquidação]]</f>
        <v>46235.49355324074</v>
      </c>
    </row>
    <row r="3570" spans="2:20" ht="15" customHeight="1">
      <c r="B3570" s="1188" t="s">
        <v>4239</v>
      </c>
      <c r="C3570" s="935" t="s">
        <v>3556</v>
      </c>
      <c r="D3570" s="1410">
        <v>46235.494131944448</v>
      </c>
      <c r="E3570" s="1192">
        <v>19.82</v>
      </c>
      <c r="F3570" s="654">
        <v>4.4999999999999998E-2</v>
      </c>
      <c r="G3570" s="1189">
        <f t="shared" si="113"/>
        <v>20.753926701570681</v>
      </c>
      <c r="H3570" s="1185" t="s">
        <v>74</v>
      </c>
      <c r="I3570" s="1186" t="s">
        <v>627</v>
      </c>
      <c r="J3570" s="1189">
        <v>21</v>
      </c>
      <c r="K3570" s="1189">
        <v>415</v>
      </c>
      <c r="L3570" s="1191">
        <f>INT(base[[#This Row],[Data de liquidação]])</f>
        <v>46235</v>
      </c>
      <c r="M3570" s="1189">
        <f>base[[#This Row],[L/P Bruto]]-base[[#This Row],[L/P Líquido]]</f>
        <v>0.93392670157068025</v>
      </c>
      <c r="N3570" s="1189">
        <f>base[[#This Row],[L/P Líquido]]/base[[#This Row],[Stake/Responsabilidade]]</f>
        <v>4.7759036144578312E-2</v>
      </c>
      <c r="O3570" s="1193">
        <f>IF(base[[#This Row],[L/P Líquido]]&gt;0,1,0)</f>
        <v>1</v>
      </c>
      <c r="P3570" s="1193"/>
      <c r="Q3570" s="1193" t="str">
        <f>LEFT(base[[#This Row],[Evento / Mercado]],FIND("vs",base[[#This Row],[Evento / Mercado]])-2)</f>
        <v>BK Häcken</v>
      </c>
      <c r="R357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3" t="str">
        <f>LEFT(base[[#This Row],[Evento / Mercado]],FIND("/",base[[#This Row],[Evento / Mercado]])-2)</f>
        <v>BK Häcken vs Kalmar FF</v>
      </c>
      <c r="T3570" s="1420">
        <f>base[[#This Row],[Data de liquidação]]</f>
        <v>46235.494131944448</v>
      </c>
    </row>
    <row r="3571" spans="2:20" ht="15" customHeight="1">
      <c r="B3571" s="1188" t="s">
        <v>4238</v>
      </c>
      <c r="C3571" s="935" t="s">
        <v>3556</v>
      </c>
      <c r="D3571" s="1410">
        <v>46235.541655092595</v>
      </c>
      <c r="E3571" s="1192">
        <v>14.9</v>
      </c>
      <c r="F3571" s="654">
        <v>4.4999999999999998E-2</v>
      </c>
      <c r="G3571" s="1189">
        <f t="shared" si="113"/>
        <v>15.602094240837697</v>
      </c>
      <c r="H3571" s="1189" t="s">
        <v>3334</v>
      </c>
      <c r="I3571" s="1190" t="s">
        <v>694</v>
      </c>
      <c r="J3571" s="1189">
        <v>26</v>
      </c>
      <c r="K3571" s="1189">
        <v>390</v>
      </c>
      <c r="L3571" s="1191">
        <f>INT(base[[#This Row],[Data de liquidação]])</f>
        <v>46235</v>
      </c>
      <c r="M3571" s="1189">
        <f>base[[#This Row],[L/P Bruto]]-base[[#This Row],[L/P Líquido]]</f>
        <v>0.70209424083769711</v>
      </c>
      <c r="N3571" s="1189">
        <f>base[[#This Row],[L/P Líquido]]/base[[#This Row],[Stake/Responsabilidade]]</f>
        <v>3.8205128205128204E-2</v>
      </c>
      <c r="O3571" s="1193">
        <f>IF(base[[#This Row],[L/P Líquido]]&gt;0,1,0)</f>
        <v>1</v>
      </c>
      <c r="P3571" s="1193"/>
      <c r="Q3571" s="1193" t="str">
        <f>LEFT(base[[#This Row],[Evento / Mercado]],FIND("vs",base[[#This Row],[Evento / Mercado]])-2)</f>
        <v>ÍB Vestmannaeyja</v>
      </c>
      <c r="R357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3" t="str">
        <f>LEFT(base[[#This Row],[Evento / Mercado]],FIND("/",base[[#This Row],[Evento / Mercado]])-2)</f>
        <v>ÍB Vestmannaeyja vs Fram Reykjavik</v>
      </c>
      <c r="T3571" s="1420">
        <f>base[[#This Row],[Data de liquidação]]</f>
        <v>46235.541655092595</v>
      </c>
    </row>
    <row r="3572" spans="2:20" ht="15" customHeight="1">
      <c r="B3572" s="1188" t="s">
        <v>4237</v>
      </c>
      <c r="C3572" s="935" t="s">
        <v>3556</v>
      </c>
      <c r="D3572" s="1410">
        <v>46235.57613425926</v>
      </c>
      <c r="E3572" s="1192">
        <v>17.190000000000001</v>
      </c>
      <c r="F3572" s="654">
        <v>4.4999999999999998E-2</v>
      </c>
      <c r="G3572" s="1189">
        <f t="shared" si="113"/>
        <v>18.000000000000004</v>
      </c>
      <c r="H3572" s="1185" t="s">
        <v>74</v>
      </c>
      <c r="I3572" s="1186" t="s">
        <v>627</v>
      </c>
      <c r="J3572" s="1189">
        <v>26</v>
      </c>
      <c r="K3572" s="1189">
        <v>450</v>
      </c>
      <c r="L3572" s="1191">
        <f>INT(base[[#This Row],[Data de liquidação]])</f>
        <v>46235</v>
      </c>
      <c r="M3572" s="1189">
        <f>base[[#This Row],[L/P Bruto]]-base[[#This Row],[L/P Líquido]]</f>
        <v>0.81000000000000227</v>
      </c>
      <c r="N3572" s="1189">
        <f>base[[#This Row],[L/P Líquido]]/base[[#This Row],[Stake/Responsabilidade]]</f>
        <v>3.8200000000000005E-2</v>
      </c>
      <c r="O3572" s="1193">
        <f>IF(base[[#This Row],[L/P Líquido]]&gt;0,1,0)</f>
        <v>1</v>
      </c>
      <c r="P3572" s="1193"/>
      <c r="Q3572" s="1193" t="str">
        <f>LEFT(base[[#This Row],[Evento / Mercado]],FIND("vs",base[[#This Row],[Evento / Mercado]])-2)</f>
        <v>IFK Norrköping</v>
      </c>
      <c r="R357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3" t="str">
        <f>LEFT(base[[#This Row],[Evento / Mercado]],FIND("/",base[[#This Row],[Evento / Mercado]])-2)</f>
        <v>IFK Norrköping vs Helsingborgs IF</v>
      </c>
      <c r="T3572" s="1420">
        <f>base[[#This Row],[Data de liquidação]]</f>
        <v>46235.57613425926</v>
      </c>
    </row>
    <row r="3573" spans="2:20" ht="15" customHeight="1">
      <c r="B3573" s="1188" t="s">
        <v>4236</v>
      </c>
      <c r="C3573" s="935" t="s">
        <v>3556</v>
      </c>
      <c r="D3573" s="1410">
        <v>46235.576226851852</v>
      </c>
      <c r="E3573" s="1192">
        <v>17.059999999999999</v>
      </c>
      <c r="F3573" s="654">
        <v>4.4999999999999998E-2</v>
      </c>
      <c r="G3573" s="1189">
        <f t="shared" si="113"/>
        <v>17.863874345549739</v>
      </c>
      <c r="H3573" s="1189" t="s">
        <v>3330</v>
      </c>
      <c r="I3573" s="1248" t="s">
        <v>4368</v>
      </c>
      <c r="J3573" s="1189">
        <v>5.2</v>
      </c>
      <c r="K3573" s="1189">
        <v>124.99</v>
      </c>
      <c r="L3573" s="1191">
        <f>INT(base[[#This Row],[Data de liquidação]])</f>
        <v>46235</v>
      </c>
      <c r="M3573" s="1189">
        <f>base[[#This Row],[L/P Bruto]]-base[[#This Row],[L/P Líquido]]</f>
        <v>0.80387434554974035</v>
      </c>
      <c r="N3573" s="1189">
        <f>base[[#This Row],[L/P Líquido]]/base[[#This Row],[Stake/Responsabilidade]]</f>
        <v>0.13649091927354187</v>
      </c>
      <c r="O3573" s="1193">
        <f>IF(base[[#This Row],[L/P Líquido]]&gt;0,1,0)</f>
        <v>1</v>
      </c>
      <c r="P3573" s="1193"/>
      <c r="Q3573" s="1193" t="str">
        <f>LEFT(base[[#This Row],[Evento / Mercado]],FIND("vs",base[[#This Row],[Evento / Mercado]])-2)</f>
        <v>IFK Norrköping</v>
      </c>
      <c r="R357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3" t="str">
        <f>LEFT(base[[#This Row],[Evento / Mercado]],FIND("/",base[[#This Row],[Evento / Mercado]])-2)</f>
        <v>IFK Norrköping vs Helsingborgs IF</v>
      </c>
      <c r="T3573" s="1420">
        <f>base[[#This Row],[Data de liquidação]]</f>
        <v>46235.576226851852</v>
      </c>
    </row>
    <row r="3574" spans="2:20" ht="15" customHeight="1">
      <c r="B3574" s="1188" t="s">
        <v>4235</v>
      </c>
      <c r="C3574" s="935" t="s">
        <v>3556</v>
      </c>
      <c r="D3574" s="1410">
        <v>46235.816562499997</v>
      </c>
      <c r="E3574" s="1192">
        <v>-2</v>
      </c>
      <c r="F3574" s="654">
        <v>4.4999999999999998E-2</v>
      </c>
      <c r="G3574" s="1189">
        <f t="shared" si="113"/>
        <v>-2</v>
      </c>
      <c r="H3574" s="1185" t="s">
        <v>1666</v>
      </c>
      <c r="I3574" s="1190" t="s">
        <v>3333</v>
      </c>
      <c r="J3574" s="1189">
        <v>2.08</v>
      </c>
      <c r="K3574" s="1189">
        <v>2</v>
      </c>
      <c r="L3574" s="1191">
        <f>INT(base[[#This Row],[Data de liquidação]])</f>
        <v>46235</v>
      </c>
      <c r="M3574" s="1189">
        <f>base[[#This Row],[L/P Bruto]]-base[[#This Row],[L/P Líquido]]</f>
        <v>0</v>
      </c>
      <c r="N3574" s="1189">
        <f>base[[#This Row],[L/P Líquido]]/base[[#This Row],[Stake/Responsabilidade]]</f>
        <v>-1</v>
      </c>
      <c r="O3574" s="1193">
        <f>IF(base[[#This Row],[L/P Líquido]]&gt;0,1,0)</f>
        <v>0</v>
      </c>
      <c r="P3574" s="1193"/>
      <c r="Q3574" s="1193" t="str">
        <f>LEFT(base[[#This Row],[Evento / Mercado]],FIND("vs",base[[#This Row],[Evento / Mercado]])-2)</f>
        <v>Atlético Grau</v>
      </c>
      <c r="R357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3" t="str">
        <f>LEFT(base[[#This Row],[Evento / Mercado]],FIND("/",base[[#This Row],[Evento / Mercado]])-2)</f>
        <v>Atlético Grau vs Sport Boys</v>
      </c>
      <c r="T3574" s="1420">
        <f>base[[#This Row],[Data de liquidação]]</f>
        <v>46235.816562499997</v>
      </c>
    </row>
    <row r="3575" spans="2:20" ht="15" customHeight="1">
      <c r="B3575" s="1188" t="s">
        <v>4234</v>
      </c>
      <c r="C3575" s="935" t="s">
        <v>3556</v>
      </c>
      <c r="D3575" s="1410">
        <v>46235.845960648148</v>
      </c>
      <c r="E3575" s="1192">
        <v>-5</v>
      </c>
      <c r="F3575" s="654">
        <v>4.4999999999999998E-2</v>
      </c>
      <c r="G3575" s="1189">
        <f t="shared" si="113"/>
        <v>-5</v>
      </c>
      <c r="H3575" s="1185" t="s">
        <v>1666</v>
      </c>
      <c r="I3575" s="1173" t="s">
        <v>2883</v>
      </c>
      <c r="J3575" s="1189">
        <v>1.56</v>
      </c>
      <c r="K3575" s="1189">
        <v>5</v>
      </c>
      <c r="L3575" s="1191">
        <f>INT(base[[#This Row],[Data de liquidação]])</f>
        <v>46235</v>
      </c>
      <c r="M3575" s="1189">
        <f>base[[#This Row],[L/P Bruto]]-base[[#This Row],[L/P Líquido]]</f>
        <v>0</v>
      </c>
      <c r="N3575" s="1189">
        <f>base[[#This Row],[L/P Líquido]]/base[[#This Row],[Stake/Responsabilidade]]</f>
        <v>-1</v>
      </c>
      <c r="O3575" s="1193">
        <f>IF(base[[#This Row],[L/P Líquido]]&gt;0,1,0)</f>
        <v>0</v>
      </c>
      <c r="P3575" s="1193"/>
      <c r="Q3575" s="1193" t="str">
        <f>LEFT(base[[#This Row],[Evento / Mercado]],FIND("vs",base[[#This Row],[Evento / Mercado]])-2)</f>
        <v>San Antonio</v>
      </c>
      <c r="R357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3" t="str">
        <f>LEFT(base[[#This Row],[Evento / Mercado]],FIND("/",base[[#This Row],[Evento / Mercado]])-2)</f>
        <v>San Antonio vs Blooming Santa Cruz</v>
      </c>
      <c r="T3575" s="1420">
        <f>base[[#This Row],[Data de liquidação]]</f>
        <v>46235.845960648148</v>
      </c>
    </row>
    <row r="3576" spans="2:20" ht="15" customHeight="1">
      <c r="B3576" s="1188" t="s">
        <v>4233</v>
      </c>
      <c r="C3576" s="935" t="s">
        <v>3556</v>
      </c>
      <c r="D3576" s="1410">
        <v>46235.917210648149</v>
      </c>
      <c r="E3576" s="1192">
        <v>8.49</v>
      </c>
      <c r="F3576" s="654">
        <v>4.4999999999999998E-2</v>
      </c>
      <c r="G3576" s="1189">
        <f t="shared" si="113"/>
        <v>8.8900523560209432</v>
      </c>
      <c r="H3576" s="1185" t="s">
        <v>1666</v>
      </c>
      <c r="I3576" s="1190" t="s">
        <v>1759</v>
      </c>
      <c r="J3576" s="1189">
        <v>14.5</v>
      </c>
      <c r="K3576" s="1189">
        <v>120.02</v>
      </c>
      <c r="L3576" s="1191">
        <f>INT(base[[#This Row],[Data de liquidação]])</f>
        <v>46235</v>
      </c>
      <c r="M3576" s="1189">
        <f>base[[#This Row],[L/P Bruto]]-base[[#This Row],[L/P Líquido]]</f>
        <v>0.40005235602094302</v>
      </c>
      <c r="N3576" s="1189">
        <f>base[[#This Row],[L/P Líquido]]/base[[#This Row],[Stake/Responsabilidade]]</f>
        <v>7.073821029828363E-2</v>
      </c>
      <c r="O3576" s="1193">
        <f>IF(base[[#This Row],[L/P Líquido]]&gt;0,1,0)</f>
        <v>1</v>
      </c>
      <c r="P3576" s="1193"/>
      <c r="Q3576" s="1193" t="str">
        <f>LEFT(base[[#This Row],[Evento / Mercado]],FIND("vs",base[[#This Row],[Evento / Mercado]])-2)</f>
        <v>Loudoun United FC</v>
      </c>
      <c r="R357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3" t="str">
        <f>LEFT(base[[#This Row],[Evento / Mercado]],FIND("/",base[[#This Row],[Evento / Mercado]])-2)</f>
        <v>Loudoun United FC vs Hartford Athletic FC</v>
      </c>
      <c r="T3576" s="1420">
        <f>base[[#This Row],[Data de liquidação]]</f>
        <v>46235.917210648149</v>
      </c>
    </row>
    <row r="3577" spans="2:20" ht="15" customHeight="1">
      <c r="B3577" s="1188" t="s">
        <v>4232</v>
      </c>
      <c r="C3577" s="935" t="s">
        <v>3556</v>
      </c>
      <c r="D3577" s="1410">
        <v>46235.940949074073</v>
      </c>
      <c r="E3577" s="1192">
        <v>39.520000000000003</v>
      </c>
      <c r="F3577" s="654">
        <v>4.4999999999999998E-2</v>
      </c>
      <c r="G3577" s="1189">
        <f t="shared" si="113"/>
        <v>41.382198952879584</v>
      </c>
      <c r="H3577" s="1185" t="s">
        <v>3868</v>
      </c>
      <c r="I3577" s="1190" t="s">
        <v>627</v>
      </c>
      <c r="J3577" s="1189">
        <v>15.5</v>
      </c>
      <c r="K3577" s="1189">
        <v>600.01</v>
      </c>
      <c r="L3577" s="1191">
        <f>INT(base[[#This Row],[Data de liquidação]])</f>
        <v>46235</v>
      </c>
      <c r="M3577" s="1189">
        <f>base[[#This Row],[L/P Bruto]]-base[[#This Row],[L/P Líquido]]</f>
        <v>1.8621989528795808</v>
      </c>
      <c r="N3577" s="1189">
        <f>base[[#This Row],[L/P Líquido]]/base[[#This Row],[Stake/Responsabilidade]]</f>
        <v>6.5865568907184882E-2</v>
      </c>
      <c r="O3577" s="1193">
        <f>IF(base[[#This Row],[L/P Líquido]]&gt;0,1,0)</f>
        <v>1</v>
      </c>
      <c r="P3577" s="1193"/>
      <c r="Q3577" s="1193" t="str">
        <f>LEFT(base[[#This Row],[Evento / Mercado]],FIND("vs",base[[#This Row],[Evento / Mercado]])-2)</f>
        <v>CF Montreal</v>
      </c>
      <c r="R357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3" t="str">
        <f>LEFT(base[[#This Row],[Evento / Mercado]],FIND("/",base[[#This Row],[Evento / Mercado]])-2)</f>
        <v>CF Montreal vs New England Revolution</v>
      </c>
      <c r="T3577" s="1420">
        <f>base[[#This Row],[Data de liquidação]]</f>
        <v>46235.940949074073</v>
      </c>
    </row>
    <row r="3578" spans="2:20" ht="15" customHeight="1">
      <c r="B3578" s="1188" t="s">
        <v>4231</v>
      </c>
      <c r="C3578" s="935" t="s">
        <v>3556</v>
      </c>
      <c r="D3578" s="1410">
        <v>46235.944062499999</v>
      </c>
      <c r="E3578" s="1192">
        <v>0.78</v>
      </c>
      <c r="F3578" s="654">
        <v>4.4999999999999998E-2</v>
      </c>
      <c r="G3578" s="1189">
        <f t="shared" si="113"/>
        <v>0.81675392670157076</v>
      </c>
      <c r="H3578" s="1185" t="s">
        <v>1666</v>
      </c>
      <c r="I3578" s="1190" t="s">
        <v>1718</v>
      </c>
      <c r="J3578" s="1189">
        <v>4.2</v>
      </c>
      <c r="K3578" s="1189">
        <v>30.02</v>
      </c>
      <c r="L3578" s="1191">
        <f>INT(base[[#This Row],[Data de liquidação]])</f>
        <v>46235</v>
      </c>
      <c r="M3578" s="1189">
        <f>base[[#This Row],[L/P Bruto]]-base[[#This Row],[L/P Líquido]]</f>
        <v>3.6753926701570738E-2</v>
      </c>
      <c r="N3578" s="1189">
        <f>base[[#This Row],[L/P Líquido]]/base[[#This Row],[Stake/Responsabilidade]]</f>
        <v>2.5982678214523651E-2</v>
      </c>
      <c r="O3578" s="1193">
        <f>IF(base[[#This Row],[L/P Líquido]]&gt;0,1,0)</f>
        <v>1</v>
      </c>
      <c r="P3578" s="1193"/>
      <c r="Q3578" s="1193" t="str">
        <f>LEFT(base[[#This Row],[Evento / Mercado]],FIND("vs",base[[#This Row],[Evento / Mercado]])-2)</f>
        <v>New York Red Bulls</v>
      </c>
      <c r="R357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3" t="str">
        <f>LEFT(base[[#This Row],[Evento / Mercado]],FIND("/",base[[#This Row],[Evento / Mercado]])-2)</f>
        <v>New York Red Bulls vs Orlando City</v>
      </c>
      <c r="T3578" s="1420">
        <f>base[[#This Row],[Data de liquidação]]</f>
        <v>46235.944062499999</v>
      </c>
    </row>
    <row r="3579" spans="2:20" ht="15" customHeight="1">
      <c r="B3579" s="1188" t="s">
        <v>4230</v>
      </c>
      <c r="C3579" s="935" t="s">
        <v>3556</v>
      </c>
      <c r="D3579" s="1410">
        <v>46235.945729166669</v>
      </c>
      <c r="E3579" s="1192">
        <v>-38.83</v>
      </c>
      <c r="F3579" s="654">
        <v>4.4999999999999998E-2</v>
      </c>
      <c r="G3579" s="1189">
        <f t="shared" si="113"/>
        <v>-38.83</v>
      </c>
      <c r="H3579" s="1185" t="s">
        <v>3868</v>
      </c>
      <c r="I3579" s="1190" t="s">
        <v>627</v>
      </c>
      <c r="J3579" s="1189">
        <v>23</v>
      </c>
      <c r="K3579" s="1189">
        <v>599.94000000000005</v>
      </c>
      <c r="L3579" s="1191">
        <f>INT(base[[#This Row],[Data de liquidação]])</f>
        <v>46235</v>
      </c>
      <c r="M3579" s="1189">
        <f>base[[#This Row],[L/P Bruto]]-base[[#This Row],[L/P Líquido]]</f>
        <v>0</v>
      </c>
      <c r="N3579" s="1189">
        <f>base[[#This Row],[L/P Líquido]]/base[[#This Row],[Stake/Responsabilidade]]</f>
        <v>-6.4723138980564712E-2</v>
      </c>
      <c r="O3579" s="1193">
        <f>IF(base[[#This Row],[L/P Líquido]]&gt;0,1,0)</f>
        <v>0</v>
      </c>
      <c r="P3579" s="1193"/>
      <c r="Q3579" s="1193" t="str">
        <f>LEFT(base[[#This Row],[Evento / Mercado]],FIND("vs",base[[#This Row],[Evento / Mercado]])-2)</f>
        <v>Philadelphia Union</v>
      </c>
      <c r="R357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3" t="str">
        <f>LEFT(base[[#This Row],[Evento / Mercado]],FIND("/",base[[#This Row],[Evento / Mercado]])-2)</f>
        <v>Philadelphia Union vs Atlanta United FC</v>
      </c>
      <c r="T3579" s="1420">
        <f>base[[#This Row],[Data de liquidação]]</f>
        <v>46235.945729166669</v>
      </c>
    </row>
    <row r="3580" spans="2:20" ht="15" customHeight="1">
      <c r="B3580" s="1188" t="s">
        <v>4229</v>
      </c>
      <c r="C3580" s="935" t="s">
        <v>3556</v>
      </c>
      <c r="D3580" s="1410">
        <v>46235.966435185182</v>
      </c>
      <c r="E3580" s="1192">
        <v>11.33</v>
      </c>
      <c r="F3580" s="654">
        <v>4.4999999999999998E-2</v>
      </c>
      <c r="G3580" s="1189">
        <f t="shared" si="113"/>
        <v>11.863874345549739</v>
      </c>
      <c r="H3580" s="1189" t="s">
        <v>3334</v>
      </c>
      <c r="I3580" s="1190" t="s">
        <v>627</v>
      </c>
      <c r="J3580" s="1189">
        <v>36</v>
      </c>
      <c r="K3580" s="1189">
        <v>415.1</v>
      </c>
      <c r="L3580" s="1191">
        <f>INT(base[[#This Row],[Data de liquidação]])</f>
        <v>46235</v>
      </c>
      <c r="M3580" s="1189">
        <f>base[[#This Row],[L/P Bruto]]-base[[#This Row],[L/P Líquido]]</f>
        <v>0.533874345549739</v>
      </c>
      <c r="N3580" s="1189">
        <f>base[[#This Row],[L/P Líquido]]/base[[#This Row],[Stake/Responsabilidade]]</f>
        <v>2.7294627800529991E-2</v>
      </c>
      <c r="O3580" s="1193">
        <f>IF(base[[#This Row],[L/P Líquido]]&gt;0,1,0)</f>
        <v>1</v>
      </c>
      <c r="P3580" s="1193"/>
      <c r="Q3580" s="1193" t="str">
        <f>LEFT(base[[#This Row],[Evento / Mercado]],FIND("vs",base[[#This Row],[Evento / Mercado]])-2)</f>
        <v>Inter Miami CF</v>
      </c>
      <c r="R358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3" t="str">
        <f>LEFT(base[[#This Row],[Evento / Mercado]],FIND("/",base[[#This Row],[Evento / Mercado]])-2)</f>
        <v>Inter Miami CF vs Columbus Crew</v>
      </c>
      <c r="T3580" s="1420">
        <f>base[[#This Row],[Data de liquidação]]</f>
        <v>46235.966435185182</v>
      </c>
    </row>
    <row r="3581" spans="2:20" ht="15" customHeight="1">
      <c r="B3581" s="1194" t="s">
        <v>4273</v>
      </c>
      <c r="C3581" s="935" t="s">
        <v>3556</v>
      </c>
      <c r="D3581" s="1411">
        <v>46236.018506944441</v>
      </c>
      <c r="E3581" s="1196">
        <v>12.33</v>
      </c>
      <c r="F3581" s="654">
        <v>4.4999999999999998E-2</v>
      </c>
      <c r="G3581" s="1197">
        <f t="shared" ref="G3581:G3602" si="114">IF(E3581&gt;0,E3581/(1-F3581),E3581)</f>
        <v>12.910994764397905</v>
      </c>
      <c r="H3581" s="1189" t="s">
        <v>3334</v>
      </c>
      <c r="I3581" s="1190" t="s">
        <v>627</v>
      </c>
      <c r="J3581" s="1197">
        <v>34</v>
      </c>
      <c r="K3581" s="1197">
        <v>426.03</v>
      </c>
      <c r="L3581" s="1195">
        <f>INT(base[[#This Row],[Data de liquidação]])</f>
        <v>46236</v>
      </c>
      <c r="M3581" s="1197">
        <f>base[[#This Row],[L/P Bruto]]-base[[#This Row],[L/P Líquido]]</f>
        <v>0.58099476439790543</v>
      </c>
      <c r="N3581" s="1197">
        <f>base[[#This Row],[L/P Líquido]]/base[[#This Row],[Stake/Responsabilidade]]</f>
        <v>2.8941623829307796E-2</v>
      </c>
      <c r="O3581" s="1199">
        <f>IF(base[[#This Row],[L/P Líquido]]&gt;0,1,0)</f>
        <v>1</v>
      </c>
      <c r="P3581" s="1199"/>
      <c r="Q3581" s="1199" t="str">
        <f>LEFT(base[[#This Row],[Evento / Mercado]],FIND("vs",base[[#This Row],[Evento / Mercado]])-2)</f>
        <v>Alianza Lima</v>
      </c>
      <c r="R358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199" t="str">
        <f>LEFT(base[[#This Row],[Evento / Mercado]],FIND("/",base[[#This Row],[Evento / Mercado]])-2)</f>
        <v>Alianza Lima vs Alianza Atletico</v>
      </c>
      <c r="T3581" s="1420">
        <f>base[[#This Row],[Data de liquidação]]</f>
        <v>46236.018506944441</v>
      </c>
    </row>
    <row r="3582" spans="2:20" ht="15" customHeight="1">
      <c r="B3582" s="1194" t="s">
        <v>4272</v>
      </c>
      <c r="C3582" s="935" t="s">
        <v>3556</v>
      </c>
      <c r="D3582" s="1411">
        <v>46236.064456018517</v>
      </c>
      <c r="E3582" s="1196">
        <v>-10</v>
      </c>
      <c r="F3582" s="654">
        <v>4.4999999999999998E-2</v>
      </c>
      <c r="G3582" s="1197">
        <f t="shared" si="114"/>
        <v>-10</v>
      </c>
      <c r="H3582" s="1197" t="s">
        <v>1666</v>
      </c>
      <c r="I3582" s="1198" t="s">
        <v>2362</v>
      </c>
      <c r="J3582" s="1197">
        <v>1.1100000000000001</v>
      </c>
      <c r="K3582" s="1197">
        <v>10</v>
      </c>
      <c r="L3582" s="1195">
        <f>INT(base[[#This Row],[Data de liquidação]])</f>
        <v>46236</v>
      </c>
      <c r="M3582" s="1197">
        <f>base[[#This Row],[L/P Bruto]]-base[[#This Row],[L/P Líquido]]</f>
        <v>0</v>
      </c>
      <c r="N3582" s="1197">
        <f>base[[#This Row],[L/P Líquido]]/base[[#This Row],[Stake/Responsabilidade]]</f>
        <v>-1</v>
      </c>
      <c r="O3582" s="1199">
        <f>IF(base[[#This Row],[L/P Líquido]]&gt;0,1,0)</f>
        <v>0</v>
      </c>
      <c r="P3582" s="1199"/>
      <c r="Q3582" s="1199" t="str">
        <f>LEFT(base[[#This Row],[Evento / Mercado]],FIND("vs",base[[#This Row],[Evento / Mercado]])-2)</f>
        <v>Los Angeles Galaxy</v>
      </c>
      <c r="R358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199" t="str">
        <f>LEFT(base[[#This Row],[Evento / Mercado]],FIND("/",base[[#This Row],[Evento / Mercado]])-2)</f>
        <v>Los Angeles Galaxy vs FC Dallas</v>
      </c>
      <c r="T3582" s="1420">
        <f>base[[#This Row],[Data de liquidação]]</f>
        <v>46236.064456018517</v>
      </c>
    </row>
    <row r="3583" spans="2:20" ht="15" customHeight="1">
      <c r="B3583" s="1194" t="s">
        <v>4271</v>
      </c>
      <c r="C3583" s="935" t="s">
        <v>3556</v>
      </c>
      <c r="D3583" s="1411">
        <v>46236.064479166664</v>
      </c>
      <c r="E3583" s="1196">
        <v>-15.36</v>
      </c>
      <c r="F3583" s="654">
        <v>4.4999999999999998E-2</v>
      </c>
      <c r="G3583" s="1197">
        <f t="shared" si="114"/>
        <v>-15.36</v>
      </c>
      <c r="H3583" s="1197" t="s">
        <v>1666</v>
      </c>
      <c r="I3583" s="1198" t="s">
        <v>1718</v>
      </c>
      <c r="J3583" s="1197">
        <v>3.35</v>
      </c>
      <c r="K3583" s="1197">
        <v>30.01</v>
      </c>
      <c r="L3583" s="1195">
        <f>INT(base[[#This Row],[Data de liquidação]])</f>
        <v>46236</v>
      </c>
      <c r="M3583" s="1197">
        <f>base[[#This Row],[L/P Bruto]]-base[[#This Row],[L/P Líquido]]</f>
        <v>0</v>
      </c>
      <c r="N3583" s="1197">
        <f>base[[#This Row],[L/P Líquido]]/base[[#This Row],[Stake/Responsabilidade]]</f>
        <v>-0.51182939020326557</v>
      </c>
      <c r="O3583" s="1199">
        <f>IF(base[[#This Row],[L/P Líquido]]&gt;0,1,0)</f>
        <v>0</v>
      </c>
      <c r="P3583" s="1199"/>
      <c r="Q3583" s="1199" t="str">
        <f>LEFT(base[[#This Row],[Evento / Mercado]],FIND("vs",base[[#This Row],[Evento / Mercado]])-2)</f>
        <v>Los Angeles Galaxy</v>
      </c>
      <c r="R358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199" t="str">
        <f>LEFT(base[[#This Row],[Evento / Mercado]],FIND("/",base[[#This Row],[Evento / Mercado]])-2)</f>
        <v>Los Angeles Galaxy vs FC Dallas</v>
      </c>
      <c r="T3583" s="1420">
        <f>base[[#This Row],[Data de liquidação]]</f>
        <v>46236.064479166664</v>
      </c>
    </row>
    <row r="3584" spans="2:20" ht="15" customHeight="1">
      <c r="B3584" s="1194" t="s">
        <v>4270</v>
      </c>
      <c r="C3584" s="935" t="s">
        <v>3556</v>
      </c>
      <c r="D3584" s="1411">
        <v>46236.372418981482</v>
      </c>
      <c r="E3584" s="1196">
        <v>-5</v>
      </c>
      <c r="F3584" s="654">
        <v>4.4999999999999998E-2</v>
      </c>
      <c r="G3584" s="1197">
        <f t="shared" si="114"/>
        <v>-5</v>
      </c>
      <c r="H3584" s="1185" t="s">
        <v>1666</v>
      </c>
      <c r="I3584" s="1173" t="s">
        <v>2883</v>
      </c>
      <c r="J3584" s="1197">
        <v>1.74</v>
      </c>
      <c r="K3584" s="1197">
        <v>5</v>
      </c>
      <c r="L3584" s="1195">
        <f>INT(base[[#This Row],[Data de liquidação]])</f>
        <v>46236</v>
      </c>
      <c r="M3584" s="1197">
        <f>base[[#This Row],[L/P Bruto]]-base[[#This Row],[L/P Líquido]]</f>
        <v>0</v>
      </c>
      <c r="N3584" s="1197">
        <f>base[[#This Row],[L/P Líquido]]/base[[#This Row],[Stake/Responsabilidade]]</f>
        <v>-1</v>
      </c>
      <c r="O3584" s="1199">
        <f>IF(base[[#This Row],[L/P Líquido]]&gt;0,1,0)</f>
        <v>0</v>
      </c>
      <c r="P3584" s="1199"/>
      <c r="Q3584" s="1199" t="str">
        <f>LEFT(base[[#This Row],[Evento / Mercado]],FIND("vs",base[[#This Row],[Evento / Mercado]])-2)</f>
        <v>Qingdao West Coast</v>
      </c>
      <c r="R358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199" t="str">
        <f>LEFT(base[[#This Row],[Evento / Mercado]],FIND("/",base[[#This Row],[Evento / Mercado]])-2)</f>
        <v>Qingdao West Coast vs Qingdao Hainiu</v>
      </c>
      <c r="T3584" s="1420">
        <f>base[[#This Row],[Data de liquidação]]</f>
        <v>46236.372418981482</v>
      </c>
    </row>
    <row r="3585" spans="2:20" ht="15" customHeight="1">
      <c r="B3585" s="1194" t="s">
        <v>4269</v>
      </c>
      <c r="C3585" s="935" t="s">
        <v>3556</v>
      </c>
      <c r="D3585" s="1411">
        <v>46236.432627314818</v>
      </c>
      <c r="E3585" s="1196">
        <v>9.93</v>
      </c>
      <c r="F3585" s="654">
        <v>4.4999999999999998E-2</v>
      </c>
      <c r="G3585" s="1197">
        <f t="shared" si="114"/>
        <v>10.397905759162304</v>
      </c>
      <c r="H3585" s="1185" t="s">
        <v>1666</v>
      </c>
      <c r="I3585" s="1198" t="s">
        <v>2301</v>
      </c>
      <c r="J3585" s="1197">
        <v>1.52</v>
      </c>
      <c r="K3585" s="1197">
        <v>20</v>
      </c>
      <c r="L3585" s="1195">
        <f>INT(base[[#This Row],[Data de liquidação]])</f>
        <v>46236</v>
      </c>
      <c r="M3585" s="1197">
        <f>base[[#This Row],[L/P Bruto]]-base[[#This Row],[L/P Líquido]]</f>
        <v>0.46790575916230459</v>
      </c>
      <c r="N3585" s="1197">
        <f>base[[#This Row],[L/P Líquido]]/base[[#This Row],[Stake/Responsabilidade]]</f>
        <v>0.4965</v>
      </c>
      <c r="O3585" s="1199">
        <f>IF(base[[#This Row],[L/P Líquido]]&gt;0,1,0)</f>
        <v>1</v>
      </c>
      <c r="P3585" s="1199"/>
      <c r="Q3585" s="1199" t="str">
        <f>LEFT(base[[#This Row],[Evento / Mercado]],FIND("vs",base[[#This Row],[Evento / Mercado]])-2)</f>
        <v>Shenzhen Peng City</v>
      </c>
      <c r="R358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199" t="str">
        <f>LEFT(base[[#This Row],[Evento / Mercado]],FIND("/",base[[#This Row],[Evento / Mercado]])-2)</f>
        <v>Shenzhen Peng City vs Chongqing Tonglianglong</v>
      </c>
      <c r="T3585" s="1420">
        <f>base[[#This Row],[Data de liquidação]]</f>
        <v>46236.432627314818</v>
      </c>
    </row>
    <row r="3586" spans="2:20" ht="15" customHeight="1">
      <c r="B3586" s="1194" t="s">
        <v>4268</v>
      </c>
      <c r="C3586" s="935" t="s">
        <v>3556</v>
      </c>
      <c r="D3586" s="1411">
        <v>46236.452974537038</v>
      </c>
      <c r="E3586" s="1196">
        <v>4.24</v>
      </c>
      <c r="F3586" s="654">
        <v>4.4999999999999998E-2</v>
      </c>
      <c r="G3586" s="1197">
        <f t="shared" si="114"/>
        <v>4.4397905759162306</v>
      </c>
      <c r="H3586" s="1185" t="s">
        <v>1666</v>
      </c>
      <c r="I3586" s="1198" t="s">
        <v>1759</v>
      </c>
      <c r="J3586" s="1197">
        <v>29.08</v>
      </c>
      <c r="K3586" s="1197">
        <v>124.67</v>
      </c>
      <c r="L3586" s="1195">
        <f>INT(base[[#This Row],[Data de liquidação]])</f>
        <v>46236</v>
      </c>
      <c r="M3586" s="1197">
        <f>base[[#This Row],[L/P Bruto]]-base[[#This Row],[L/P Líquido]]</f>
        <v>0.1997905759162304</v>
      </c>
      <c r="N3586" s="1197">
        <f>base[[#This Row],[L/P Líquido]]/base[[#This Row],[Stake/Responsabilidade]]</f>
        <v>3.4009785834603352E-2</v>
      </c>
      <c r="O3586" s="1199">
        <f>IF(base[[#This Row],[L/P Líquido]]&gt;0,1,0)</f>
        <v>1</v>
      </c>
      <c r="P3586" s="1199"/>
      <c r="Q3586" s="1199" t="str">
        <f>LEFT(base[[#This Row],[Evento / Mercado]],FIND("vs",base[[#This Row],[Evento / Mercado]])-2)</f>
        <v>IFK Göteborg</v>
      </c>
      <c r="R358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199" t="str">
        <f>LEFT(base[[#This Row],[Evento / Mercado]],FIND("/",base[[#This Row],[Evento / Mercado]])-2)</f>
        <v>IFK Göteborg vs Degerfors IF</v>
      </c>
      <c r="T3586" s="1420">
        <f>base[[#This Row],[Data de liquidação]]</f>
        <v>46236.452974537038</v>
      </c>
    </row>
    <row r="3587" spans="2:20" ht="15" customHeight="1">
      <c r="B3587" s="1194" t="s">
        <v>4267</v>
      </c>
      <c r="C3587" s="935" t="s">
        <v>3556</v>
      </c>
      <c r="D3587" s="1411">
        <v>46236.456365740742</v>
      </c>
      <c r="E3587" s="1196">
        <v>3.7</v>
      </c>
      <c r="F3587" s="654">
        <v>4.4999999999999998E-2</v>
      </c>
      <c r="G3587" s="1197">
        <f t="shared" si="114"/>
        <v>3.8743455497382202</v>
      </c>
      <c r="H3587" s="1185" t="s">
        <v>1666</v>
      </c>
      <c r="I3587" s="1198" t="s">
        <v>1759</v>
      </c>
      <c r="J3587" s="1197">
        <v>32</v>
      </c>
      <c r="K3587" s="1197">
        <v>119.97</v>
      </c>
      <c r="L3587" s="1195">
        <f>INT(base[[#This Row],[Data de liquidação]])</f>
        <v>46236</v>
      </c>
      <c r="M3587" s="1197">
        <f>base[[#This Row],[L/P Bruto]]-base[[#This Row],[L/P Líquido]]</f>
        <v>0.17434554973822003</v>
      </c>
      <c r="N3587" s="1197">
        <f>base[[#This Row],[L/P Líquido]]/base[[#This Row],[Stake/Responsabilidade]]</f>
        <v>3.0841043594231891E-2</v>
      </c>
      <c r="O3587" s="1199">
        <f>IF(base[[#This Row],[L/P Líquido]]&gt;0,1,0)</f>
        <v>1</v>
      </c>
      <c r="P3587" s="1199"/>
      <c r="Q3587" s="1199" t="str">
        <f>LEFT(base[[#This Row],[Evento / Mercado]],FIND("vs",base[[#This Row],[Evento / Mercado]])-2)</f>
        <v>Shenzhen Peng City</v>
      </c>
      <c r="R358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199" t="str">
        <f>LEFT(base[[#This Row],[Evento / Mercado]],FIND("/",base[[#This Row],[Evento / Mercado]])-2)</f>
        <v>Shenzhen Peng City vs Chongqing Tonglianglong</v>
      </c>
      <c r="T3587" s="1420">
        <f>base[[#This Row],[Data de liquidação]]</f>
        <v>46236.456365740742</v>
      </c>
    </row>
    <row r="3588" spans="2:20" ht="15" customHeight="1">
      <c r="B3588" s="1194" t="s">
        <v>4266</v>
      </c>
      <c r="C3588" s="935" t="s">
        <v>3556</v>
      </c>
      <c r="D3588" s="1411">
        <v>46236.532719907409</v>
      </c>
      <c r="E3588" s="1196">
        <v>19.309999999999999</v>
      </c>
      <c r="F3588" s="654">
        <v>4.4999999999999998E-2</v>
      </c>
      <c r="G3588" s="1197">
        <f t="shared" si="114"/>
        <v>20.219895287958114</v>
      </c>
      <c r="H3588" s="1185" t="s">
        <v>74</v>
      </c>
      <c r="I3588" s="1186" t="s">
        <v>627</v>
      </c>
      <c r="J3588" s="1197">
        <v>24</v>
      </c>
      <c r="K3588" s="1197">
        <v>465.06</v>
      </c>
      <c r="L3588" s="1195">
        <f>INT(base[[#This Row],[Data de liquidação]])</f>
        <v>46236</v>
      </c>
      <c r="M3588" s="1197">
        <f>base[[#This Row],[L/P Bruto]]-base[[#This Row],[L/P Líquido]]</f>
        <v>0.90989528795811481</v>
      </c>
      <c r="N3588" s="1197">
        <f>base[[#This Row],[L/P Líquido]]/base[[#This Row],[Stake/Responsabilidade]]</f>
        <v>4.1521524104416632E-2</v>
      </c>
      <c r="O3588" s="1199">
        <f>IF(base[[#This Row],[L/P Líquido]]&gt;0,1,0)</f>
        <v>1</v>
      </c>
      <c r="P3588" s="1199"/>
      <c r="Q3588" s="1199" t="str">
        <f>LEFT(base[[#This Row],[Evento / Mercado]],FIND("vs",base[[#This Row],[Evento / Mercado]])-2)</f>
        <v>Nõmme Kalju FC</v>
      </c>
      <c r="R358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199" t="str">
        <f>LEFT(base[[#This Row],[Evento / Mercado]],FIND("/",base[[#This Row],[Evento / Mercado]])-2)</f>
        <v>Nõmme Kalju FC vs Tartu JK Tammeka</v>
      </c>
      <c r="T3588" s="1420">
        <f>base[[#This Row],[Data de liquidação]]</f>
        <v>46236.532719907409</v>
      </c>
    </row>
    <row r="3589" spans="2:20" ht="15" customHeight="1">
      <c r="B3589" s="1194" t="s">
        <v>4265</v>
      </c>
      <c r="C3589" s="935" t="s">
        <v>3556</v>
      </c>
      <c r="D3589" s="1411">
        <v>46236.535763888889</v>
      </c>
      <c r="E3589" s="1196">
        <v>4.84</v>
      </c>
      <c r="F3589" s="654">
        <v>4.4999999999999998E-2</v>
      </c>
      <c r="G3589" s="1197">
        <f t="shared" si="114"/>
        <v>5.0680628272251314</v>
      </c>
      <c r="H3589" s="1197" t="s">
        <v>3631</v>
      </c>
      <c r="I3589" s="1198"/>
      <c r="J3589" s="1197">
        <v>1.1599999999999999</v>
      </c>
      <c r="K3589" s="1197">
        <v>50</v>
      </c>
      <c r="L3589" s="1195">
        <f>INT(base[[#This Row],[Data de liquidação]])</f>
        <v>46236</v>
      </c>
      <c r="M3589" s="1197">
        <f>base[[#This Row],[L/P Bruto]]-base[[#This Row],[L/P Líquido]]</f>
        <v>0.22806282722513149</v>
      </c>
      <c r="N3589" s="1197">
        <f>base[[#This Row],[L/P Líquido]]/base[[#This Row],[Stake/Responsabilidade]]</f>
        <v>9.6799999999999997E-2</v>
      </c>
      <c r="O3589" s="1199">
        <f>IF(base[[#This Row],[L/P Líquido]]&gt;0,1,0)</f>
        <v>1</v>
      </c>
      <c r="P3589" s="1199"/>
      <c r="Q3589" s="1199" t="str">
        <f>LEFT(base[[#This Row],[Evento / Mercado]],FIND("vs",base[[#This Row],[Evento / Mercado]])-2)</f>
        <v>AC Oulu</v>
      </c>
      <c r="R358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199" t="str">
        <f>LEFT(base[[#This Row],[Evento / Mercado]],FIND("/",base[[#This Row],[Evento / Mercado]])-2)</f>
        <v>AC Oulu vs Ilves</v>
      </c>
      <c r="T3589" s="1420">
        <f>base[[#This Row],[Data de liquidação]]</f>
        <v>46236.535763888889</v>
      </c>
    </row>
    <row r="3590" spans="2:20" ht="15" customHeight="1">
      <c r="B3590" s="1194" t="s">
        <v>4264</v>
      </c>
      <c r="C3590" s="935" t="s">
        <v>3556</v>
      </c>
      <c r="D3590" s="1411">
        <v>46236.556192129632</v>
      </c>
      <c r="E3590" s="1196">
        <v>-7.4</v>
      </c>
      <c r="F3590" s="654">
        <v>4.4999999999999998E-2</v>
      </c>
      <c r="G3590" s="1197">
        <f t="shared" si="114"/>
        <v>-7.4</v>
      </c>
      <c r="H3590" s="1197" t="s">
        <v>3631</v>
      </c>
      <c r="I3590" s="1198"/>
      <c r="J3590" s="1197">
        <v>1.24</v>
      </c>
      <c r="K3590" s="1197">
        <v>50</v>
      </c>
      <c r="L3590" s="1195">
        <f>INT(base[[#This Row],[Data de liquidação]])</f>
        <v>46236</v>
      </c>
      <c r="M3590" s="1197">
        <f>base[[#This Row],[L/P Bruto]]-base[[#This Row],[L/P Líquido]]</f>
        <v>0</v>
      </c>
      <c r="N3590" s="1197">
        <f>base[[#This Row],[L/P Líquido]]/base[[#This Row],[Stake/Responsabilidade]]</f>
        <v>-0.14800000000000002</v>
      </c>
      <c r="O3590" s="1199">
        <f>IF(base[[#This Row],[L/P Líquido]]&gt;0,1,0)</f>
        <v>0</v>
      </c>
      <c r="P3590" s="1199"/>
      <c r="Q3590" s="1199" t="str">
        <f>LEFT(base[[#This Row],[Evento / Mercado]],FIND("vs",base[[#This Row],[Evento / Mercado]])-2)</f>
        <v>Aalesunds FK</v>
      </c>
      <c r="R359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199" t="str">
        <f>LEFT(base[[#This Row],[Evento / Mercado]],FIND("/",base[[#This Row],[Evento / Mercado]])-2)</f>
        <v>Aalesunds FK vs Tromsø</v>
      </c>
      <c r="T3590" s="1420">
        <f>base[[#This Row],[Data de liquidação]]</f>
        <v>46236.556192129632</v>
      </c>
    </row>
    <row r="3591" spans="2:20" ht="15" customHeight="1">
      <c r="B3591" s="1194" t="s">
        <v>4263</v>
      </c>
      <c r="C3591" s="935" t="s">
        <v>3556</v>
      </c>
      <c r="D3591" s="1411">
        <v>46236.576851851853</v>
      </c>
      <c r="E3591" s="1196">
        <v>43.4</v>
      </c>
      <c r="F3591" s="654">
        <v>4.4999999999999998E-2</v>
      </c>
      <c r="G3591" s="1197">
        <f t="shared" si="114"/>
        <v>45.445026178010473</v>
      </c>
      <c r="H3591" s="1197" t="s">
        <v>179</v>
      </c>
      <c r="I3591" s="1198" t="s">
        <v>392</v>
      </c>
      <c r="J3591" s="1197">
        <v>9.8000000000000007</v>
      </c>
      <c r="K3591" s="1197">
        <v>399.96</v>
      </c>
      <c r="L3591" s="1195">
        <f>INT(base[[#This Row],[Data de liquidação]])</f>
        <v>46236</v>
      </c>
      <c r="M3591" s="1197">
        <f>base[[#This Row],[L/P Bruto]]-base[[#This Row],[L/P Líquido]]</f>
        <v>2.0450261780104739</v>
      </c>
      <c r="N3591" s="1197">
        <f>base[[#This Row],[L/P Líquido]]/base[[#This Row],[Stake/Responsabilidade]]</f>
        <v>0.10851085108510851</v>
      </c>
      <c r="O3591" s="1199">
        <f>IF(base[[#This Row],[L/P Líquido]]&gt;0,1,0)</f>
        <v>1</v>
      </c>
      <c r="P3591" s="1199"/>
      <c r="Q3591" s="1199" t="str">
        <f>LEFT(base[[#This Row],[Evento / Mercado]],FIND("vs",base[[#This Row],[Evento / Mercado]])-2)</f>
        <v>Odds Ballklubb</v>
      </c>
      <c r="R359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199" t="str">
        <f>LEFT(base[[#This Row],[Evento / Mercado]],FIND("/",base[[#This Row],[Evento / Mercado]])-2)</f>
        <v>Odds Ballklubb vs Åsane</v>
      </c>
      <c r="T3591" s="1420">
        <f>base[[#This Row],[Data de liquidação]]</f>
        <v>46236.576851851853</v>
      </c>
    </row>
    <row r="3592" spans="2:20" ht="15" customHeight="1">
      <c r="B3592" s="1194" t="s">
        <v>4262</v>
      </c>
      <c r="C3592" s="935" t="s">
        <v>3556</v>
      </c>
      <c r="D3592" s="1411">
        <v>46236.578333333331</v>
      </c>
      <c r="E3592" s="1196">
        <v>-399.99</v>
      </c>
      <c r="F3592" s="654">
        <v>4.4999999999999998E-2</v>
      </c>
      <c r="G3592" s="1197">
        <f t="shared" si="114"/>
        <v>-399.99</v>
      </c>
      <c r="H3592" s="1197" t="s">
        <v>179</v>
      </c>
      <c r="I3592" s="1198" t="s">
        <v>392</v>
      </c>
      <c r="J3592" s="1197">
        <v>9.6</v>
      </c>
      <c r="K3592" s="1197">
        <v>399.99</v>
      </c>
      <c r="L3592" s="1195">
        <f>INT(base[[#This Row],[Data de liquidação]])</f>
        <v>46236</v>
      </c>
      <c r="M3592" s="1197">
        <f>base[[#This Row],[L/P Bruto]]-base[[#This Row],[L/P Líquido]]</f>
        <v>0</v>
      </c>
      <c r="N3592" s="1197">
        <f>base[[#This Row],[L/P Líquido]]/base[[#This Row],[Stake/Responsabilidade]]</f>
        <v>-1</v>
      </c>
      <c r="O3592" s="1199">
        <f>IF(base[[#This Row],[L/P Líquido]]&gt;0,1,0)</f>
        <v>0</v>
      </c>
      <c r="P3592" s="1199"/>
      <c r="Q3592" s="1199" t="str">
        <f>LEFT(base[[#This Row],[Evento / Mercado]],FIND("vs",base[[#This Row],[Evento / Mercado]])-2)</f>
        <v>Kongsvinger IL</v>
      </c>
      <c r="R359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199" t="str">
        <f>LEFT(base[[#This Row],[Evento / Mercado]],FIND("/",base[[#This Row],[Evento / Mercado]])-2)</f>
        <v>Kongsvinger IL vs Strømmen</v>
      </c>
      <c r="T3592" s="1420">
        <f>base[[#This Row],[Data de liquidação]]</f>
        <v>46236.578333333331</v>
      </c>
    </row>
    <row r="3593" spans="2:20" ht="15" customHeight="1">
      <c r="B3593" s="1194" t="s">
        <v>4261</v>
      </c>
      <c r="C3593" s="935" t="s">
        <v>3556</v>
      </c>
      <c r="D3593" s="1411">
        <v>46236.581724537034</v>
      </c>
      <c r="E3593" s="1196">
        <v>25.73</v>
      </c>
      <c r="F3593" s="654">
        <v>4.4999999999999998E-2</v>
      </c>
      <c r="G3593" s="1197">
        <f t="shared" si="114"/>
        <v>26.942408376963353</v>
      </c>
      <c r="H3593" s="1185" t="s">
        <v>74</v>
      </c>
      <c r="I3593" s="1186" t="s">
        <v>627</v>
      </c>
      <c r="J3593" s="1197">
        <v>19</v>
      </c>
      <c r="K3593" s="1197">
        <v>484.92</v>
      </c>
      <c r="L3593" s="1195">
        <f>INT(base[[#This Row],[Data de liquidação]])</f>
        <v>46236</v>
      </c>
      <c r="M3593" s="1197">
        <f>base[[#This Row],[L/P Bruto]]-base[[#This Row],[L/P Líquido]]</f>
        <v>1.2124083769633529</v>
      </c>
      <c r="N3593" s="1197">
        <f>base[[#This Row],[L/P Líquido]]/base[[#This Row],[Stake/Responsabilidade]]</f>
        <v>5.3060298605955618E-2</v>
      </c>
      <c r="O3593" s="1199">
        <f>IF(base[[#This Row],[L/P Líquido]]&gt;0,1,0)</f>
        <v>1</v>
      </c>
      <c r="P3593" s="1199"/>
      <c r="Q3593" s="1199" t="str">
        <f>LEFT(base[[#This Row],[Evento / Mercado]],FIND("vs",base[[#This Row],[Evento / Mercado]])-2)</f>
        <v>Hødd</v>
      </c>
      <c r="R359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199" t="str">
        <f>LEFT(base[[#This Row],[Evento / Mercado]],FIND("/",base[[#This Row],[Evento / Mercado]])-2)</f>
        <v>Hødd vs Moss</v>
      </c>
      <c r="T3593" s="1420">
        <f>base[[#This Row],[Data de liquidação]]</f>
        <v>46236.581724537034</v>
      </c>
    </row>
    <row r="3594" spans="2:20" ht="15" customHeight="1">
      <c r="B3594" s="1194" t="s">
        <v>4260</v>
      </c>
      <c r="C3594" s="935" t="s">
        <v>3556</v>
      </c>
      <c r="D3594" s="1411">
        <v>46236.587129629632</v>
      </c>
      <c r="E3594" s="1196">
        <v>11.35</v>
      </c>
      <c r="F3594" s="654">
        <v>4.4999999999999998E-2</v>
      </c>
      <c r="G3594" s="1197">
        <f t="shared" si="114"/>
        <v>11.884816753926701</v>
      </c>
      <c r="H3594" s="1197" t="s">
        <v>3334</v>
      </c>
      <c r="I3594" s="1198" t="s">
        <v>694</v>
      </c>
      <c r="J3594" s="1197">
        <v>38</v>
      </c>
      <c r="K3594" s="1197">
        <v>439.93</v>
      </c>
      <c r="L3594" s="1195">
        <f>INT(base[[#This Row],[Data de liquidação]])</f>
        <v>46236</v>
      </c>
      <c r="M3594" s="1197">
        <f>base[[#This Row],[L/P Bruto]]-base[[#This Row],[L/P Líquido]]</f>
        <v>0.53481675392670169</v>
      </c>
      <c r="N3594" s="1197">
        <f>base[[#This Row],[L/P Líquido]]/base[[#This Row],[Stake/Responsabilidade]]</f>
        <v>2.5799559020753302E-2</v>
      </c>
      <c r="O3594" s="1199">
        <f>IF(base[[#This Row],[L/P Líquido]]&gt;0,1,0)</f>
        <v>1</v>
      </c>
      <c r="P3594" s="1199"/>
      <c r="Q3594" s="1199" t="str">
        <f>LEFT(base[[#This Row],[Evento / Mercado]],FIND("vs",base[[#This Row],[Evento / Mercado]])-2)</f>
        <v>Raufoss</v>
      </c>
      <c r="R359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199" t="str">
        <f>LEFT(base[[#This Row],[Evento / Mercado]],FIND("/",base[[#This Row],[Evento / Mercado]])-2)</f>
        <v>Raufoss vs Stabæk</v>
      </c>
      <c r="T3594" s="1420">
        <f>base[[#This Row],[Data de liquidação]]</f>
        <v>46236.587129629632</v>
      </c>
    </row>
    <row r="3595" spans="2:20" ht="15" customHeight="1">
      <c r="B3595" s="1194" t="s">
        <v>4259</v>
      </c>
      <c r="C3595" s="935" t="s">
        <v>3556</v>
      </c>
      <c r="D3595" s="1411">
        <v>46236.661620370367</v>
      </c>
      <c r="E3595" s="1196">
        <v>16.11</v>
      </c>
      <c r="F3595" s="654">
        <v>4.4999999999999998E-2</v>
      </c>
      <c r="G3595" s="1197">
        <f t="shared" si="114"/>
        <v>16.869109947643977</v>
      </c>
      <c r="H3595" s="1197" t="s">
        <v>3330</v>
      </c>
      <c r="I3595" s="1248" t="s">
        <v>4368</v>
      </c>
      <c r="J3595" s="1197">
        <v>5.5</v>
      </c>
      <c r="K3595" s="1197">
        <v>125.01</v>
      </c>
      <c r="L3595" s="1195">
        <f>INT(base[[#This Row],[Data de liquidação]])</f>
        <v>46236</v>
      </c>
      <c r="M3595" s="1197">
        <f>base[[#This Row],[L/P Bruto]]-base[[#This Row],[L/P Líquido]]</f>
        <v>0.75910994764397799</v>
      </c>
      <c r="N3595" s="1197">
        <f>base[[#This Row],[L/P Líquido]]/base[[#This Row],[Stake/Responsabilidade]]</f>
        <v>0.12886969042476601</v>
      </c>
      <c r="O3595" s="1199">
        <f>IF(base[[#This Row],[L/P Líquido]]&gt;0,1,0)</f>
        <v>1</v>
      </c>
      <c r="P3595" s="1199"/>
      <c r="Q3595" s="1199" t="str">
        <f>LEFT(base[[#This Row],[Evento / Mercado]],FIND("vs",base[[#This Row],[Evento / Mercado]])-2)</f>
        <v>SK Rapid Wien</v>
      </c>
      <c r="R359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199" t="str">
        <f>LEFT(base[[#This Row],[Evento / Mercado]],FIND("/",base[[#This Row],[Evento / Mercado]])-2)</f>
        <v>SK Rapid Wien vs SCR Altach</v>
      </c>
      <c r="T3595" s="1420">
        <f>base[[#This Row],[Data de liquidação]]</f>
        <v>46236.661620370367</v>
      </c>
    </row>
    <row r="3596" spans="2:20" ht="15" customHeight="1">
      <c r="B3596" s="1194" t="s">
        <v>4258</v>
      </c>
      <c r="C3596" s="935" t="s">
        <v>3556</v>
      </c>
      <c r="D3596" s="1411">
        <v>46236.743750000001</v>
      </c>
      <c r="E3596" s="1196">
        <v>21.09</v>
      </c>
      <c r="F3596" s="654">
        <v>4.4999999999999998E-2</v>
      </c>
      <c r="G3596" s="1197">
        <f t="shared" si="114"/>
        <v>22.083769633507853</v>
      </c>
      <c r="H3596" s="1185" t="s">
        <v>74</v>
      </c>
      <c r="I3596" s="1186" t="s">
        <v>627</v>
      </c>
      <c r="J3596" s="1197">
        <v>25</v>
      </c>
      <c r="K3596" s="1197">
        <v>529.91999999999996</v>
      </c>
      <c r="L3596" s="1195">
        <f>INT(base[[#This Row],[Data de liquidação]])</f>
        <v>46236</v>
      </c>
      <c r="M3596" s="1197">
        <f>base[[#This Row],[L/P Bruto]]-base[[#This Row],[L/P Líquido]]</f>
        <v>0.99376963350785275</v>
      </c>
      <c r="N3596" s="1197">
        <f>base[[#This Row],[L/P Líquido]]/base[[#This Row],[Stake/Responsabilidade]]</f>
        <v>3.9798460144927536E-2</v>
      </c>
      <c r="O3596" s="1199">
        <f>IF(base[[#This Row],[L/P Líquido]]&gt;0,1,0)</f>
        <v>1</v>
      </c>
      <c r="P3596" s="1199"/>
      <c r="Q3596" s="1199" t="str">
        <f>LEFT(base[[#This Row],[Evento / Mercado]],FIND("vs",base[[#This Row],[Evento / Mercado]])-2)</f>
        <v>Club Bamin Real Potosí</v>
      </c>
      <c r="R359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199" t="str">
        <f>LEFT(base[[#This Row],[Evento / Mercado]],FIND("/",base[[#This Row],[Evento / Mercado]])-2)</f>
        <v>Club Bamin Real Potosí vs CD Gualberto Villarroel</v>
      </c>
      <c r="T3596" s="1420">
        <f>base[[#This Row],[Data de liquidação]]</f>
        <v>46236.743750000001</v>
      </c>
    </row>
    <row r="3597" spans="2:20" ht="15" customHeight="1">
      <c r="B3597" s="1194" t="s">
        <v>4257</v>
      </c>
      <c r="C3597" s="935" t="s">
        <v>3556</v>
      </c>
      <c r="D3597" s="1411">
        <v>46236.810717592591</v>
      </c>
      <c r="E3597" s="1196">
        <v>4.3499999999999996</v>
      </c>
      <c r="F3597" s="654">
        <v>4.4999999999999998E-2</v>
      </c>
      <c r="G3597" s="1197">
        <f t="shared" si="114"/>
        <v>4.5549738219895284</v>
      </c>
      <c r="H3597" s="1197" t="s">
        <v>1666</v>
      </c>
      <c r="I3597" s="1198" t="s">
        <v>2950</v>
      </c>
      <c r="J3597" s="1197">
        <v>12</v>
      </c>
      <c r="K3597" s="1197">
        <v>50.05</v>
      </c>
      <c r="L3597" s="1195">
        <f>INT(base[[#This Row],[Data de liquidação]])</f>
        <v>46236</v>
      </c>
      <c r="M3597" s="1197">
        <f>base[[#This Row],[L/P Bruto]]-base[[#This Row],[L/P Líquido]]</f>
        <v>0.20497382198952874</v>
      </c>
      <c r="N3597" s="1197">
        <f>base[[#This Row],[L/P Líquido]]/base[[#This Row],[Stake/Responsabilidade]]</f>
        <v>8.6913086913086912E-2</v>
      </c>
      <c r="O3597" s="1199">
        <f>IF(base[[#This Row],[L/P Líquido]]&gt;0,1,0)</f>
        <v>1</v>
      </c>
      <c r="P3597" s="1199"/>
      <c r="Q3597" s="1199" t="str">
        <f>LEFT(base[[#This Row],[Evento / Mercado]],FIND("vs",base[[#This Row],[Evento / Mercado]])-2)</f>
        <v>Deportivo Moquegua</v>
      </c>
      <c r="R359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199" t="str">
        <f>LEFT(base[[#This Row],[Evento / Mercado]],FIND("/",base[[#This Row],[Evento / Mercado]])-2)</f>
        <v>Deportivo Moquegua vs FBC Melgar</v>
      </c>
      <c r="T3597" s="1420">
        <f>base[[#This Row],[Data de liquidação]]</f>
        <v>46236.810717592591</v>
      </c>
    </row>
    <row r="3598" spans="2:20" ht="15" customHeight="1">
      <c r="B3598" s="1194" t="s">
        <v>4256</v>
      </c>
      <c r="C3598" s="935" t="s">
        <v>3556</v>
      </c>
      <c r="D3598" s="1411">
        <v>46236.850023148145</v>
      </c>
      <c r="E3598" s="1196">
        <v>24.92</v>
      </c>
      <c r="F3598" s="654">
        <v>4.4999999999999998E-2</v>
      </c>
      <c r="G3598" s="1197">
        <f t="shared" si="114"/>
        <v>26.094240837696336</v>
      </c>
      <c r="H3598" s="1200" t="s">
        <v>3868</v>
      </c>
      <c r="I3598" s="1186" t="s">
        <v>627</v>
      </c>
      <c r="J3598" s="1197">
        <v>24</v>
      </c>
      <c r="K3598" s="1197">
        <v>600.07000000000005</v>
      </c>
      <c r="L3598" s="1195">
        <f>INT(base[[#This Row],[Data de liquidação]])</f>
        <v>46236</v>
      </c>
      <c r="M3598" s="1197">
        <f>base[[#This Row],[L/P Bruto]]-base[[#This Row],[L/P Líquido]]</f>
        <v>1.1742408376963347</v>
      </c>
      <c r="N3598" s="1197">
        <f>base[[#This Row],[L/P Líquido]]/base[[#This Row],[Stake/Responsabilidade]]</f>
        <v>4.1528488343026644E-2</v>
      </c>
      <c r="O3598" s="1199">
        <f>IF(base[[#This Row],[L/P Líquido]]&gt;0,1,0)</f>
        <v>1</v>
      </c>
      <c r="P3598" s="1199"/>
      <c r="Q3598" s="1199" t="str">
        <f>LEFT(base[[#This Row],[Evento / Mercado]],FIND("vs",base[[#This Row],[Evento / Mercado]])-2)</f>
        <v>Club Nacional</v>
      </c>
      <c r="R359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199" t="str">
        <f>LEFT(base[[#This Row],[Evento / Mercado]],FIND("/",base[[#This Row],[Evento / Mercado]])-2)</f>
        <v>Club Nacional vs CA Progreso</v>
      </c>
      <c r="T3598" s="1420">
        <f>base[[#This Row],[Data de liquidação]]</f>
        <v>46236.850023148145</v>
      </c>
    </row>
    <row r="3599" spans="2:20" ht="15" customHeight="1">
      <c r="B3599" s="1194" t="s">
        <v>4255</v>
      </c>
      <c r="C3599" s="935" t="s">
        <v>3556</v>
      </c>
      <c r="D3599" s="1411">
        <v>46236.850335648145</v>
      </c>
      <c r="E3599" s="1196">
        <v>1.23</v>
      </c>
      <c r="F3599" s="654">
        <v>4.4999999999999998E-2</v>
      </c>
      <c r="G3599" s="1197">
        <f t="shared" si="114"/>
        <v>1.2879581151832462</v>
      </c>
      <c r="H3599" s="1200" t="s">
        <v>3868</v>
      </c>
      <c r="I3599" s="1186" t="s">
        <v>627</v>
      </c>
      <c r="J3599" s="1197">
        <v>25</v>
      </c>
      <c r="K3599" s="1197">
        <v>99.12</v>
      </c>
      <c r="L3599" s="1195">
        <f>INT(base[[#This Row],[Data de liquidação]])</f>
        <v>46236</v>
      </c>
      <c r="M3599" s="1197">
        <f>base[[#This Row],[L/P Bruto]]-base[[#This Row],[L/P Líquido]]</f>
        <v>5.7958115183246228E-2</v>
      </c>
      <c r="N3599" s="1197">
        <f>base[[#This Row],[L/P Líquido]]/base[[#This Row],[Stake/Responsabilidade]]</f>
        <v>1.2409200968523002E-2</v>
      </c>
      <c r="O3599" s="1199">
        <f>IF(base[[#This Row],[L/P Líquido]]&gt;0,1,0)</f>
        <v>1</v>
      </c>
      <c r="P3599" s="1199"/>
      <c r="Q3599" s="1199" t="str">
        <f>LEFT(base[[#This Row],[Evento / Mercado]],FIND("vs",base[[#This Row],[Evento / Mercado]])-2)</f>
        <v>Universidad de Chile</v>
      </c>
      <c r="R359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199" t="str">
        <f>LEFT(base[[#This Row],[Evento / Mercado]],FIND("/",base[[#This Row],[Evento / Mercado]])-2)</f>
        <v>Universidad de Chile vs Huachipato</v>
      </c>
      <c r="T3599" s="1420">
        <f>base[[#This Row],[Data de liquidação]]</f>
        <v>46236.850335648145</v>
      </c>
    </row>
    <row r="3600" spans="2:20" ht="15" customHeight="1">
      <c r="B3600" s="1194" t="s">
        <v>4254</v>
      </c>
      <c r="C3600" s="935" t="s">
        <v>3556</v>
      </c>
      <c r="D3600" s="1411">
        <v>46236.851898148147</v>
      </c>
      <c r="E3600" s="1196">
        <v>6.46</v>
      </c>
      <c r="F3600" s="654">
        <v>4.4999999999999998E-2</v>
      </c>
      <c r="G3600" s="1197">
        <f t="shared" si="114"/>
        <v>6.7643979057591626</v>
      </c>
      <c r="H3600" s="1197" t="s">
        <v>1666</v>
      </c>
      <c r="I3600" s="1198" t="s">
        <v>2950</v>
      </c>
      <c r="J3600" s="1197">
        <v>8.1999999999999993</v>
      </c>
      <c r="K3600" s="1197">
        <v>48.67</v>
      </c>
      <c r="L3600" s="1195">
        <f>INT(base[[#This Row],[Data de liquidação]])</f>
        <v>46236</v>
      </c>
      <c r="M3600" s="1197">
        <f>base[[#This Row],[L/P Bruto]]-base[[#This Row],[L/P Líquido]]</f>
        <v>0.30439790575916259</v>
      </c>
      <c r="N3600" s="1197">
        <f>base[[#This Row],[L/P Líquido]]/base[[#This Row],[Stake/Responsabilidade]]</f>
        <v>0.13273063488802136</v>
      </c>
      <c r="O3600" s="1199">
        <f>IF(base[[#This Row],[L/P Líquido]]&gt;0,1,0)</f>
        <v>1</v>
      </c>
      <c r="P3600" s="1199"/>
      <c r="Q3600" s="1199" t="str">
        <f>LEFT(base[[#This Row],[Evento / Mercado]],FIND("vs",base[[#This Row],[Evento / Mercado]])-2)</f>
        <v>Chapecoense</v>
      </c>
      <c r="R360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199" t="str">
        <f>LEFT(base[[#This Row],[Evento / Mercado]],FIND("/",base[[#This Row],[Evento / Mercado]])-2)</f>
        <v>Chapecoense vs Cruzeiro</v>
      </c>
      <c r="T3600" s="1420">
        <f>base[[#This Row],[Data de liquidação]]</f>
        <v>46236.851898148147</v>
      </c>
    </row>
    <row r="3601" spans="2:20" ht="15" customHeight="1">
      <c r="B3601" s="1194" t="s">
        <v>4253</v>
      </c>
      <c r="C3601" s="935" t="s">
        <v>3556</v>
      </c>
      <c r="D3601" s="1411">
        <v>46236.877858796295</v>
      </c>
      <c r="E3601" s="1196">
        <v>5.55</v>
      </c>
      <c r="F3601" s="654">
        <v>4.4999999999999998E-2</v>
      </c>
      <c r="G3601" s="1197">
        <f t="shared" si="114"/>
        <v>5.8115183246073299</v>
      </c>
      <c r="H3601" s="1197" t="s">
        <v>1666</v>
      </c>
      <c r="I3601" s="1198" t="s">
        <v>2950</v>
      </c>
      <c r="J3601" s="1197">
        <v>9.6</v>
      </c>
      <c r="K3601" s="1197">
        <v>49.97</v>
      </c>
      <c r="L3601" s="1195">
        <f>INT(base[[#This Row],[Data de liquidação]])</f>
        <v>46236</v>
      </c>
      <c r="M3601" s="1197">
        <f>base[[#This Row],[L/P Bruto]]-base[[#This Row],[L/P Líquido]]</f>
        <v>0.26151832460733004</v>
      </c>
      <c r="N3601" s="1197">
        <f>base[[#This Row],[L/P Líquido]]/base[[#This Row],[Stake/Responsabilidade]]</f>
        <v>0.1110666399839904</v>
      </c>
      <c r="O3601" s="1199">
        <f>IF(base[[#This Row],[L/P Líquido]]&gt;0,1,0)</f>
        <v>1</v>
      </c>
      <c r="P3601" s="1199"/>
      <c r="Q3601" s="1199" t="str">
        <f>LEFT(base[[#This Row],[Evento / Mercado]],FIND("vs",base[[#This Row],[Evento / Mercado]])-2)</f>
        <v>HFX Wanderers</v>
      </c>
      <c r="R360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199" t="str">
        <f>LEFT(base[[#This Row],[Evento / Mercado]],FIND("/",base[[#This Row],[Evento / Mercado]])-2)</f>
        <v>HFX Wanderers vs Forge</v>
      </c>
      <c r="T3601" s="1420">
        <f>base[[#This Row],[Data de liquidação]]</f>
        <v>46236.877858796295</v>
      </c>
    </row>
    <row r="3602" spans="2:20" ht="15" customHeight="1">
      <c r="B3602" s="1194" t="s">
        <v>4252</v>
      </c>
      <c r="C3602" s="935" t="s">
        <v>3556</v>
      </c>
      <c r="D3602" s="1411">
        <v>46236.972129629627</v>
      </c>
      <c r="E3602" s="1196">
        <v>24.35</v>
      </c>
      <c r="F3602" s="654">
        <v>4.4999999999999998E-2</v>
      </c>
      <c r="G3602" s="1197">
        <f t="shared" si="114"/>
        <v>25.497382198952881</v>
      </c>
      <c r="H3602" s="1197" t="s">
        <v>3868</v>
      </c>
      <c r="I3602" s="1186" t="s">
        <v>4159</v>
      </c>
      <c r="J3602" s="1197">
        <v>1.51</v>
      </c>
      <c r="K3602" s="1197">
        <v>50</v>
      </c>
      <c r="L3602" s="1195">
        <f>INT(base[[#This Row],[Data de liquidação]])</f>
        <v>46236</v>
      </c>
      <c r="M3602" s="1197">
        <f>base[[#This Row],[L/P Bruto]]-base[[#This Row],[L/P Líquido]]</f>
        <v>1.1473821989528794</v>
      </c>
      <c r="N3602" s="1197">
        <f>base[[#This Row],[L/P Líquido]]/base[[#This Row],[Stake/Responsabilidade]]</f>
        <v>0.48700000000000004</v>
      </c>
      <c r="O3602" s="1199">
        <f>IF(base[[#This Row],[L/P Líquido]]&gt;0,1,0)</f>
        <v>1</v>
      </c>
      <c r="P3602" s="1199"/>
      <c r="Q3602" s="1199" t="str">
        <f>LEFT(base[[#This Row],[Evento / Mercado]],FIND("vs",base[[#This Row],[Evento / Mercado]])-2)</f>
        <v>Lanus</v>
      </c>
      <c r="R360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199" t="str">
        <f>LEFT(base[[#This Row],[Evento / Mercado]],FIND("/",base[[#This Row],[Evento / Mercado]])-2)</f>
        <v>Lanus vs Instituto de Córdoba</v>
      </c>
      <c r="T3602" s="1420">
        <f>base[[#This Row],[Data de liquidação]]</f>
        <v>46236.972129629627</v>
      </c>
    </row>
    <row r="3603" spans="2:20" ht="15" customHeight="1">
      <c r="B3603" s="1201" t="s">
        <v>4281</v>
      </c>
      <c r="C3603" s="935" t="s">
        <v>3556</v>
      </c>
      <c r="D3603" s="1412">
        <v>46237.660543981481</v>
      </c>
      <c r="E3603" s="1203">
        <v>34.56</v>
      </c>
      <c r="F3603" s="654">
        <v>4.4999999999999998E-2</v>
      </c>
      <c r="G3603" s="1204">
        <f t="shared" ref="G3603:G3607" si="115">IF(E3603&gt;0,E3603/(1-F3603),E3603)</f>
        <v>36.188481675392673</v>
      </c>
      <c r="H3603" s="1204" t="s">
        <v>74</v>
      </c>
      <c r="I3603" s="1205" t="s">
        <v>693</v>
      </c>
      <c r="J3603" s="1204">
        <v>11.5</v>
      </c>
      <c r="K3603" s="1204">
        <v>380</v>
      </c>
      <c r="L3603" s="1202">
        <f>INT(base[[#This Row],[Data de liquidação]])</f>
        <v>46237</v>
      </c>
      <c r="M3603" s="1204">
        <f>base[[#This Row],[L/P Bruto]]-base[[#This Row],[L/P Líquido]]</f>
        <v>1.6284816753926705</v>
      </c>
      <c r="N3603" s="1204">
        <f>base[[#This Row],[L/P Líquido]]/base[[#This Row],[Stake/Responsabilidade]]</f>
        <v>9.0947368421052638E-2</v>
      </c>
      <c r="O3603" s="1206">
        <f>IF(base[[#This Row],[L/P Líquido]]&gt;0,1,0)</f>
        <v>1</v>
      </c>
      <c r="P3603" s="1206"/>
      <c r="Q3603" s="1206" t="str">
        <f>LEFT(base[[#This Row],[Evento / Mercado]],FIND("vs",base[[#This Row],[Evento / Mercado]])-2)</f>
        <v>Halmstads BK</v>
      </c>
      <c r="R3603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6" t="str">
        <f>LEFT(base[[#This Row],[Evento / Mercado]],FIND("/",base[[#This Row],[Evento / Mercado]])-2)</f>
        <v>Halmstads BK vs IK Sirius</v>
      </c>
      <c r="T3603" s="1420">
        <f>base[[#This Row],[Data de liquidação]]</f>
        <v>46237.660543981481</v>
      </c>
    </row>
    <row r="3604" spans="2:20" ht="15" customHeight="1">
      <c r="B3604" s="1201" t="s">
        <v>4280</v>
      </c>
      <c r="C3604" s="935" t="s">
        <v>3556</v>
      </c>
      <c r="D3604" s="1412">
        <v>46237.660798611112</v>
      </c>
      <c r="E3604" s="1203">
        <v>51.63</v>
      </c>
      <c r="F3604" s="654">
        <v>4.4999999999999998E-2</v>
      </c>
      <c r="G3604" s="1204">
        <f t="shared" si="115"/>
        <v>54.062827225130896</v>
      </c>
      <c r="H3604" s="1204" t="s">
        <v>179</v>
      </c>
      <c r="I3604" s="1205" t="s">
        <v>392</v>
      </c>
      <c r="J3604" s="1204">
        <v>8.4</v>
      </c>
      <c r="K3604" s="1204">
        <v>400.04</v>
      </c>
      <c r="L3604" s="1202">
        <f>INT(base[[#This Row],[Data de liquidação]])</f>
        <v>46237</v>
      </c>
      <c r="M3604" s="1204">
        <f>base[[#This Row],[L/P Bruto]]-base[[#This Row],[L/P Líquido]]</f>
        <v>2.4328272251308931</v>
      </c>
      <c r="N3604" s="1204">
        <f>base[[#This Row],[L/P Líquido]]/base[[#This Row],[Stake/Responsabilidade]]</f>
        <v>0.12906209379062095</v>
      </c>
      <c r="O3604" s="1206">
        <f>IF(base[[#This Row],[L/P Líquido]]&gt;0,1,0)</f>
        <v>1</v>
      </c>
      <c r="P3604" s="1206"/>
      <c r="Q3604" s="1206" t="str">
        <f>LEFT(base[[#This Row],[Evento / Mercado]],FIND("vs",base[[#This Row],[Evento / Mercado]])-2)</f>
        <v>Halmstads BK</v>
      </c>
      <c r="R3604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6" t="str">
        <f>LEFT(base[[#This Row],[Evento / Mercado]],FIND("/",base[[#This Row],[Evento / Mercado]])-2)</f>
        <v>Halmstads BK vs IK Sirius</v>
      </c>
      <c r="T3604" s="1420">
        <f>base[[#This Row],[Data de liquidação]]</f>
        <v>46237.660798611112</v>
      </c>
    </row>
    <row r="3605" spans="2:20" ht="15" customHeight="1">
      <c r="B3605" s="1201" t="s">
        <v>4279</v>
      </c>
      <c r="C3605" s="935" t="s">
        <v>3556</v>
      </c>
      <c r="D3605" s="1412">
        <v>46237.671076388891</v>
      </c>
      <c r="E3605" s="1203">
        <v>13.03</v>
      </c>
      <c r="F3605" s="654">
        <v>4.4999999999999998E-2</v>
      </c>
      <c r="G3605" s="1204">
        <f t="shared" si="115"/>
        <v>13.643979057591624</v>
      </c>
      <c r="H3605" s="1204" t="s">
        <v>3334</v>
      </c>
      <c r="I3605" s="1205" t="s">
        <v>627</v>
      </c>
      <c r="J3605" s="1204">
        <v>34</v>
      </c>
      <c r="K3605" s="1204">
        <v>450.12</v>
      </c>
      <c r="L3605" s="1202">
        <f>INT(base[[#This Row],[Data de liquidação]])</f>
        <v>46237</v>
      </c>
      <c r="M3605" s="1204">
        <f>base[[#This Row],[L/P Bruto]]-base[[#This Row],[L/P Líquido]]</f>
        <v>0.61397905759162441</v>
      </c>
      <c r="N3605" s="1204">
        <f>base[[#This Row],[L/P Líquido]]/base[[#This Row],[Stake/Responsabilidade]]</f>
        <v>2.8947836132586863E-2</v>
      </c>
      <c r="O3605" s="1206">
        <f>IF(base[[#This Row],[L/P Líquido]]&gt;0,1,0)</f>
        <v>1</v>
      </c>
      <c r="P3605" s="1206"/>
      <c r="Q3605" s="1206" t="str">
        <f>LEFT(base[[#This Row],[Evento / Mercado]],FIND("vs",base[[#This Row],[Evento / Mercado]])-2)</f>
        <v>Djurgårdens IF</v>
      </c>
      <c r="R3605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6" t="str">
        <f>LEFT(base[[#This Row],[Evento / Mercado]],FIND("/",base[[#This Row],[Evento / Mercado]])-2)</f>
        <v>Djurgårdens IF vs Västerås SK FK</v>
      </c>
      <c r="T3605" s="1420">
        <f>base[[#This Row],[Data de liquidação]]</f>
        <v>46237.671076388891</v>
      </c>
    </row>
    <row r="3606" spans="2:20" ht="15" customHeight="1">
      <c r="B3606" s="1201" t="s">
        <v>4278</v>
      </c>
      <c r="C3606" s="935" t="s">
        <v>3556</v>
      </c>
      <c r="D3606" s="1412">
        <v>46237.856898148151</v>
      </c>
      <c r="E3606" s="1203">
        <v>18.149999999999999</v>
      </c>
      <c r="F3606" s="654">
        <v>4.4999999999999998E-2</v>
      </c>
      <c r="G3606" s="1204">
        <f t="shared" si="115"/>
        <v>19.005235602094242</v>
      </c>
      <c r="H3606" s="1204" t="s">
        <v>3868</v>
      </c>
      <c r="I3606" s="1186" t="s">
        <v>4159</v>
      </c>
      <c r="J3606" s="1204">
        <v>1.38</v>
      </c>
      <c r="K3606" s="1204">
        <v>50</v>
      </c>
      <c r="L3606" s="1202">
        <f>INT(base[[#This Row],[Data de liquidação]])</f>
        <v>46237</v>
      </c>
      <c r="M3606" s="1204">
        <f>base[[#This Row],[L/P Bruto]]-base[[#This Row],[L/P Líquido]]</f>
        <v>0.85523560209424332</v>
      </c>
      <c r="N3606" s="1204">
        <f>base[[#This Row],[L/P Líquido]]/base[[#This Row],[Stake/Responsabilidade]]</f>
        <v>0.36299999999999999</v>
      </c>
      <c r="O3606" s="1206">
        <f>IF(base[[#This Row],[L/P Líquido]]&gt;0,1,0)</f>
        <v>1</v>
      </c>
      <c r="P3606" s="1206"/>
      <c r="Q3606" s="1206" t="str">
        <f>LEFT(base[[#This Row],[Evento / Mercado]],FIND("vs",base[[#This Row],[Evento / Mercado]])-2)</f>
        <v>Vélez Sársfield</v>
      </c>
      <c r="R3606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6" t="str">
        <f>LEFT(base[[#This Row],[Evento / Mercado]],FIND("/",base[[#This Row],[Evento / Mercado]])-2)</f>
        <v>Vélez Sársfield vs Independiente</v>
      </c>
      <c r="T3606" s="1420">
        <f>base[[#This Row],[Data de liquidação]]</f>
        <v>46237.856898148151</v>
      </c>
    </row>
    <row r="3607" spans="2:20" ht="15" customHeight="1">
      <c r="B3607" s="1201" t="s">
        <v>4277</v>
      </c>
      <c r="C3607" s="935" t="s">
        <v>3556</v>
      </c>
      <c r="D3607" s="1412">
        <v>46237.965648148151</v>
      </c>
      <c r="E3607" s="1203">
        <v>-50</v>
      </c>
      <c r="F3607" s="654">
        <v>4.4999999999999998E-2</v>
      </c>
      <c r="G3607" s="1204">
        <f t="shared" si="115"/>
        <v>-50</v>
      </c>
      <c r="H3607" s="1204" t="s">
        <v>3868</v>
      </c>
      <c r="I3607" s="1205" t="s">
        <v>4154</v>
      </c>
      <c r="J3607" s="1204">
        <v>1.5</v>
      </c>
      <c r="K3607" s="1204">
        <v>50</v>
      </c>
      <c r="L3607" s="1202">
        <f>INT(base[[#This Row],[Data de liquidação]])</f>
        <v>46237</v>
      </c>
      <c r="M3607" s="1204">
        <f>base[[#This Row],[L/P Bruto]]-base[[#This Row],[L/P Líquido]]</f>
        <v>0</v>
      </c>
      <c r="N3607" s="1204">
        <f>base[[#This Row],[L/P Líquido]]/base[[#This Row],[Stake/Responsabilidade]]</f>
        <v>-1</v>
      </c>
      <c r="O3607" s="1206">
        <f>IF(base[[#This Row],[L/P Líquido]]&gt;0,1,0)</f>
        <v>0</v>
      </c>
      <c r="P3607" s="1206"/>
      <c r="Q3607" s="1206" t="str">
        <f>LEFT(base[[#This Row],[Evento / Mercado]],FIND("vs",base[[#This Row],[Evento / Mercado]])-2)</f>
        <v>CA Huracan</v>
      </c>
      <c r="R3607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6" t="str">
        <f>LEFT(base[[#This Row],[Evento / Mercado]],FIND("/",base[[#This Row],[Evento / Mercado]])-2)</f>
        <v>CA Huracan vs Atlético Tucumán</v>
      </c>
      <c r="T3607" s="1420">
        <f>base[[#This Row],[Data de liquidação]]</f>
        <v>46237.965648148151</v>
      </c>
    </row>
    <row r="3608" spans="2:20" ht="15" customHeight="1">
      <c r="B3608" s="1207" t="s">
        <v>4284</v>
      </c>
      <c r="C3608" s="935" t="s">
        <v>3556</v>
      </c>
      <c r="D3608" s="1413">
        <v>46238.622314814813</v>
      </c>
      <c r="E3608" s="1209">
        <v>54.57</v>
      </c>
      <c r="F3608" s="654">
        <v>4.4999999999999998E-2</v>
      </c>
      <c r="G3608" s="1210">
        <f t="shared" ref="G3608:G3610" si="116">IF(E3608&gt;0,E3608/(1-F3608),E3608)</f>
        <v>57.141361256544506</v>
      </c>
      <c r="H3608" s="1204" t="s">
        <v>3868</v>
      </c>
      <c r="I3608" s="1211" t="s">
        <v>694</v>
      </c>
      <c r="J3608" s="1210">
        <v>11.5</v>
      </c>
      <c r="K3608" s="1210">
        <v>599.97</v>
      </c>
      <c r="L3608" s="1208">
        <f>INT(base[[#This Row],[Data de liquidação]])</f>
        <v>46238</v>
      </c>
      <c r="M3608" s="1210">
        <f>base[[#This Row],[L/P Bruto]]-base[[#This Row],[L/P Líquido]]</f>
        <v>2.5713612565445061</v>
      </c>
      <c r="N3608" s="1210">
        <f>base[[#This Row],[L/P Líquido]]/base[[#This Row],[Stake/Responsabilidade]]</f>
        <v>9.095454772738637E-2</v>
      </c>
      <c r="O3608" s="1212">
        <f>IF(base[[#This Row],[L/P Líquido]]&gt;0,1,0)</f>
        <v>1</v>
      </c>
      <c r="P3608" s="1212"/>
      <c r="Q3608" s="1212" t="str">
        <f>LEFT(base[[#This Row],[Evento / Mercado]],FIND("vs",base[[#This Row],[Evento / Mercado]])-2)</f>
        <v>FC Ararat-Armenia</v>
      </c>
      <c r="R3608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12" t="str">
        <f>LEFT(base[[#This Row],[Evento / Mercado]],FIND("/",base[[#This Row],[Evento / Mercado]])-2)</f>
        <v>FC Ararat-Armenia vs NK Celje</v>
      </c>
      <c r="T3608" s="1420">
        <f>base[[#This Row],[Data de liquidação]]</f>
        <v>46238.622314814813</v>
      </c>
    </row>
    <row r="3609" spans="2:20" ht="15" customHeight="1">
      <c r="B3609" s="1207" t="s">
        <v>4283</v>
      </c>
      <c r="C3609" s="935" t="s">
        <v>3556</v>
      </c>
      <c r="D3609" s="1413">
        <v>46238.685578703706</v>
      </c>
      <c r="E3609" s="1209">
        <v>-55.41</v>
      </c>
      <c r="F3609" s="654">
        <v>4.4999999999999998E-2</v>
      </c>
      <c r="G3609" s="1210">
        <f t="shared" si="116"/>
        <v>-55.41</v>
      </c>
      <c r="H3609" s="1204" t="s">
        <v>3868</v>
      </c>
      <c r="I3609" s="1211" t="s">
        <v>694</v>
      </c>
      <c r="J3609" s="1210">
        <v>19.5</v>
      </c>
      <c r="K3609" s="1210">
        <v>599.96</v>
      </c>
      <c r="L3609" s="1208">
        <f>INT(base[[#This Row],[Data de liquidação]])</f>
        <v>46238</v>
      </c>
      <c r="M3609" s="1210">
        <f>base[[#This Row],[L/P Bruto]]-base[[#This Row],[L/P Líquido]]</f>
        <v>0</v>
      </c>
      <c r="N3609" s="1210">
        <f>base[[#This Row],[L/P Líquido]]/base[[#This Row],[Stake/Responsabilidade]]</f>
        <v>-9.235615707713847E-2</v>
      </c>
      <c r="O3609" s="1212">
        <f>IF(base[[#This Row],[L/P Líquido]]&gt;0,1,0)</f>
        <v>0</v>
      </c>
      <c r="P3609" s="1212"/>
      <c r="Q3609" s="1212" t="str">
        <f>LEFT(base[[#This Row],[Evento / Mercado]],FIND("vs",base[[#This Row],[Evento / Mercado]])-2)</f>
        <v>Hapoel Be'er Sheva</v>
      </c>
      <c r="R3609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12" t="str">
        <f>LEFT(base[[#This Row],[Evento / Mercado]],FIND("/",base[[#This Row],[Evento / Mercado]])-2)</f>
        <v>Hapoel Be'er Sheva vs Crvena Zvezda</v>
      </c>
      <c r="T3609" s="1420">
        <f>base[[#This Row],[Data de liquidação]]</f>
        <v>46238.685578703706</v>
      </c>
    </row>
    <row r="3610" spans="2:20" ht="15" customHeight="1">
      <c r="B3610" s="1207" t="s">
        <v>4282</v>
      </c>
      <c r="C3610" s="935" t="s">
        <v>3556</v>
      </c>
      <c r="D3610" s="1413">
        <v>46238.956250000003</v>
      </c>
      <c r="E3610" s="1209">
        <v>13.67</v>
      </c>
      <c r="F3610" s="654">
        <v>4.4999999999999998E-2</v>
      </c>
      <c r="G3610" s="1210">
        <f t="shared" si="116"/>
        <v>14.31413612565445</v>
      </c>
      <c r="H3610" s="1210" t="s">
        <v>74</v>
      </c>
      <c r="I3610" s="1211" t="s">
        <v>627</v>
      </c>
      <c r="J3610" s="1210">
        <v>30</v>
      </c>
      <c r="K3610" s="1210">
        <v>414.99</v>
      </c>
      <c r="L3610" s="1208">
        <f>INT(base[[#This Row],[Data de liquidação]])</f>
        <v>46238</v>
      </c>
      <c r="M3610" s="1210">
        <f>base[[#This Row],[L/P Bruto]]-base[[#This Row],[L/P Líquido]]</f>
        <v>0.64413612565445</v>
      </c>
      <c r="N3610" s="1210">
        <f>base[[#This Row],[L/P Líquido]]/base[[#This Row],[Stake/Responsabilidade]]</f>
        <v>3.2940552784404442E-2</v>
      </c>
      <c r="O3610" s="1212">
        <f>IF(base[[#This Row],[L/P Líquido]]&gt;0,1,0)</f>
        <v>1</v>
      </c>
      <c r="P3610" s="1212"/>
      <c r="Q3610" s="1212" t="str">
        <f>LEFT(base[[#This Row],[Evento / Mercado]],FIND("vs",base[[#This Row],[Evento / Mercado]])-2)</f>
        <v>Guabira</v>
      </c>
      <c r="R3610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12" t="str">
        <f>LEFT(base[[#This Row],[Evento / Mercado]],FIND("/",base[[#This Row],[Evento / Mercado]])-2)</f>
        <v>Guabira vs Real Tomayapo</v>
      </c>
      <c r="T3610" s="1420">
        <f>base[[#This Row],[Data de liquidação]]</f>
        <v>46238.956250000003</v>
      </c>
    </row>
    <row r="3611" spans="2:20" ht="15" customHeight="1">
      <c r="B3611" s="1213" t="s">
        <v>4290</v>
      </c>
      <c r="C3611" s="935" t="s">
        <v>3556</v>
      </c>
      <c r="D3611" s="1414">
        <v>46239.687430555554</v>
      </c>
      <c r="E3611" s="1215">
        <v>17.329999999999998</v>
      </c>
      <c r="F3611" s="654">
        <v>4.4999999999999998E-2</v>
      </c>
      <c r="G3611" s="1216">
        <f t="shared" ref="G3611:G3616" si="117">IF(E3611&gt;0,E3611/(1-F3611),E3611)</f>
        <v>18.146596858638741</v>
      </c>
      <c r="H3611" s="1216" t="s">
        <v>3330</v>
      </c>
      <c r="I3611" s="1248" t="s">
        <v>4368</v>
      </c>
      <c r="J3611" s="1216">
        <v>5.3</v>
      </c>
      <c r="K3611" s="1216">
        <v>125</v>
      </c>
      <c r="L3611" s="1214">
        <f>INT(base[[#This Row],[Data de liquidação]])</f>
        <v>46239</v>
      </c>
      <c r="M3611" s="1216">
        <f>base[[#This Row],[L/P Bruto]]-base[[#This Row],[L/P Líquido]]</f>
        <v>0.81659685863874287</v>
      </c>
      <c r="N3611" s="1216">
        <f>base[[#This Row],[L/P Líquido]]/base[[#This Row],[Stake/Responsabilidade]]</f>
        <v>0.13863999999999999</v>
      </c>
      <c r="O3611" s="1218">
        <f>IF(base[[#This Row],[L/P Líquido]]&gt;0,1,0)</f>
        <v>1</v>
      </c>
      <c r="P3611" s="1218"/>
      <c r="Q3611" s="1218" t="str">
        <f>LEFT(base[[#This Row],[Evento / Mercado]],FIND("vs",base[[#This Row],[Evento / Mercado]])-2)</f>
        <v>AGF Aarhus</v>
      </c>
      <c r="R3611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218" t="str">
        <f>LEFT(base[[#This Row],[Evento / Mercado]],FIND("/",base[[#This Row],[Evento / Mercado]])-2)</f>
        <v>AGF Aarhus vs Sabah FC</v>
      </c>
      <c r="T3611" s="1420">
        <f>base[[#This Row],[Data de liquidação]]</f>
        <v>46239.687430555554</v>
      </c>
    </row>
    <row r="3612" spans="2:20" ht="15" customHeight="1">
      <c r="B3612" s="1213" t="s">
        <v>4289</v>
      </c>
      <c r="C3612" s="935" t="s">
        <v>3556</v>
      </c>
      <c r="D3612" s="1414">
        <v>46239.702870370369</v>
      </c>
      <c r="E3612" s="1215">
        <v>17.11</v>
      </c>
      <c r="F3612" s="654">
        <v>4.4999999999999998E-2</v>
      </c>
      <c r="G3612" s="1216">
        <f t="shared" si="117"/>
        <v>17.916230366492147</v>
      </c>
      <c r="H3612" s="1210" t="s">
        <v>74</v>
      </c>
      <c r="I3612" s="1211" t="s">
        <v>627</v>
      </c>
      <c r="J3612" s="1216">
        <v>25</v>
      </c>
      <c r="K3612" s="1216">
        <v>430.08</v>
      </c>
      <c r="L3612" s="1214">
        <f>INT(base[[#This Row],[Data de liquidação]])</f>
        <v>46239</v>
      </c>
      <c r="M3612" s="1216">
        <f>base[[#This Row],[L/P Bruto]]-base[[#This Row],[L/P Líquido]]</f>
        <v>0.80623036649214797</v>
      </c>
      <c r="N3612" s="1216">
        <f>base[[#This Row],[L/P Líquido]]/base[[#This Row],[Stake/Responsabilidade]]</f>
        <v>3.9783296130952384E-2</v>
      </c>
      <c r="O3612" s="1218">
        <f>IF(base[[#This Row],[L/P Líquido]]&gt;0,1,0)</f>
        <v>1</v>
      </c>
      <c r="P3612" s="1218"/>
      <c r="Q3612" s="1218" t="str">
        <f>LEFT(base[[#This Row],[Evento / Mercado]],FIND("vs",base[[#This Row],[Evento / Mercado]])-2)</f>
        <v>Keflavik IF</v>
      </c>
      <c r="R3612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218" t="str">
        <f>LEFT(base[[#This Row],[Evento / Mercado]],FIND("/",base[[#This Row],[Evento / Mercado]])-2)</f>
        <v>Keflavik IF vs KA Akureyrar</v>
      </c>
      <c r="T3612" s="1420">
        <f>base[[#This Row],[Data de liquidação]]</f>
        <v>46239.702870370369</v>
      </c>
    </row>
    <row r="3613" spans="2:20" ht="15" customHeight="1">
      <c r="B3613" s="1213" t="s">
        <v>4288</v>
      </c>
      <c r="C3613" s="935" t="s">
        <v>3556</v>
      </c>
      <c r="D3613" s="1414">
        <v>46239.713194444441</v>
      </c>
      <c r="E3613" s="1215">
        <v>20.05</v>
      </c>
      <c r="F3613" s="654">
        <v>4.4999999999999998E-2</v>
      </c>
      <c r="G3613" s="1216">
        <f t="shared" si="117"/>
        <v>20.994764397905762</v>
      </c>
      <c r="H3613" s="1216" t="s">
        <v>3330</v>
      </c>
      <c r="I3613" s="1248" t="s">
        <v>4368</v>
      </c>
      <c r="J3613" s="1216">
        <v>6.2</v>
      </c>
      <c r="K3613" s="1216">
        <v>125.01</v>
      </c>
      <c r="L3613" s="1214">
        <f>INT(base[[#This Row],[Data de liquidação]])</f>
        <v>46239</v>
      </c>
      <c r="M3613" s="1216">
        <f>base[[#This Row],[L/P Bruto]]-base[[#This Row],[L/P Líquido]]</f>
        <v>0.94476439790576094</v>
      </c>
      <c r="N3613" s="1216">
        <f>base[[#This Row],[L/P Líquido]]/base[[#This Row],[Stake/Responsabilidade]]</f>
        <v>0.16038716902647787</v>
      </c>
      <c r="O3613" s="1218">
        <f>IF(base[[#This Row],[L/P Líquido]]&gt;0,1,0)</f>
        <v>1</v>
      </c>
      <c r="P3613" s="1218"/>
      <c r="Q3613" s="1218" t="str">
        <f>LEFT(base[[#This Row],[Evento / Mercado]],FIND("vs",base[[#This Row],[Evento / Mercado]])-2)</f>
        <v>Ferencvárosi TC</v>
      </c>
      <c r="R3613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218" t="str">
        <f>LEFT(base[[#This Row],[Evento / Mercado]],FIND("/",base[[#This Row],[Evento / Mercado]])-2)</f>
        <v>Ferencvárosi TC vs Górnik Zabrze</v>
      </c>
      <c r="T3613" s="1420">
        <f>base[[#This Row],[Data de liquidação]]</f>
        <v>46239.713194444441</v>
      </c>
    </row>
    <row r="3614" spans="2:20" ht="15" customHeight="1">
      <c r="B3614" s="1213" t="s">
        <v>2971</v>
      </c>
      <c r="C3614" s="935" t="s">
        <v>3556</v>
      </c>
      <c r="D3614" s="1414">
        <v>46239.874062499999</v>
      </c>
      <c r="E3614" s="1215">
        <v>33.06</v>
      </c>
      <c r="F3614" s="654">
        <v>4.4999999999999998E-2</v>
      </c>
      <c r="G3614" s="1216">
        <f t="shared" si="117"/>
        <v>34.617801047120423</v>
      </c>
      <c r="H3614" s="1216" t="s">
        <v>179</v>
      </c>
      <c r="I3614" s="1217" t="s">
        <v>392</v>
      </c>
      <c r="J3614" s="1216">
        <v>14</v>
      </c>
      <c r="K3614" s="1216">
        <v>450.06</v>
      </c>
      <c r="L3614" s="1214">
        <f>INT(base[[#This Row],[Data de liquidação]])</f>
        <v>46239</v>
      </c>
      <c r="M3614" s="1216">
        <f>base[[#This Row],[L/P Bruto]]-base[[#This Row],[L/P Líquido]]</f>
        <v>1.5578010471204209</v>
      </c>
      <c r="N3614" s="1216">
        <f>base[[#This Row],[L/P Líquido]]/base[[#This Row],[Stake/Responsabilidade]]</f>
        <v>7.3456872417011071E-2</v>
      </c>
      <c r="O3614" s="1218">
        <f>IF(base[[#This Row],[L/P Líquido]]&gt;0,1,0)</f>
        <v>1</v>
      </c>
      <c r="P3614" s="1218"/>
      <c r="Q3614" s="1218" t="str">
        <f>LEFT(base[[#This Row],[Evento / Mercado]],FIND("vs",base[[#This Row],[Evento / Mercado]])-2)</f>
        <v>Cruzeiro</v>
      </c>
      <c r="R3614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218" t="str">
        <f>LEFT(base[[#This Row],[Evento / Mercado]],FIND("/",base[[#This Row],[Evento / Mercado]])-2)</f>
        <v>Cruzeiro vs Chapecoense</v>
      </c>
      <c r="T3614" s="1420">
        <f>base[[#This Row],[Data de liquidação]]</f>
        <v>46239.874062499999</v>
      </c>
    </row>
    <row r="3615" spans="2:20" ht="15" customHeight="1">
      <c r="B3615" s="1213" t="s">
        <v>4287</v>
      </c>
      <c r="C3615" s="935" t="s">
        <v>3556</v>
      </c>
      <c r="D3615" s="1414">
        <v>46239.895127314812</v>
      </c>
      <c r="E3615" s="1215">
        <v>6.69</v>
      </c>
      <c r="F3615" s="654">
        <v>4.4999999999999998E-2</v>
      </c>
      <c r="G3615" s="1216">
        <f t="shared" si="117"/>
        <v>7.0052356020942419</v>
      </c>
      <c r="H3615" s="1232" t="s">
        <v>4313</v>
      </c>
      <c r="I3615" s="1217" t="s">
        <v>75</v>
      </c>
      <c r="J3615" s="1216">
        <v>1.35</v>
      </c>
      <c r="K3615" s="1216">
        <v>20</v>
      </c>
      <c r="L3615" s="1214">
        <f>INT(base[[#This Row],[Data de liquidação]])</f>
        <v>46239</v>
      </c>
      <c r="M3615" s="1216">
        <f>base[[#This Row],[L/P Bruto]]-base[[#This Row],[L/P Líquido]]</f>
        <v>0.31523560209424151</v>
      </c>
      <c r="N3615" s="1216">
        <f>base[[#This Row],[L/P Líquido]]/base[[#This Row],[Stake/Responsabilidade]]</f>
        <v>0.33450000000000002</v>
      </c>
      <c r="O3615" s="1218">
        <f>IF(base[[#This Row],[L/P Líquido]]&gt;0,1,0)</f>
        <v>1</v>
      </c>
      <c r="P3615" s="1218"/>
      <c r="Q3615" s="1218" t="str">
        <f>LEFT(base[[#This Row],[Evento / Mercado]],FIND("vs",base[[#This Row],[Evento / Mercado]])-2)</f>
        <v>Internacional de Bogotá</v>
      </c>
      <c r="R3615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218" t="str">
        <f>LEFT(base[[#This Row],[Evento / Mercado]],FIND("/",base[[#This Row],[Evento / Mercado]])-2)</f>
        <v>Internacional de Bogotá vs Jaguares de Córdoba</v>
      </c>
      <c r="T3615" s="1420">
        <f>base[[#This Row],[Data de liquidação]]</f>
        <v>46239.895127314812</v>
      </c>
    </row>
    <row r="3616" spans="2:20" ht="15" customHeight="1">
      <c r="B3616" s="1213" t="s">
        <v>4286</v>
      </c>
      <c r="C3616" s="935" t="s">
        <v>3556</v>
      </c>
      <c r="D3616" s="1414">
        <v>46239.962997685187</v>
      </c>
      <c r="E3616" s="1215">
        <v>2.75</v>
      </c>
      <c r="F3616" s="654">
        <v>4.4999999999999998E-2</v>
      </c>
      <c r="G3616" s="1216">
        <f t="shared" si="117"/>
        <v>2.8795811518324608</v>
      </c>
      <c r="H3616" s="1216" t="s">
        <v>1666</v>
      </c>
      <c r="I3616" s="1217" t="s">
        <v>3333</v>
      </c>
      <c r="J3616" s="1216">
        <v>2.44</v>
      </c>
      <c r="K3616" s="1216">
        <v>2</v>
      </c>
      <c r="L3616" s="1214">
        <f>INT(base[[#This Row],[Data de liquidação]])</f>
        <v>46239</v>
      </c>
      <c r="M3616" s="1216">
        <f>base[[#This Row],[L/P Bruto]]-base[[#This Row],[L/P Líquido]]</f>
        <v>0.12958115183246077</v>
      </c>
      <c r="N3616" s="1216">
        <f>base[[#This Row],[L/P Líquido]]/base[[#This Row],[Stake/Responsabilidade]]</f>
        <v>1.375</v>
      </c>
      <c r="O3616" s="1218">
        <f>IF(base[[#This Row],[L/P Líquido]]&gt;0,1,0)</f>
        <v>1</v>
      </c>
      <c r="P3616" s="1218"/>
      <c r="Q3616" s="1218" t="str">
        <f>LEFT(base[[#This Row],[Evento / Mercado]],FIND("vs",base[[#This Row],[Evento / Mercado]])-2)</f>
        <v>Fluminense FC</v>
      </c>
      <c r="R3616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218" t="str">
        <f>LEFT(base[[#This Row],[Evento / Mercado]],FIND("/",base[[#This Row],[Evento / Mercado]])-2)</f>
        <v>Fluminense FC vs Vasco da Gama</v>
      </c>
      <c r="T3616" s="1420">
        <f>base[[#This Row],[Data de liquidação]]</f>
        <v>46239.962997685187</v>
      </c>
    </row>
    <row r="3617" spans="2:20" ht="15" customHeight="1">
      <c r="B3617" s="1219" t="s">
        <v>4294</v>
      </c>
      <c r="C3617" s="935" t="s">
        <v>3556</v>
      </c>
      <c r="D3617" s="1415">
        <v>46240.76635416667</v>
      </c>
      <c r="E3617" s="1221">
        <v>6.69</v>
      </c>
      <c r="F3617" s="654">
        <v>4.4999999999999998E-2</v>
      </c>
      <c r="G3617" s="1222">
        <f t="shared" ref="G3617:G3619" si="118">IF(E3617&gt;0,E3617/(1-F3617),E3617)</f>
        <v>7.0052356020942419</v>
      </c>
      <c r="H3617" s="1232" t="s">
        <v>4313</v>
      </c>
      <c r="I3617" s="1217" t="s">
        <v>75</v>
      </c>
      <c r="J3617" s="1222">
        <v>1.35</v>
      </c>
      <c r="K3617" s="1222">
        <v>20</v>
      </c>
      <c r="L3617" s="1220">
        <f>INT(base[[#This Row],[Data de liquidação]])</f>
        <v>46240</v>
      </c>
      <c r="M3617" s="1222">
        <f>base[[#This Row],[L/P Bruto]]-base[[#This Row],[L/P Líquido]]</f>
        <v>0.31523560209424151</v>
      </c>
      <c r="N3617" s="1222">
        <f>base[[#This Row],[L/P Líquido]]/base[[#This Row],[Stake/Responsabilidade]]</f>
        <v>0.33450000000000002</v>
      </c>
      <c r="O3617" s="1224">
        <f>IF(base[[#This Row],[L/P Líquido]]&gt;0,1,0)</f>
        <v>1</v>
      </c>
      <c r="P3617" s="1224"/>
      <c r="Q3617" s="1224" t="str">
        <f>LEFT(base[[#This Row],[Evento / Mercado]],FIND("vs",base[[#This Row],[Evento / Mercado]])-2)</f>
        <v>Alianza Atletico</v>
      </c>
      <c r="R3617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224" t="str">
        <f>LEFT(base[[#This Row],[Evento / Mercado]],FIND("/",base[[#This Row],[Evento / Mercado]])-2)</f>
        <v>Alianza Atletico vs Cienciano del Cuzco</v>
      </c>
      <c r="T3617" s="1420">
        <f>base[[#This Row],[Data de liquidação]]</f>
        <v>46240.76635416667</v>
      </c>
    </row>
    <row r="3618" spans="2:20" ht="15" customHeight="1">
      <c r="B3618" s="1219" t="s">
        <v>4293</v>
      </c>
      <c r="C3618" s="935" t="s">
        <v>3556</v>
      </c>
      <c r="D3618" s="1415">
        <v>46240.791006944448</v>
      </c>
      <c r="E3618" s="1221">
        <v>6.55</v>
      </c>
      <c r="F3618" s="654">
        <v>4.4999999999999998E-2</v>
      </c>
      <c r="G3618" s="1222">
        <f t="shared" si="118"/>
        <v>6.8586387434554972</v>
      </c>
      <c r="H3618" s="1222" t="s">
        <v>1666</v>
      </c>
      <c r="I3618" s="1223" t="s">
        <v>1759</v>
      </c>
      <c r="J3618" s="1222">
        <v>18.5</v>
      </c>
      <c r="K3618" s="1222">
        <v>120.05</v>
      </c>
      <c r="L3618" s="1220">
        <f>INT(base[[#This Row],[Data de liquidação]])</f>
        <v>46240</v>
      </c>
      <c r="M3618" s="1222">
        <f>base[[#This Row],[L/P Bruto]]-base[[#This Row],[L/P Líquido]]</f>
        <v>0.30863874345549736</v>
      </c>
      <c r="N3618" s="1222">
        <f>base[[#This Row],[L/P Líquido]]/base[[#This Row],[Stake/Responsabilidade]]</f>
        <v>5.4560599750104126E-2</v>
      </c>
      <c r="O3618" s="1224">
        <f>IF(base[[#This Row],[L/P Líquido]]&gt;0,1,0)</f>
        <v>1</v>
      </c>
      <c r="P3618" s="1224"/>
      <c r="Q3618" s="1224" t="str">
        <f>LEFT(base[[#This Row],[Evento / Mercado]],FIND("vs",base[[#This Row],[Evento / Mercado]])-2)</f>
        <v>Alianza Atletico</v>
      </c>
      <c r="R3618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224" t="str">
        <f>LEFT(base[[#This Row],[Evento / Mercado]],FIND("/",base[[#This Row],[Evento / Mercado]])-2)</f>
        <v>Alianza Atletico vs Cienciano del Cuzco</v>
      </c>
      <c r="T3618" s="1420">
        <f>base[[#This Row],[Data de liquidação]]</f>
        <v>46240.791006944448</v>
      </c>
    </row>
    <row r="3619" spans="2:20" ht="15" customHeight="1">
      <c r="B3619" s="1219" t="s">
        <v>4292</v>
      </c>
      <c r="C3619" s="935" t="s">
        <v>3556</v>
      </c>
      <c r="D3619" s="1415">
        <v>46240.842685185184</v>
      </c>
      <c r="E3619" s="1221">
        <v>9.5500000000000007</v>
      </c>
      <c r="F3619" s="654">
        <v>4.4999999999999998E-2</v>
      </c>
      <c r="G3619" s="1222">
        <f t="shared" si="118"/>
        <v>10.000000000000002</v>
      </c>
      <c r="H3619" s="1232" t="s">
        <v>4313</v>
      </c>
      <c r="I3619" s="1217" t="s">
        <v>75</v>
      </c>
      <c r="J3619" s="1222">
        <v>1.5</v>
      </c>
      <c r="K3619" s="1222">
        <v>20</v>
      </c>
      <c r="L3619" s="1220">
        <f>INT(base[[#This Row],[Data de liquidação]])</f>
        <v>46240</v>
      </c>
      <c r="M3619" s="1222">
        <f>base[[#This Row],[L/P Bruto]]-base[[#This Row],[L/P Líquido]]</f>
        <v>0.45000000000000107</v>
      </c>
      <c r="N3619" s="1222">
        <f>base[[#This Row],[L/P Líquido]]/base[[#This Row],[Stake/Responsabilidade]]</f>
        <v>0.47750000000000004</v>
      </c>
      <c r="O3619" s="1224">
        <f>IF(base[[#This Row],[L/P Líquido]]&gt;0,1,0)</f>
        <v>1</v>
      </c>
      <c r="P3619" s="1224"/>
      <c r="Q3619" s="1224" t="str">
        <f>LEFT(base[[#This Row],[Evento / Mercado]],FIND("vs",base[[#This Row],[Evento / Mercado]])-2)</f>
        <v>Unión de Santa Fe</v>
      </c>
      <c r="R3619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224" t="str">
        <f>LEFT(base[[#This Row],[Evento / Mercado]],FIND("/",base[[#This Row],[Evento / Mercado]])-2)</f>
        <v>Unión de Santa Fe vs Lanus</v>
      </c>
      <c r="T3619" s="1420">
        <f>base[[#This Row],[Data de liquidação]]</f>
        <v>46240.842685185184</v>
      </c>
    </row>
    <row r="3620" spans="2:20" ht="15" customHeight="1">
      <c r="B3620" s="1226" t="s">
        <v>4311</v>
      </c>
      <c r="C3620" s="935" t="s">
        <v>3556</v>
      </c>
      <c r="D3620" s="1416">
        <v>46241.641215277778</v>
      </c>
      <c r="E3620" s="1228">
        <v>9.9499999999999993</v>
      </c>
      <c r="F3620" s="654">
        <v>4.4999999999999998E-2</v>
      </c>
      <c r="G3620" s="1229">
        <f t="shared" ref="G3620:G3636" si="119">IF(E3620&gt;0,E3620/(1-F3620),E3620)</f>
        <v>10.418848167539267</v>
      </c>
      <c r="H3620" s="1222" t="s">
        <v>1666</v>
      </c>
      <c r="I3620" s="1230" t="s">
        <v>2301</v>
      </c>
      <c r="J3620" s="1229">
        <v>1.52</v>
      </c>
      <c r="K3620" s="1229">
        <v>20</v>
      </c>
      <c r="L3620" s="1227">
        <f>INT(base[[#This Row],[Data de liquidação]])</f>
        <v>46241</v>
      </c>
      <c r="M3620" s="1229">
        <f>base[[#This Row],[L/P Bruto]]-base[[#This Row],[L/P Líquido]]</f>
        <v>0.46884816753926728</v>
      </c>
      <c r="N3620" s="1229">
        <f>base[[#This Row],[L/P Líquido]]/base[[#This Row],[Stake/Responsabilidade]]</f>
        <v>0.49749999999999994</v>
      </c>
      <c r="O3620" s="1231">
        <f>IF(base[[#This Row],[L/P Líquido]]&gt;0,1,0)</f>
        <v>1</v>
      </c>
      <c r="P3620" s="1231"/>
      <c r="Q3620" s="1231" t="str">
        <f>LEFT(base[[#This Row],[Evento / Mercado]],FIND("vs",base[[#This Row],[Evento / Mercado]])-2)</f>
        <v>FC Zbrojovka Brno</v>
      </c>
      <c r="R3620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231" t="str">
        <f>LEFT(base[[#This Row],[Evento / Mercado]],FIND("/",base[[#This Row],[Evento / Mercado]])-2)</f>
        <v>FC Zbrojovka Brno vs FC Slovan Liberec</v>
      </c>
      <c r="T3620" s="1420">
        <f>base[[#This Row],[Data de liquidação]]</f>
        <v>46241.641215277778</v>
      </c>
    </row>
    <row r="3621" spans="2:20" ht="15" customHeight="1">
      <c r="B3621" s="1226" t="s">
        <v>4310</v>
      </c>
      <c r="C3621" s="935" t="s">
        <v>3556</v>
      </c>
      <c r="D3621" s="1416">
        <v>46241.662094907406</v>
      </c>
      <c r="E3621" s="1228">
        <v>50.93</v>
      </c>
      <c r="F3621" s="654">
        <v>4.4999999999999998E-2</v>
      </c>
      <c r="G3621" s="1229">
        <f t="shared" si="119"/>
        <v>53.329842931937172</v>
      </c>
      <c r="H3621" s="1216" t="s">
        <v>179</v>
      </c>
      <c r="I3621" s="1217" t="s">
        <v>392</v>
      </c>
      <c r="J3621" s="1229">
        <v>10</v>
      </c>
      <c r="K3621" s="1229">
        <v>479.97</v>
      </c>
      <c r="L3621" s="1227">
        <f>INT(base[[#This Row],[Data de liquidação]])</f>
        <v>46241</v>
      </c>
      <c r="M3621" s="1229">
        <f>base[[#This Row],[L/P Bruto]]-base[[#This Row],[L/P Líquido]]</f>
        <v>2.3998429319371724</v>
      </c>
      <c r="N3621" s="1229">
        <f>base[[#This Row],[L/P Líquido]]/base[[#This Row],[Stake/Responsabilidade]]</f>
        <v>0.10611079859157864</v>
      </c>
      <c r="O3621" s="1231">
        <f>IF(base[[#This Row],[L/P Líquido]]&gt;0,1,0)</f>
        <v>1</v>
      </c>
      <c r="P3621" s="1231"/>
      <c r="Q3621" s="1231" t="str">
        <f>LEFT(base[[#This Row],[Evento / Mercado]],FIND("vs",base[[#This Row],[Evento / Mercado]])-2)</f>
        <v>Östersunds FK</v>
      </c>
      <c r="R3621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231" t="str">
        <f>LEFT(base[[#This Row],[Evento / Mercado]],FIND("/",base[[#This Row],[Evento / Mercado]])-2)</f>
        <v>Östersunds FK vs GIF Sundsvall</v>
      </c>
      <c r="T3621" s="1420">
        <f>base[[#This Row],[Data de liquidação]]</f>
        <v>46241.662094907406</v>
      </c>
    </row>
    <row r="3622" spans="2:20" ht="15" customHeight="1">
      <c r="B3622" s="1226" t="s">
        <v>4309</v>
      </c>
      <c r="C3622" s="935" t="s">
        <v>3556</v>
      </c>
      <c r="D3622" s="1416">
        <v>46241.662349537037</v>
      </c>
      <c r="E3622" s="1228">
        <v>-73.45</v>
      </c>
      <c r="F3622" s="654">
        <v>4.4999999999999998E-2</v>
      </c>
      <c r="G3622" s="1229">
        <f t="shared" si="119"/>
        <v>-73.45</v>
      </c>
      <c r="H3622" s="1229" t="s">
        <v>3868</v>
      </c>
      <c r="I3622" s="1230" t="s">
        <v>627</v>
      </c>
      <c r="J3622" s="1229">
        <v>15</v>
      </c>
      <c r="K3622" s="1229">
        <v>600.04</v>
      </c>
      <c r="L3622" s="1227">
        <f>INT(base[[#This Row],[Data de liquidação]])</f>
        <v>46241</v>
      </c>
      <c r="M3622" s="1229">
        <f>base[[#This Row],[L/P Bruto]]-base[[#This Row],[L/P Líquido]]</f>
        <v>0</v>
      </c>
      <c r="N3622" s="1229">
        <f>base[[#This Row],[L/P Líquido]]/base[[#This Row],[Stake/Responsabilidade]]</f>
        <v>-0.12240850609959338</v>
      </c>
      <c r="O3622" s="1231">
        <f>IF(base[[#This Row],[L/P Líquido]]&gt;0,1,0)</f>
        <v>0</v>
      </c>
      <c r="P3622" s="1231"/>
      <c r="Q3622" s="1231" t="str">
        <f>LEFT(base[[#This Row],[Evento / Mercado]],FIND("vs",base[[#This Row],[Evento / Mercado]])-2)</f>
        <v>Sandefjord Fotball</v>
      </c>
      <c r="R3622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231" t="str">
        <f>LEFT(base[[#This Row],[Evento / Mercado]],FIND("/",base[[#This Row],[Evento / Mercado]])-2)</f>
        <v>Sandefjord Fotball vs KFUM Oslo</v>
      </c>
      <c r="T3622" s="1420">
        <f>base[[#This Row],[Data de liquidação]]</f>
        <v>46241.662349537037</v>
      </c>
    </row>
    <row r="3623" spans="2:20" ht="15" customHeight="1">
      <c r="B3623" s="1226" t="s">
        <v>4308</v>
      </c>
      <c r="C3623" s="935" t="s">
        <v>3556</v>
      </c>
      <c r="D3623" s="1416">
        <v>46241.681550925925</v>
      </c>
      <c r="E3623" s="1228">
        <v>33.700000000000003</v>
      </c>
      <c r="F3623" s="654">
        <v>4.4999999999999998E-2</v>
      </c>
      <c r="G3623" s="1229">
        <f t="shared" si="119"/>
        <v>35.287958115183251</v>
      </c>
      <c r="H3623" s="1229" t="s">
        <v>3868</v>
      </c>
      <c r="I3623" s="1230" t="s">
        <v>627</v>
      </c>
      <c r="J3623" s="1229">
        <v>18</v>
      </c>
      <c r="K3623" s="1229">
        <v>599.92999999999995</v>
      </c>
      <c r="L3623" s="1227">
        <f>INT(base[[#This Row],[Data de liquidação]])</f>
        <v>46241</v>
      </c>
      <c r="M3623" s="1229">
        <f>base[[#This Row],[L/P Bruto]]-base[[#This Row],[L/P Líquido]]</f>
        <v>1.5879581151832483</v>
      </c>
      <c r="N3623" s="1229">
        <f>base[[#This Row],[L/P Líquido]]/base[[#This Row],[Stake/Responsabilidade]]</f>
        <v>5.6173220209024398E-2</v>
      </c>
      <c r="O3623" s="1231">
        <f>IF(base[[#This Row],[L/P Líquido]]&gt;0,1,0)</f>
        <v>1</v>
      </c>
      <c r="P3623" s="1231"/>
      <c r="Q3623" s="1231" t="str">
        <f>LEFT(base[[#This Row],[Evento / Mercado]],FIND("vs",base[[#This Row],[Evento / Mercado]])-2)</f>
        <v>SCR Altach</v>
      </c>
      <c r="R3623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231" t="str">
        <f>LEFT(base[[#This Row],[Evento / Mercado]],FIND("/",base[[#This Row],[Evento / Mercado]])-2)</f>
        <v>SCR Altach vs WSG Tirol</v>
      </c>
      <c r="T3623" s="1420">
        <f>base[[#This Row],[Data de liquidação]]</f>
        <v>46241.681550925925</v>
      </c>
    </row>
    <row r="3624" spans="2:20" ht="15" customHeight="1">
      <c r="B3624" s="1226" t="s">
        <v>4307</v>
      </c>
      <c r="C3624" s="935" t="s">
        <v>3556</v>
      </c>
      <c r="D3624" s="1416">
        <v>46241.706157407411</v>
      </c>
      <c r="E3624" s="1228">
        <v>-20</v>
      </c>
      <c r="F3624" s="654">
        <v>4.4999999999999998E-2</v>
      </c>
      <c r="G3624" s="1229">
        <f t="shared" si="119"/>
        <v>-20</v>
      </c>
      <c r="H3624" s="1222" t="s">
        <v>1666</v>
      </c>
      <c r="I3624" s="1230" t="s">
        <v>2301</v>
      </c>
      <c r="J3624" s="1229">
        <v>1.54</v>
      </c>
      <c r="K3624" s="1229">
        <v>20</v>
      </c>
      <c r="L3624" s="1227">
        <f>INT(base[[#This Row],[Data de liquidação]])</f>
        <v>46241</v>
      </c>
      <c r="M3624" s="1229">
        <f>base[[#This Row],[L/P Bruto]]-base[[#This Row],[L/P Líquido]]</f>
        <v>0</v>
      </c>
      <c r="N3624" s="1229">
        <f>base[[#This Row],[L/P Líquido]]/base[[#This Row],[Stake/Responsabilidade]]</f>
        <v>-1</v>
      </c>
      <c r="O3624" s="1231">
        <f>IF(base[[#This Row],[L/P Líquido]]&gt;0,1,0)</f>
        <v>0</v>
      </c>
      <c r="P3624" s="1231"/>
      <c r="Q3624" s="1231" t="str">
        <f>LEFT(base[[#This Row],[Evento / Mercado]],FIND("vs",base[[#This Row],[Evento / Mercado]])-2)</f>
        <v>AFC UTA Arad</v>
      </c>
      <c r="R3624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231" t="str">
        <f>LEFT(base[[#This Row],[Evento / Mercado]],FIND("/",base[[#This Row],[Evento / Mercado]])-2)</f>
        <v>AFC UTA Arad vs Rapid Bucuresti</v>
      </c>
      <c r="T3624" s="1420">
        <f>base[[#This Row],[Data de liquidação]]</f>
        <v>46241.706157407411</v>
      </c>
    </row>
    <row r="3625" spans="2:20" ht="15" customHeight="1">
      <c r="B3625" s="1226" t="s">
        <v>4306</v>
      </c>
      <c r="C3625" s="935" t="s">
        <v>3556</v>
      </c>
      <c r="D3625" s="1416">
        <v>46241.727002314816</v>
      </c>
      <c r="E3625" s="1228">
        <v>-120</v>
      </c>
      <c r="F3625" s="654">
        <v>4.4999999999999998E-2</v>
      </c>
      <c r="G3625" s="1229">
        <f t="shared" si="119"/>
        <v>-120</v>
      </c>
      <c r="H3625" s="1229" t="s">
        <v>314</v>
      </c>
      <c r="I3625" s="1230" t="s">
        <v>349</v>
      </c>
      <c r="J3625" s="1229">
        <v>1.63</v>
      </c>
      <c r="K3625" s="1229">
        <v>120</v>
      </c>
      <c r="L3625" s="1227">
        <f>INT(base[[#This Row],[Data de liquidação]])</f>
        <v>46241</v>
      </c>
      <c r="M3625" s="1229">
        <f>base[[#This Row],[L/P Bruto]]-base[[#This Row],[L/P Líquido]]</f>
        <v>0</v>
      </c>
      <c r="N3625" s="1229">
        <f>base[[#This Row],[L/P Líquido]]/base[[#This Row],[Stake/Responsabilidade]]</f>
        <v>-1</v>
      </c>
      <c r="O3625" s="1231">
        <f>IF(base[[#This Row],[L/P Líquido]]&gt;0,1,0)</f>
        <v>0</v>
      </c>
      <c r="P3625" s="1231"/>
      <c r="Q3625" s="1231" t="str">
        <f>LEFT(base[[#This Row],[Evento / Mercado]],FIND("vs",base[[#This Row],[Evento / Mercado]])-2)</f>
        <v>VfL Bochum</v>
      </c>
      <c r="R3625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231" t="str">
        <f>LEFT(base[[#This Row],[Evento / Mercado]],FIND("/",base[[#This Row],[Evento / Mercado]])-2)</f>
        <v>VfL Bochum vs Hertha BSC</v>
      </c>
      <c r="T3625" s="1420">
        <f>base[[#This Row],[Data de liquidação]]</f>
        <v>46241.727002314816</v>
      </c>
    </row>
    <row r="3626" spans="2:20" ht="15" customHeight="1">
      <c r="B3626" s="1226" t="s">
        <v>4305</v>
      </c>
      <c r="C3626" s="935" t="s">
        <v>3556</v>
      </c>
      <c r="D3626" s="1416">
        <v>46241.733715277776</v>
      </c>
      <c r="E3626" s="1228">
        <v>32.83</v>
      </c>
      <c r="F3626" s="654">
        <v>4.4999999999999998E-2</v>
      </c>
      <c r="G3626" s="1229">
        <f t="shared" si="119"/>
        <v>34.376963350785338</v>
      </c>
      <c r="H3626" s="1229" t="s">
        <v>74</v>
      </c>
      <c r="I3626" s="1230" t="s">
        <v>627</v>
      </c>
      <c r="J3626" s="1229">
        <v>14</v>
      </c>
      <c r="K3626" s="1229">
        <v>446.94</v>
      </c>
      <c r="L3626" s="1227">
        <f>INT(base[[#This Row],[Data de liquidação]])</f>
        <v>46241</v>
      </c>
      <c r="M3626" s="1229">
        <f>base[[#This Row],[L/P Bruto]]-base[[#This Row],[L/P Líquido]]</f>
        <v>1.5469633507853402</v>
      </c>
      <c r="N3626" s="1229">
        <f>base[[#This Row],[L/P Líquido]]/base[[#This Row],[Stake/Responsabilidade]]</f>
        <v>7.3455049894840474E-2</v>
      </c>
      <c r="O3626" s="1231">
        <f>IF(base[[#This Row],[L/P Líquido]]&gt;0,1,0)</f>
        <v>1</v>
      </c>
      <c r="P3626" s="1231"/>
      <c r="Q3626" s="1231" t="str">
        <f>LEFT(base[[#This Row],[Evento / Mercado]],FIND("vs",base[[#This Row],[Evento / Mercado]])-2)</f>
        <v>Galway United</v>
      </c>
      <c r="R3626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231" t="str">
        <f>LEFT(base[[#This Row],[Evento / Mercado]],FIND("/",base[[#This Row],[Evento / Mercado]])-2)</f>
        <v>Galway United vs Drogheda United</v>
      </c>
      <c r="T3626" s="1420">
        <f>base[[#This Row],[Data de liquidação]]</f>
        <v>46241.733715277776</v>
      </c>
    </row>
    <row r="3627" spans="2:20" ht="15" customHeight="1">
      <c r="B3627" s="1226" t="s">
        <v>4304</v>
      </c>
      <c r="C3627" s="935" t="s">
        <v>3556</v>
      </c>
      <c r="D3627" s="1416">
        <v>46241.784282407411</v>
      </c>
      <c r="E3627" s="1228">
        <v>5.73</v>
      </c>
      <c r="F3627" s="654">
        <v>4.4999999999999998E-2</v>
      </c>
      <c r="G3627" s="1229">
        <f t="shared" si="119"/>
        <v>6.0000000000000009</v>
      </c>
      <c r="H3627" s="1232" t="s">
        <v>4313</v>
      </c>
      <c r="I3627" s="1230" t="s">
        <v>13</v>
      </c>
      <c r="J3627" s="1229">
        <v>1.3</v>
      </c>
      <c r="K3627" s="1229">
        <v>20</v>
      </c>
      <c r="L3627" s="1227">
        <f>INT(base[[#This Row],[Data de liquidação]])</f>
        <v>46241</v>
      </c>
      <c r="M3627" s="1229">
        <f>base[[#This Row],[L/P Bruto]]-base[[#This Row],[L/P Líquido]]</f>
        <v>0.27000000000000046</v>
      </c>
      <c r="N3627" s="1229">
        <f>base[[#This Row],[L/P Líquido]]/base[[#This Row],[Stake/Responsabilidade]]</f>
        <v>0.28650000000000003</v>
      </c>
      <c r="O3627" s="1231">
        <f>IF(base[[#This Row],[L/P Líquido]]&gt;0,1,0)</f>
        <v>1</v>
      </c>
      <c r="P3627" s="1231"/>
      <c r="Q3627" s="1231" t="str">
        <f>LEFT(base[[#This Row],[Evento / Mercado]],FIND("vs",base[[#This Row],[Evento / Mercado]])-2)</f>
        <v>Comerciantes Unidos</v>
      </c>
      <c r="R3627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231" t="str">
        <f>LEFT(base[[#This Row],[Evento / Mercado]],FIND("/",base[[#This Row],[Evento / Mercado]])-2)</f>
        <v>Comerciantes Unidos vs Cusco FC</v>
      </c>
      <c r="T3627" s="1420">
        <f>base[[#This Row],[Data de liquidação]]</f>
        <v>46241.784282407411</v>
      </c>
    </row>
    <row r="3628" spans="2:20" ht="15" customHeight="1">
      <c r="B3628" s="1226" t="s">
        <v>4303</v>
      </c>
      <c r="C3628" s="935" t="s">
        <v>3556</v>
      </c>
      <c r="D3628" s="1416">
        <v>46241.793634259258</v>
      </c>
      <c r="E3628" s="1228">
        <v>1.57</v>
      </c>
      <c r="F3628" s="654">
        <v>4.4999999999999998E-2</v>
      </c>
      <c r="G3628" s="1229">
        <f t="shared" si="119"/>
        <v>1.6439790575916231</v>
      </c>
      <c r="H3628" s="1229" t="s">
        <v>1666</v>
      </c>
      <c r="I3628" s="1230" t="s">
        <v>3333</v>
      </c>
      <c r="J3628" s="1229">
        <v>1.82</v>
      </c>
      <c r="K3628" s="1229">
        <v>2</v>
      </c>
      <c r="L3628" s="1227">
        <f>INT(base[[#This Row],[Data de liquidação]])</f>
        <v>46241</v>
      </c>
      <c r="M3628" s="1229">
        <f>base[[#This Row],[L/P Bruto]]-base[[#This Row],[L/P Líquido]]</f>
        <v>7.3979057591623043E-2</v>
      </c>
      <c r="N3628" s="1229">
        <f>base[[#This Row],[L/P Líquido]]/base[[#This Row],[Stake/Responsabilidade]]</f>
        <v>0.78500000000000003</v>
      </c>
      <c r="O3628" s="1231">
        <f>IF(base[[#This Row],[L/P Líquido]]&gt;0,1,0)</f>
        <v>1</v>
      </c>
      <c r="P3628" s="1231"/>
      <c r="Q3628" s="1231" t="str">
        <f>LEFT(base[[#This Row],[Evento / Mercado]],FIND("vs",base[[#This Row],[Evento / Mercado]])-2)</f>
        <v>Comerciantes Unidos</v>
      </c>
      <c r="R3628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231" t="str">
        <f>LEFT(base[[#This Row],[Evento / Mercado]],FIND("/",base[[#This Row],[Evento / Mercado]])-2)</f>
        <v>Comerciantes Unidos vs Cusco FC</v>
      </c>
      <c r="T3628" s="1420">
        <f>base[[#This Row],[Data de liquidação]]</f>
        <v>46241.793634259258</v>
      </c>
    </row>
    <row r="3629" spans="2:20" ht="15" customHeight="1">
      <c r="B3629" s="1226" t="s">
        <v>4302</v>
      </c>
      <c r="C3629" s="935" t="s">
        <v>3556</v>
      </c>
      <c r="D3629" s="1416">
        <v>46241.841284722221</v>
      </c>
      <c r="E3629" s="1228">
        <v>-463.05</v>
      </c>
      <c r="F3629" s="654">
        <v>4.4999999999999998E-2</v>
      </c>
      <c r="G3629" s="1229">
        <f t="shared" si="119"/>
        <v>-463.05</v>
      </c>
      <c r="H3629" s="1229" t="s">
        <v>3334</v>
      </c>
      <c r="I3629" s="1230" t="s">
        <v>627</v>
      </c>
      <c r="J3629" s="1229">
        <v>50</v>
      </c>
      <c r="K3629" s="1229">
        <v>463.05</v>
      </c>
      <c r="L3629" s="1227">
        <f>INT(base[[#This Row],[Data de liquidação]])</f>
        <v>46241</v>
      </c>
      <c r="M3629" s="1229">
        <f>base[[#This Row],[L/P Bruto]]-base[[#This Row],[L/P Líquido]]</f>
        <v>0</v>
      </c>
      <c r="N3629" s="1229">
        <f>base[[#This Row],[L/P Líquido]]/base[[#This Row],[Stake/Responsabilidade]]</f>
        <v>-1</v>
      </c>
      <c r="O3629" s="1231">
        <f>IF(base[[#This Row],[L/P Líquido]]&gt;0,1,0)</f>
        <v>0</v>
      </c>
      <c r="P3629" s="1231"/>
      <c r="Q3629" s="1231" t="str">
        <f>LEFT(base[[#This Row],[Evento / Mercado]],FIND("vs",base[[#This Row],[Evento / Mercado]])-2)</f>
        <v>Academia de Balompie Boliviano</v>
      </c>
      <c r="R3629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231" t="str">
        <f>LEFT(base[[#This Row],[Evento / Mercado]],FIND("/",base[[#This Row],[Evento / Mercado]])-2)</f>
        <v>Academia de Balompie Boliviano vs Guabira</v>
      </c>
      <c r="T3629" s="1420">
        <f>base[[#This Row],[Data de liquidação]]</f>
        <v>46241.841284722221</v>
      </c>
    </row>
    <row r="3630" spans="2:20" ht="15" customHeight="1">
      <c r="B3630" s="1226" t="s">
        <v>4301</v>
      </c>
      <c r="C3630" s="935" t="s">
        <v>3556</v>
      </c>
      <c r="D3630" s="1416">
        <v>46241.867604166669</v>
      </c>
      <c r="E3630" s="1228">
        <v>6.69</v>
      </c>
      <c r="F3630" s="654">
        <v>4.4999999999999998E-2</v>
      </c>
      <c r="G3630" s="1229">
        <f t="shared" si="119"/>
        <v>7.0052356020942419</v>
      </c>
      <c r="H3630" s="1232" t="s">
        <v>4313</v>
      </c>
      <c r="I3630" s="1217" t="s">
        <v>75</v>
      </c>
      <c r="J3630" s="1229">
        <v>1.35</v>
      </c>
      <c r="K3630" s="1229">
        <v>20</v>
      </c>
      <c r="L3630" s="1227">
        <f>INT(base[[#This Row],[Data de liquidação]])</f>
        <v>46241</v>
      </c>
      <c r="M3630" s="1229">
        <f>base[[#This Row],[L/P Bruto]]-base[[#This Row],[L/P Líquido]]</f>
        <v>0.31523560209424151</v>
      </c>
      <c r="N3630" s="1229">
        <f>base[[#This Row],[L/P Líquido]]/base[[#This Row],[Stake/Responsabilidade]]</f>
        <v>0.33450000000000002</v>
      </c>
      <c r="O3630" s="1231">
        <f>IF(base[[#This Row],[L/P Líquido]]&gt;0,1,0)</f>
        <v>1</v>
      </c>
      <c r="P3630" s="1231"/>
      <c r="Q3630" s="1231" t="str">
        <f>LEFT(base[[#This Row],[Evento / Mercado]],FIND("vs",base[[#This Row],[Evento / Mercado]])-2)</f>
        <v>Rosario Central</v>
      </c>
      <c r="R3630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231" t="str">
        <f>LEFT(base[[#This Row],[Evento / Mercado]],FIND("/",base[[#This Row],[Evento / Mercado]])-2)</f>
        <v>Rosario Central vs Aldosivi</v>
      </c>
      <c r="T3630" s="1420">
        <f>base[[#This Row],[Data de liquidação]]</f>
        <v>46241.867604166669</v>
      </c>
    </row>
    <row r="3631" spans="2:20" ht="15" customHeight="1">
      <c r="B3631" s="1226" t="s">
        <v>4300</v>
      </c>
      <c r="C3631" s="935" t="s">
        <v>3556</v>
      </c>
      <c r="D3631" s="1416">
        <v>46241.897881944446</v>
      </c>
      <c r="E3631" s="1228">
        <v>94.36</v>
      </c>
      <c r="F3631" s="654">
        <v>4.4999999999999998E-2</v>
      </c>
      <c r="G3631" s="1229">
        <f t="shared" si="119"/>
        <v>98.806282722513089</v>
      </c>
      <c r="H3631" s="1229" t="s">
        <v>3330</v>
      </c>
      <c r="I3631" s="1248" t="s">
        <v>4367</v>
      </c>
      <c r="J3631" s="1229">
        <f>(4.9+1.95)/2</f>
        <v>3.4250000000000003</v>
      </c>
      <c r="K3631" s="1229">
        <v>250</v>
      </c>
      <c r="L3631" s="1227">
        <f>INT(base[[#This Row],[Data de liquidação]])</f>
        <v>46241</v>
      </c>
      <c r="M3631" s="1229">
        <f>base[[#This Row],[L/P Bruto]]-base[[#This Row],[L/P Líquido]]</f>
        <v>4.4462827225130894</v>
      </c>
      <c r="N3631" s="1229">
        <f>base[[#This Row],[L/P Líquido]]/base[[#This Row],[Stake/Responsabilidade]]</f>
        <v>0.37744</v>
      </c>
      <c r="O3631" s="1231">
        <f>IF(base[[#This Row],[L/P Líquido]]&gt;0,1,0)</f>
        <v>1</v>
      </c>
      <c r="P3631" s="1231"/>
      <c r="Q3631" s="1231" t="str">
        <f>LEFT(base[[#This Row],[Evento / Mercado]],FIND("vs",base[[#This Row],[Evento / Mercado]])-2)</f>
        <v>Operário Ferroviário</v>
      </c>
      <c r="R3631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231" t="str">
        <f>LEFT(base[[#This Row],[Evento / Mercado]],FIND("/",base[[#This Row],[Evento / Mercado]])-2)</f>
        <v>Operário Ferroviário vs São Bernardo FC</v>
      </c>
      <c r="T3631" s="1420">
        <f>base[[#This Row],[Data de liquidação]]</f>
        <v>46241.897881944446</v>
      </c>
    </row>
    <row r="3632" spans="2:20" ht="15" customHeight="1">
      <c r="B3632" s="1226" t="s">
        <v>4299</v>
      </c>
      <c r="C3632" s="935" t="s">
        <v>3556</v>
      </c>
      <c r="D3632" s="1416">
        <v>46241.969155092593</v>
      </c>
      <c r="E3632" s="1228">
        <v>7.64</v>
      </c>
      <c r="F3632" s="654">
        <v>4.4999999999999998E-2</v>
      </c>
      <c r="G3632" s="1229">
        <f t="shared" si="119"/>
        <v>8</v>
      </c>
      <c r="H3632" s="1232" t="s">
        <v>4313</v>
      </c>
      <c r="I3632" s="1217" t="s">
        <v>75</v>
      </c>
      <c r="J3632" s="1229">
        <v>1.4</v>
      </c>
      <c r="K3632" s="1229">
        <v>20</v>
      </c>
      <c r="L3632" s="1227">
        <f>INT(base[[#This Row],[Data de liquidação]])</f>
        <v>46241</v>
      </c>
      <c r="M3632" s="1229">
        <f>base[[#This Row],[L/P Bruto]]-base[[#This Row],[L/P Líquido]]</f>
        <v>0.36000000000000032</v>
      </c>
      <c r="N3632" s="1229">
        <f>base[[#This Row],[L/P Líquido]]/base[[#This Row],[Stake/Responsabilidade]]</f>
        <v>0.38200000000000001</v>
      </c>
      <c r="O3632" s="1231">
        <f>IF(base[[#This Row],[L/P Líquido]]&gt;0,1,0)</f>
        <v>1</v>
      </c>
      <c r="P3632" s="1231"/>
      <c r="Q3632" s="1231" t="str">
        <f>LEFT(base[[#This Row],[Evento / Mercado]],FIND("vs",base[[#This Row],[Evento / Mercado]])-2)</f>
        <v>Independiente Rivadavia</v>
      </c>
      <c r="R3632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231" t="str">
        <f>LEFT(base[[#This Row],[Evento / Mercado]],FIND("/",base[[#This Row],[Evento / Mercado]])-2)</f>
        <v>Independiente Rivadavia vs Estudiantes Río Cuarto</v>
      </c>
      <c r="T3632" s="1420">
        <f>base[[#This Row],[Data de liquidação]]</f>
        <v>46241.969155092593</v>
      </c>
    </row>
    <row r="3633" spans="2:20" ht="15" customHeight="1">
      <c r="B3633" s="1226" t="s">
        <v>4298</v>
      </c>
      <c r="C3633" s="935" t="s">
        <v>3556</v>
      </c>
      <c r="D3633" s="1416">
        <v>46241.976354166669</v>
      </c>
      <c r="E3633" s="1228">
        <v>9.8000000000000007</v>
      </c>
      <c r="F3633" s="654">
        <v>4.4999999999999998E-2</v>
      </c>
      <c r="G3633" s="1229">
        <f t="shared" si="119"/>
        <v>10.261780104712043</v>
      </c>
      <c r="H3633" s="1229" t="s">
        <v>3334</v>
      </c>
      <c r="I3633" s="1230" t="s">
        <v>627</v>
      </c>
      <c r="J3633" s="1229">
        <v>40</v>
      </c>
      <c r="K3633" s="1229">
        <v>400.14</v>
      </c>
      <c r="L3633" s="1227">
        <f>INT(base[[#This Row],[Data de liquidação]])</f>
        <v>46241</v>
      </c>
      <c r="M3633" s="1229">
        <f>base[[#This Row],[L/P Bruto]]-base[[#This Row],[L/P Líquido]]</f>
        <v>0.46178010471204267</v>
      </c>
      <c r="N3633" s="1229">
        <f>base[[#This Row],[L/P Líquido]]/base[[#This Row],[Stake/Responsabilidade]]</f>
        <v>2.4491428000199933E-2</v>
      </c>
      <c r="O3633" s="1231">
        <f>IF(base[[#This Row],[L/P Líquido]]&gt;0,1,0)</f>
        <v>1</v>
      </c>
      <c r="P3633" s="1231"/>
      <c r="Q3633" s="1231" t="str">
        <f>LEFT(base[[#This Row],[Evento / Mercado]],FIND("vs",base[[#This Row],[Evento / Mercado]])-2)</f>
        <v>Universidad Católica</v>
      </c>
      <c r="R3633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231" t="str">
        <f>LEFT(base[[#This Row],[Evento / Mercado]],FIND("/",base[[#This Row],[Evento / Mercado]])-2)</f>
        <v>Universidad Católica vs Cobresal</v>
      </c>
      <c r="T3633" s="1420">
        <f>base[[#This Row],[Data de liquidação]]</f>
        <v>46241.976354166669</v>
      </c>
    </row>
    <row r="3634" spans="2:20" ht="15" customHeight="1">
      <c r="B3634" s="1226" t="s">
        <v>4297</v>
      </c>
      <c r="C3634" s="935" t="s">
        <v>3556</v>
      </c>
      <c r="D3634" s="1416">
        <v>46241.976527777777</v>
      </c>
      <c r="E3634" s="1228">
        <v>50.62</v>
      </c>
      <c r="F3634" s="654">
        <v>4.4999999999999998E-2</v>
      </c>
      <c r="G3634" s="1229">
        <f t="shared" si="119"/>
        <v>53.005235602094238</v>
      </c>
      <c r="H3634" s="1216" t="s">
        <v>179</v>
      </c>
      <c r="I3634" s="1217" t="s">
        <v>392</v>
      </c>
      <c r="J3634" s="1229">
        <v>11</v>
      </c>
      <c r="K3634" s="1229">
        <v>530</v>
      </c>
      <c r="L3634" s="1227">
        <f>INT(base[[#This Row],[Data de liquidação]])</f>
        <v>46241</v>
      </c>
      <c r="M3634" s="1229">
        <f>base[[#This Row],[L/P Bruto]]-base[[#This Row],[L/P Líquido]]</f>
        <v>2.3852356020942409</v>
      </c>
      <c r="N3634" s="1229">
        <f>base[[#This Row],[L/P Líquido]]/base[[#This Row],[Stake/Responsabilidade]]</f>
        <v>9.5509433962264148E-2</v>
      </c>
      <c r="O3634" s="1231">
        <f>IF(base[[#This Row],[L/P Líquido]]&gt;0,1,0)</f>
        <v>1</v>
      </c>
      <c r="P3634" s="1231"/>
      <c r="Q3634" s="1231" t="str">
        <f>LEFT(base[[#This Row],[Evento / Mercado]],FIND("vs",base[[#This Row],[Evento / Mercado]])-2)</f>
        <v>Universidad Católica</v>
      </c>
      <c r="R3634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231" t="str">
        <f>LEFT(base[[#This Row],[Evento / Mercado]],FIND("/",base[[#This Row],[Evento / Mercado]])-2)</f>
        <v>Universidad Católica vs Cobresal</v>
      </c>
      <c r="T3634" s="1420">
        <f>base[[#This Row],[Data de liquidação]]</f>
        <v>46241.976527777777</v>
      </c>
    </row>
    <row r="3635" spans="2:20" ht="15" customHeight="1">
      <c r="B3635" s="1226" t="s">
        <v>4296</v>
      </c>
      <c r="C3635" s="935" t="s">
        <v>3556</v>
      </c>
      <c r="D3635" s="1416">
        <v>46241.986967592595</v>
      </c>
      <c r="E3635" s="1228">
        <v>53.28</v>
      </c>
      <c r="F3635" s="654">
        <v>4.4999999999999998E-2</v>
      </c>
      <c r="G3635" s="1229">
        <f t="shared" si="119"/>
        <v>55.790575916230367</v>
      </c>
      <c r="H3635" s="1216" t="s">
        <v>179</v>
      </c>
      <c r="I3635" s="1217" t="s">
        <v>392</v>
      </c>
      <c r="J3635" s="1229">
        <v>10.5</v>
      </c>
      <c r="K3635" s="1229">
        <v>530.01</v>
      </c>
      <c r="L3635" s="1227">
        <f>INT(base[[#This Row],[Data de liquidação]])</f>
        <v>46241</v>
      </c>
      <c r="M3635" s="1229">
        <f>base[[#This Row],[L/P Bruto]]-base[[#This Row],[L/P Líquido]]</f>
        <v>2.5105759162303656</v>
      </c>
      <c r="N3635" s="1229">
        <f>base[[#This Row],[L/P Líquido]]/base[[#This Row],[Stake/Responsabilidade]]</f>
        <v>0.10052640516216675</v>
      </c>
      <c r="O3635" s="1231">
        <f>IF(base[[#This Row],[L/P Líquido]]&gt;0,1,0)</f>
        <v>1</v>
      </c>
      <c r="P3635" s="1231"/>
      <c r="Q3635" s="1231" t="str">
        <f>LEFT(base[[#This Row],[Evento / Mercado]],FIND("vs",base[[#This Row],[Evento / Mercado]])-2)</f>
        <v>Independiente Rivadavia</v>
      </c>
      <c r="R3635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231" t="str">
        <f>LEFT(base[[#This Row],[Evento / Mercado]],FIND("/",base[[#This Row],[Evento / Mercado]])-2)</f>
        <v>Independiente Rivadavia vs Estudiantes Río Cuarto</v>
      </c>
      <c r="T3635" s="1420">
        <f>base[[#This Row],[Data de liquidação]]</f>
        <v>46241.986967592595</v>
      </c>
    </row>
    <row r="3636" spans="2:20" ht="15" customHeight="1">
      <c r="B3636" s="1226" t="s">
        <v>4295</v>
      </c>
      <c r="C3636" s="935" t="s">
        <v>3556</v>
      </c>
      <c r="D3636" s="1416">
        <v>46241.998865740738</v>
      </c>
      <c r="E3636" s="1228">
        <v>7.07</v>
      </c>
      <c r="F3636" s="654">
        <v>4.4999999999999998E-2</v>
      </c>
      <c r="G3636" s="1229">
        <f t="shared" si="119"/>
        <v>7.4031413612565453</v>
      </c>
      <c r="H3636" s="1232" t="s">
        <v>4313</v>
      </c>
      <c r="I3636" s="1217" t="s">
        <v>75</v>
      </c>
      <c r="J3636" s="1229">
        <v>1.37</v>
      </c>
      <c r="K3636" s="1229">
        <v>20</v>
      </c>
      <c r="L3636" s="1227">
        <f>INT(base[[#This Row],[Data de liquidação]])</f>
        <v>46241</v>
      </c>
      <c r="M3636" s="1229">
        <f>base[[#This Row],[L/P Bruto]]-base[[#This Row],[L/P Líquido]]</f>
        <v>0.33314136125654503</v>
      </c>
      <c r="N3636" s="1229">
        <f>base[[#This Row],[L/P Líquido]]/base[[#This Row],[Stake/Responsabilidade]]</f>
        <v>0.35350000000000004</v>
      </c>
      <c r="O3636" s="1231">
        <f>IF(base[[#This Row],[L/P Líquido]]&gt;0,1,0)</f>
        <v>1</v>
      </c>
      <c r="P3636" s="1231"/>
      <c r="Q3636" s="1231" t="str">
        <f>LEFT(base[[#This Row],[Evento / Mercado]],FIND("vs",base[[#This Row],[Evento / Mercado]])-2)</f>
        <v>Universitario de Deportes</v>
      </c>
      <c r="R3636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231" t="str">
        <f>LEFT(base[[#This Row],[Evento / Mercado]],FIND("/",base[[#This Row],[Evento / Mercado]])-2)</f>
        <v>Universitario de Deportes vs Sporting Cristal</v>
      </c>
      <c r="T3636" s="1420">
        <f>base[[#This Row],[Data de liquidação]]</f>
        <v>46241.998865740738</v>
      </c>
    </row>
    <row r="3637" spans="2:20" ht="15" customHeight="1">
      <c r="B3637" s="1233" t="s">
        <v>4338</v>
      </c>
      <c r="C3637" s="935" t="s">
        <v>3556</v>
      </c>
      <c r="D3637" s="1417">
        <v>46242.414803240739</v>
      </c>
      <c r="E3637" s="1235">
        <v>-2</v>
      </c>
      <c r="F3637" s="654">
        <v>4.4999999999999998E-2</v>
      </c>
      <c r="G3637" s="1236">
        <f t="shared" ref="G3637:G3661" si="120">IF(E3637&gt;0,E3637/(1-F3637),E3637)</f>
        <v>-2</v>
      </c>
      <c r="H3637" s="1236" t="s">
        <v>1666</v>
      </c>
      <c r="I3637" s="1237" t="s">
        <v>2564</v>
      </c>
      <c r="J3637" s="1236">
        <v>1.68</v>
      </c>
      <c r="K3637" s="1236">
        <v>2</v>
      </c>
      <c r="L3637" s="1234">
        <f>INT(base[[#This Row],[Data de liquidação]])</f>
        <v>46242</v>
      </c>
      <c r="M3637" s="1236">
        <f>base[[#This Row],[L/P Bruto]]-base[[#This Row],[L/P Líquido]]</f>
        <v>0</v>
      </c>
      <c r="N3637" s="1236">
        <f>base[[#This Row],[L/P Líquido]]/base[[#This Row],[Stake/Responsabilidade]]</f>
        <v>-1</v>
      </c>
      <c r="O3637" s="1238">
        <f>IF(base[[#This Row],[L/P Líquido]]&gt;0,1,0)</f>
        <v>0</v>
      </c>
      <c r="P3637" s="1238"/>
      <c r="Q3637" s="1238" t="str">
        <f>LEFT(base[[#This Row],[Evento / Mercado]],FIND("vs",base[[#This Row],[Evento / Mercado]])-2)</f>
        <v>Qingdao Hainiu</v>
      </c>
      <c r="R363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238" t="str">
        <f>LEFT(base[[#This Row],[Evento / Mercado]],FIND("/",base[[#This Row],[Evento / Mercado]])-2)</f>
        <v>Qingdao Hainiu vs Shanghai Shenhua</v>
      </c>
      <c r="T3637" s="1420">
        <f>base[[#This Row],[Data de liquidação]]</f>
        <v>46242.414803240739</v>
      </c>
    </row>
    <row r="3638" spans="2:20" ht="15" customHeight="1">
      <c r="B3638" s="1233" t="s">
        <v>4337</v>
      </c>
      <c r="C3638" s="935" t="s">
        <v>3556</v>
      </c>
      <c r="D3638" s="1417">
        <v>46242.418935185182</v>
      </c>
      <c r="E3638" s="1235">
        <v>166.86</v>
      </c>
      <c r="F3638" s="654">
        <v>4.4999999999999998E-2</v>
      </c>
      <c r="G3638" s="1236">
        <f t="shared" si="120"/>
        <v>174.72251308900525</v>
      </c>
      <c r="H3638" s="1236" t="s">
        <v>3330</v>
      </c>
      <c r="I3638" s="1248" t="s">
        <v>4367</v>
      </c>
      <c r="J3638" s="1236">
        <v>2.1</v>
      </c>
      <c r="K3638" s="1236">
        <v>250</v>
      </c>
      <c r="L3638" s="1234">
        <f>INT(base[[#This Row],[Data de liquidação]])</f>
        <v>46242</v>
      </c>
      <c r="M3638" s="1236">
        <f>base[[#This Row],[L/P Bruto]]-base[[#This Row],[L/P Líquido]]</f>
        <v>7.8625130890052333</v>
      </c>
      <c r="N3638" s="1236">
        <f>base[[#This Row],[L/P Líquido]]/base[[#This Row],[Stake/Responsabilidade]]</f>
        <v>0.66744000000000003</v>
      </c>
      <c r="O3638" s="1238">
        <f>IF(base[[#This Row],[L/P Líquido]]&gt;0,1,0)</f>
        <v>1</v>
      </c>
      <c r="P3638" s="1238"/>
      <c r="Q3638" s="1238" t="str">
        <f>LEFT(base[[#This Row],[Evento / Mercado]],FIND("vs",base[[#This Row],[Evento / Mercado]])-2)</f>
        <v>Jeonbuk Hyundai Motors</v>
      </c>
      <c r="R363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238" t="str">
        <f>LEFT(base[[#This Row],[Evento / Mercado]],FIND("/",base[[#This Row],[Evento / Mercado]])-2)</f>
        <v>Jeonbuk Hyundai Motors vs Jeju SK</v>
      </c>
      <c r="T3638" s="1420">
        <f>base[[#This Row],[Data de liquidação]]</f>
        <v>46242.418935185182</v>
      </c>
    </row>
    <row r="3639" spans="2:20" ht="15" customHeight="1">
      <c r="B3639" s="1233" t="s">
        <v>4336</v>
      </c>
      <c r="C3639" s="935" t="s">
        <v>3556</v>
      </c>
      <c r="D3639" s="1417">
        <v>46242.45040509259</v>
      </c>
      <c r="E3639" s="1235">
        <v>1.07</v>
      </c>
      <c r="F3639" s="654">
        <v>4.4999999999999998E-2</v>
      </c>
      <c r="G3639" s="1236">
        <f t="shared" si="120"/>
        <v>1.1204188481675394</v>
      </c>
      <c r="H3639" s="1236" t="s">
        <v>1666</v>
      </c>
      <c r="I3639" s="1237" t="s">
        <v>2564</v>
      </c>
      <c r="J3639" s="1236">
        <v>1.56</v>
      </c>
      <c r="K3639" s="1236">
        <v>2</v>
      </c>
      <c r="L3639" s="1234">
        <f>INT(base[[#This Row],[Data de liquidação]])</f>
        <v>46242</v>
      </c>
      <c r="M3639" s="1236">
        <f>base[[#This Row],[L/P Bruto]]-base[[#This Row],[L/P Líquido]]</f>
        <v>5.0418848167539387E-2</v>
      </c>
      <c r="N3639" s="1236">
        <f>base[[#This Row],[L/P Líquido]]/base[[#This Row],[Stake/Responsabilidade]]</f>
        <v>0.53500000000000003</v>
      </c>
      <c r="O3639" s="1238">
        <f>IF(base[[#This Row],[L/P Líquido]]&gt;0,1,0)</f>
        <v>1</v>
      </c>
      <c r="P3639" s="1238"/>
      <c r="Q3639" s="1238" t="str">
        <f>LEFT(base[[#This Row],[Evento / Mercado]],FIND("vs",base[[#This Row],[Evento / Mercado]])-2)</f>
        <v>Vålerenga</v>
      </c>
      <c r="R363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238" t="str">
        <f>LEFT(base[[#This Row],[Evento / Mercado]],FIND("/",base[[#This Row],[Evento / Mercado]])-2)</f>
        <v>Vålerenga vs Bod</v>
      </c>
      <c r="T3639" s="1420">
        <f>base[[#This Row],[Data de liquidação]]</f>
        <v>46242.45040509259</v>
      </c>
    </row>
    <row r="3640" spans="2:20" ht="15" customHeight="1">
      <c r="B3640" s="1233" t="s">
        <v>4335</v>
      </c>
      <c r="C3640" s="935" t="s">
        <v>3556</v>
      </c>
      <c r="D3640" s="1417">
        <v>46242.455706018518</v>
      </c>
      <c r="E3640" s="1235">
        <v>9.5500000000000007</v>
      </c>
      <c r="F3640" s="654">
        <v>4.4999999999999998E-2</v>
      </c>
      <c r="G3640" s="1236">
        <f t="shared" si="120"/>
        <v>10.000000000000002</v>
      </c>
      <c r="H3640" s="1236" t="s">
        <v>3334</v>
      </c>
      <c r="I3640" s="1237" t="s">
        <v>694</v>
      </c>
      <c r="J3640" s="1236">
        <v>42</v>
      </c>
      <c r="K3640" s="1236">
        <v>410</v>
      </c>
      <c r="L3640" s="1234">
        <f>INT(base[[#This Row],[Data de liquidação]])</f>
        <v>46242</v>
      </c>
      <c r="M3640" s="1236">
        <f>base[[#This Row],[L/P Bruto]]-base[[#This Row],[L/P Líquido]]</f>
        <v>0.45000000000000107</v>
      </c>
      <c r="N3640" s="1236">
        <f>base[[#This Row],[L/P Líquido]]/base[[#This Row],[Stake/Responsabilidade]]</f>
        <v>2.3292682926829272E-2</v>
      </c>
      <c r="O3640" s="1238">
        <f>IF(base[[#This Row],[L/P Líquido]]&gt;0,1,0)</f>
        <v>1</v>
      </c>
      <c r="P3640" s="1238"/>
      <c r="Q3640" s="1238" t="str">
        <f>LEFT(base[[#This Row],[Evento / Mercado]],FIND("vs",base[[#This Row],[Evento / Mercado]])-2)</f>
        <v>Vålerenga</v>
      </c>
      <c r="R364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238" t="str">
        <f>LEFT(base[[#This Row],[Evento / Mercado]],FIND("/",base[[#This Row],[Evento / Mercado]])-2)</f>
        <v>Vålerenga vs Bod</v>
      </c>
      <c r="T3640" s="1420">
        <f>base[[#This Row],[Data de liquidação]]</f>
        <v>46242.455706018518</v>
      </c>
    </row>
    <row r="3641" spans="2:20" ht="15" customHeight="1">
      <c r="B3641" s="1233" t="s">
        <v>4334</v>
      </c>
      <c r="C3641" s="935" t="s">
        <v>3556</v>
      </c>
      <c r="D3641" s="1417">
        <v>46242.456307870372</v>
      </c>
      <c r="E3641" s="1235">
        <v>15.08</v>
      </c>
      <c r="F3641" s="654">
        <v>4.4999999999999998E-2</v>
      </c>
      <c r="G3641" s="1236">
        <f t="shared" si="120"/>
        <v>15.790575916230367</v>
      </c>
      <c r="H3641" s="1236" t="s">
        <v>1666</v>
      </c>
      <c r="I3641" s="1237" t="s">
        <v>1759</v>
      </c>
      <c r="J3641" s="1236">
        <v>8.8000000000000007</v>
      </c>
      <c r="K3641" s="1236">
        <v>123.16</v>
      </c>
      <c r="L3641" s="1234">
        <f>INT(base[[#This Row],[Data de liquidação]])</f>
        <v>46242</v>
      </c>
      <c r="M3641" s="1236">
        <f>base[[#This Row],[L/P Bruto]]-base[[#This Row],[L/P Líquido]]</f>
        <v>0.71057591623036664</v>
      </c>
      <c r="N3641" s="1236">
        <f>base[[#This Row],[L/P Líquido]]/base[[#This Row],[Stake/Responsabilidade]]</f>
        <v>0.12244235141279637</v>
      </c>
      <c r="O3641" s="1238">
        <f>IF(base[[#This Row],[L/P Líquido]]&gt;0,1,0)</f>
        <v>1</v>
      </c>
      <c r="P3641" s="1238"/>
      <c r="Q3641" s="1238" t="str">
        <f>LEFT(base[[#This Row],[Evento / Mercado]],FIND("vs",base[[#This Row],[Evento / Mercado]])-2)</f>
        <v>Yunnan Yukun</v>
      </c>
      <c r="R364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238" t="str">
        <f>LEFT(base[[#This Row],[Evento / Mercado]],FIND("/",base[[#This Row],[Evento / Mercado]])-2)</f>
        <v>Yunnan Yukun vs Chengdu Rongcheng</v>
      </c>
      <c r="T3641" s="1420">
        <f>base[[#This Row],[Data de liquidação]]</f>
        <v>46242.456307870372</v>
      </c>
    </row>
    <row r="3642" spans="2:20" ht="15" customHeight="1">
      <c r="B3642" s="1233" t="s">
        <v>4333</v>
      </c>
      <c r="C3642" s="935" t="s">
        <v>3556</v>
      </c>
      <c r="D3642" s="1417">
        <v>46242.540219907409</v>
      </c>
      <c r="E3642" s="1235">
        <v>8.91</v>
      </c>
      <c r="F3642" s="654">
        <v>4.4999999999999998E-2</v>
      </c>
      <c r="G3642" s="1236">
        <f t="shared" si="120"/>
        <v>9.3298429319371738</v>
      </c>
      <c r="H3642" s="1236" t="s">
        <v>3334</v>
      </c>
      <c r="I3642" s="1237" t="s">
        <v>627</v>
      </c>
      <c r="J3642" s="1236">
        <v>46</v>
      </c>
      <c r="K3642" s="1236">
        <v>419.85</v>
      </c>
      <c r="L3642" s="1234">
        <f>INT(base[[#This Row],[Data de liquidação]])</f>
        <v>46242</v>
      </c>
      <c r="M3642" s="1236">
        <f>base[[#This Row],[L/P Bruto]]-base[[#This Row],[L/P Líquido]]</f>
        <v>0.4198429319371737</v>
      </c>
      <c r="N3642" s="1236">
        <f>base[[#This Row],[L/P Líquido]]/base[[#This Row],[Stake/Responsabilidade]]</f>
        <v>2.1221864951768487E-2</v>
      </c>
      <c r="O3642" s="1238">
        <f>IF(base[[#This Row],[L/P Líquido]]&gt;0,1,0)</f>
        <v>1</v>
      </c>
      <c r="P3642" s="1238"/>
      <c r="Q3642" s="1238" t="str">
        <f>LEFT(base[[#This Row],[Evento / Mercado]],FIND("vs",base[[#This Row],[Evento / Mercado]])-2)</f>
        <v>Viking FK</v>
      </c>
      <c r="R3642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238" t="str">
        <f>LEFT(base[[#This Row],[Evento / Mercado]],FIND("/",base[[#This Row],[Evento / Mercado]])-2)</f>
        <v>Viking FK vs Sarpsborg 08</v>
      </c>
      <c r="T3642" s="1420">
        <f>base[[#This Row],[Data de liquidação]]</f>
        <v>46242.540219907409</v>
      </c>
    </row>
    <row r="3643" spans="2:20" ht="15" customHeight="1">
      <c r="B3643" s="1233" t="s">
        <v>4332</v>
      </c>
      <c r="C3643" s="935" t="s">
        <v>3556</v>
      </c>
      <c r="D3643" s="1417">
        <v>46242.556655092594</v>
      </c>
      <c r="E3643" s="1235">
        <v>59.69</v>
      </c>
      <c r="F3643" s="654">
        <v>4.4999999999999998E-2</v>
      </c>
      <c r="G3643" s="1236">
        <f t="shared" si="120"/>
        <v>62.502617801047123</v>
      </c>
      <c r="H3643" s="1236" t="s">
        <v>179</v>
      </c>
      <c r="I3643" s="1237" t="s">
        <v>392</v>
      </c>
      <c r="J3643" s="1236">
        <v>7.4</v>
      </c>
      <c r="K3643" s="1236">
        <v>400</v>
      </c>
      <c r="L3643" s="1234">
        <f>INT(base[[#This Row],[Data de liquidação]])</f>
        <v>46242</v>
      </c>
      <c r="M3643" s="1236">
        <f>base[[#This Row],[L/P Bruto]]-base[[#This Row],[L/P Líquido]]</f>
        <v>2.812617801047125</v>
      </c>
      <c r="N3643" s="1236">
        <f>base[[#This Row],[L/P Líquido]]/base[[#This Row],[Stake/Responsabilidade]]</f>
        <v>0.149225</v>
      </c>
      <c r="O3643" s="1238">
        <f>IF(base[[#This Row],[L/P Líquido]]&gt;0,1,0)</f>
        <v>1</v>
      </c>
      <c r="P3643" s="1238"/>
      <c r="Q3643" s="1238" t="str">
        <f>LEFT(base[[#This Row],[Evento / Mercado]],FIND("vs",base[[#This Row],[Evento / Mercado]])-2)</f>
        <v>Viking FK</v>
      </c>
      <c r="R3643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238" t="str">
        <f>LEFT(base[[#This Row],[Evento / Mercado]],FIND("/",base[[#This Row],[Evento / Mercado]])-2)</f>
        <v>Viking FK vs Sarpsborg 08</v>
      </c>
      <c r="T3643" s="1420">
        <f>base[[#This Row],[Data de liquidação]]</f>
        <v>46242.556655092594</v>
      </c>
    </row>
    <row r="3644" spans="2:20" ht="15" customHeight="1">
      <c r="B3644" s="1233" t="s">
        <v>4331</v>
      </c>
      <c r="C3644" s="935" t="s">
        <v>3556</v>
      </c>
      <c r="D3644" s="1417">
        <v>46242.55878472222</v>
      </c>
      <c r="E3644" s="1235">
        <v>-62.62</v>
      </c>
      <c r="F3644" s="654">
        <v>4.4999999999999998E-2</v>
      </c>
      <c r="G3644" s="1236">
        <f t="shared" si="120"/>
        <v>-62.62</v>
      </c>
      <c r="H3644" s="1236" t="s">
        <v>3868</v>
      </c>
      <c r="I3644" s="1237" t="s">
        <v>694</v>
      </c>
      <c r="J3644" s="1236">
        <v>19</v>
      </c>
      <c r="K3644" s="1236">
        <v>599.94000000000005</v>
      </c>
      <c r="L3644" s="1234">
        <f>INT(base[[#This Row],[Data de liquidação]])</f>
        <v>46242</v>
      </c>
      <c r="M3644" s="1236">
        <f>base[[#This Row],[L/P Bruto]]-base[[#This Row],[L/P Líquido]]</f>
        <v>0</v>
      </c>
      <c r="N3644" s="1236">
        <f>base[[#This Row],[L/P Líquido]]/base[[#This Row],[Stake/Responsabilidade]]</f>
        <v>-0.10437710437710436</v>
      </c>
      <c r="O3644" s="1238">
        <f>IF(base[[#This Row],[L/P Líquido]]&gt;0,1,0)</f>
        <v>0</v>
      </c>
      <c r="P3644" s="1238"/>
      <c r="Q3644" s="1238" t="str">
        <f>LEFT(base[[#This Row],[Evento / Mercado]],FIND("vs",base[[#This Row],[Evento / Mercado]])-2)</f>
        <v>Den Bosch</v>
      </c>
      <c r="R3644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238" t="str">
        <f>LEFT(base[[#This Row],[Evento / Mercado]],FIND("/",base[[#This Row],[Evento / Mercado]])-2)</f>
        <v>Den Bosch vs Almere City</v>
      </c>
      <c r="T3644" s="1420">
        <f>base[[#This Row],[Data de liquidação]]</f>
        <v>46242.55878472222</v>
      </c>
    </row>
    <row r="3645" spans="2:20" ht="15" customHeight="1">
      <c r="B3645" s="1233" t="s">
        <v>4330</v>
      </c>
      <c r="C3645" s="935" t="s">
        <v>3556</v>
      </c>
      <c r="D3645" s="1417">
        <v>46242.577800925923</v>
      </c>
      <c r="E3645" s="1235">
        <v>13.98</v>
      </c>
      <c r="F3645" s="654">
        <v>4.4999999999999998E-2</v>
      </c>
      <c r="G3645" s="1236">
        <f t="shared" si="120"/>
        <v>14.638743455497384</v>
      </c>
      <c r="H3645" s="1236" t="s">
        <v>3330</v>
      </c>
      <c r="I3645" s="1248" t="s">
        <v>4368</v>
      </c>
      <c r="J3645" s="1236">
        <v>5.9</v>
      </c>
      <c r="K3645" s="1236">
        <v>125</v>
      </c>
      <c r="L3645" s="1234">
        <f>INT(base[[#This Row],[Data de liquidação]])</f>
        <v>46242</v>
      </c>
      <c r="M3645" s="1236">
        <f>base[[#This Row],[L/P Bruto]]-base[[#This Row],[L/P Líquido]]</f>
        <v>0.65874345549738322</v>
      </c>
      <c r="N3645" s="1236">
        <f>base[[#This Row],[L/P Líquido]]/base[[#This Row],[Stake/Responsabilidade]]</f>
        <v>0.11184000000000001</v>
      </c>
      <c r="O3645" s="1238">
        <f>IF(base[[#This Row],[L/P Líquido]]&gt;0,1,0)</f>
        <v>1</v>
      </c>
      <c r="P3645" s="1238"/>
      <c r="Q3645" s="1238" t="str">
        <f>LEFT(base[[#This Row],[Evento / Mercado]],FIND("vs",base[[#This Row],[Evento / Mercado]])-2)</f>
        <v>IFK Norrköping</v>
      </c>
      <c r="R3645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238" t="str">
        <f>LEFT(base[[#This Row],[Evento / Mercado]],FIND("/",base[[#This Row],[Evento / Mercado]])-2)</f>
        <v>IFK Norrköping vs IK Brage</v>
      </c>
      <c r="T3645" s="1420">
        <f>base[[#This Row],[Data de liquidação]]</f>
        <v>46242.577800925923</v>
      </c>
    </row>
    <row r="3646" spans="2:20" ht="15" customHeight="1">
      <c r="B3646" s="1233" t="s">
        <v>4329</v>
      </c>
      <c r="C3646" s="935" t="s">
        <v>3556</v>
      </c>
      <c r="D3646" s="1417">
        <v>46242.622708333336</v>
      </c>
      <c r="E3646" s="1235">
        <v>3.82</v>
      </c>
      <c r="F3646" s="654">
        <v>4.4999999999999998E-2</v>
      </c>
      <c r="G3646" s="1236">
        <f t="shared" si="120"/>
        <v>4</v>
      </c>
      <c r="H3646" s="1236" t="s">
        <v>1666</v>
      </c>
      <c r="I3646" s="1237" t="s">
        <v>2950</v>
      </c>
      <c r="J3646" s="1236">
        <v>14</v>
      </c>
      <c r="K3646" s="1236">
        <v>52</v>
      </c>
      <c r="L3646" s="1234">
        <f>INT(base[[#This Row],[Data de liquidação]])</f>
        <v>46242</v>
      </c>
      <c r="M3646" s="1236">
        <f>base[[#This Row],[L/P Bruto]]-base[[#This Row],[L/P Líquido]]</f>
        <v>0.18000000000000016</v>
      </c>
      <c r="N3646" s="1236">
        <f>base[[#This Row],[L/P Líquido]]/base[[#This Row],[Stake/Responsabilidade]]</f>
        <v>7.3461538461538453E-2</v>
      </c>
      <c r="O3646" s="1238">
        <f>IF(base[[#This Row],[L/P Líquido]]&gt;0,1,0)</f>
        <v>1</v>
      </c>
      <c r="P3646" s="1238"/>
      <c r="Q3646" s="1238" t="str">
        <f>LEFT(base[[#This Row],[Evento / Mercado]],FIND("vs",base[[#This Row],[Evento / Mercado]])-2)</f>
        <v>FC Lausanne-Sport</v>
      </c>
      <c r="R3646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238" t="str">
        <f>LEFT(base[[#This Row],[Evento / Mercado]],FIND("/",base[[#This Row],[Evento / Mercado]])-2)</f>
        <v>FC Lausanne-Sport vs BSC Young Boys</v>
      </c>
      <c r="T3646" s="1420">
        <f>base[[#This Row],[Data de liquidação]]</f>
        <v>46242.622708333336</v>
      </c>
    </row>
    <row r="3647" spans="2:20" ht="15" customHeight="1">
      <c r="B3647" s="1233" t="s">
        <v>4328</v>
      </c>
      <c r="C3647" s="935" t="s">
        <v>3556</v>
      </c>
      <c r="D3647" s="1417">
        <v>46242.716805555552</v>
      </c>
      <c r="E3647" s="1235">
        <v>7.26</v>
      </c>
      <c r="F3647" s="654">
        <v>4.4999999999999998E-2</v>
      </c>
      <c r="G3647" s="1236">
        <f t="shared" si="120"/>
        <v>7.6020942408376966</v>
      </c>
      <c r="H3647" s="1236" t="s">
        <v>4313</v>
      </c>
      <c r="I3647" s="1237" t="s">
        <v>13</v>
      </c>
      <c r="J3647" s="1236">
        <v>1.38</v>
      </c>
      <c r="K3647" s="1236">
        <v>20</v>
      </c>
      <c r="L3647" s="1234">
        <f>INT(base[[#This Row],[Data de liquidação]])</f>
        <v>46242</v>
      </c>
      <c r="M3647" s="1236">
        <f>base[[#This Row],[L/P Bruto]]-base[[#This Row],[L/P Líquido]]</f>
        <v>0.34209424083769679</v>
      </c>
      <c r="N3647" s="1236">
        <f>base[[#This Row],[L/P Líquido]]/base[[#This Row],[Stake/Responsabilidade]]</f>
        <v>0.36299999999999999</v>
      </c>
      <c r="O3647" s="1238">
        <f>IF(base[[#This Row],[L/P Líquido]]&gt;0,1,0)</f>
        <v>1</v>
      </c>
      <c r="P3647" s="1238"/>
      <c r="Q3647" s="1238" t="str">
        <f>LEFT(base[[#This Row],[Evento / Mercado]],FIND("vs",base[[#This Row],[Evento / Mercado]])-2)</f>
        <v>Grêmio FBPA</v>
      </c>
      <c r="R364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238" t="str">
        <f>LEFT(base[[#This Row],[Evento / Mercado]],FIND("/",base[[#This Row],[Evento / Mercado]])-2)</f>
        <v>Grêmio FBPA vs São Paulo</v>
      </c>
      <c r="T3647" s="1420">
        <f>base[[#This Row],[Data de liquidação]]</f>
        <v>46242.716805555552</v>
      </c>
    </row>
    <row r="3648" spans="2:20" ht="15" customHeight="1">
      <c r="B3648" s="1233" t="s">
        <v>4327</v>
      </c>
      <c r="C3648" s="935" t="s">
        <v>3556</v>
      </c>
      <c r="D3648" s="1417">
        <v>46242.746018518519</v>
      </c>
      <c r="E3648" s="1235">
        <v>20.45</v>
      </c>
      <c r="F3648" s="654">
        <v>4.4999999999999998E-2</v>
      </c>
      <c r="G3648" s="1236">
        <f t="shared" si="120"/>
        <v>21.413612565445025</v>
      </c>
      <c r="H3648" s="1236" t="s">
        <v>3330</v>
      </c>
      <c r="I3648" s="1248" t="s">
        <v>4368</v>
      </c>
      <c r="J3648" s="1236">
        <v>4.5999999999999996</v>
      </c>
      <c r="K3648" s="1236">
        <v>124.99</v>
      </c>
      <c r="L3648" s="1234">
        <f>INT(base[[#This Row],[Data de liquidação]])</f>
        <v>46242</v>
      </c>
      <c r="M3648" s="1236">
        <f>base[[#This Row],[L/P Bruto]]-base[[#This Row],[L/P Líquido]]</f>
        <v>0.96361256544502538</v>
      </c>
      <c r="N3648" s="1236">
        <f>base[[#This Row],[L/P Líquido]]/base[[#This Row],[Stake/Responsabilidade]]</f>
        <v>0.16361308904712377</v>
      </c>
      <c r="O3648" s="1238">
        <f>IF(base[[#This Row],[L/P Líquido]]&gt;0,1,0)</f>
        <v>1</v>
      </c>
      <c r="P3648" s="1238"/>
      <c r="Q3648" s="1238" t="str">
        <f>LEFT(base[[#This Row],[Evento / Mercado]],FIND("vs",base[[#This Row],[Evento / Mercado]])-2)</f>
        <v>NK Lokomotiva</v>
      </c>
      <c r="R364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238" t="str">
        <f>LEFT(base[[#This Row],[Evento / Mercado]],FIND("/",base[[#This Row],[Evento / Mercado]])-2)</f>
        <v>NK Lokomotiva vs HNK Gorica</v>
      </c>
      <c r="T3648" s="1420">
        <f>base[[#This Row],[Data de liquidação]]</f>
        <v>46242.746018518519</v>
      </c>
    </row>
    <row r="3649" spans="2:20" ht="15" customHeight="1">
      <c r="B3649" s="1233" t="s">
        <v>4326</v>
      </c>
      <c r="C3649" s="935" t="s">
        <v>3556</v>
      </c>
      <c r="D3649" s="1417">
        <v>46242.749490740738</v>
      </c>
      <c r="E3649" s="1235">
        <v>-20</v>
      </c>
      <c r="F3649" s="654">
        <v>4.4999999999999998E-2</v>
      </c>
      <c r="G3649" s="1236">
        <f t="shared" si="120"/>
        <v>-20</v>
      </c>
      <c r="H3649" s="1236" t="s">
        <v>4313</v>
      </c>
      <c r="I3649" s="1237" t="s">
        <v>13</v>
      </c>
      <c r="J3649" s="1236">
        <v>1.34</v>
      </c>
      <c r="K3649" s="1236">
        <v>20</v>
      </c>
      <c r="L3649" s="1234">
        <f>INT(base[[#This Row],[Data de liquidação]])</f>
        <v>46242</v>
      </c>
      <c r="M3649" s="1236">
        <f>base[[#This Row],[L/P Bruto]]-base[[#This Row],[L/P Líquido]]</f>
        <v>0</v>
      </c>
      <c r="N3649" s="1236">
        <f>base[[#This Row],[L/P Líquido]]/base[[#This Row],[Stake/Responsabilidade]]</f>
        <v>-1</v>
      </c>
      <c r="O3649" s="1238">
        <f>IF(base[[#This Row],[L/P Líquido]]&gt;0,1,0)</f>
        <v>0</v>
      </c>
      <c r="P3649" s="1238"/>
      <c r="Q3649" s="1238" t="str">
        <f>LEFT(base[[#This Row],[Evento / Mercado]],FIND("vs",base[[#This Row],[Evento / Mercado]])-2)</f>
        <v>Vila Nova FC</v>
      </c>
      <c r="R364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238" t="str">
        <f>LEFT(base[[#This Row],[Evento / Mercado]],FIND("/",base[[#This Row],[Evento / Mercado]])-2)</f>
        <v>Vila Nova FC vs Sport Club do Recife</v>
      </c>
      <c r="T3649" s="1420">
        <f>base[[#This Row],[Data de liquidação]]</f>
        <v>46242.749490740738</v>
      </c>
    </row>
    <row r="3650" spans="2:20" ht="15" customHeight="1">
      <c r="B3650" s="1233" t="s">
        <v>4325</v>
      </c>
      <c r="C3650" s="935" t="s">
        <v>3556</v>
      </c>
      <c r="D3650" s="1417">
        <v>46242.749513888892</v>
      </c>
      <c r="E3650" s="1235">
        <v>-248.59</v>
      </c>
      <c r="F3650" s="654">
        <v>4.4999999999999998E-2</v>
      </c>
      <c r="G3650" s="1236">
        <f t="shared" si="120"/>
        <v>-248.59</v>
      </c>
      <c r="H3650" s="1236" t="s">
        <v>3330</v>
      </c>
      <c r="I3650" s="1248" t="s">
        <v>4367</v>
      </c>
      <c r="J3650" s="1236">
        <f>(1.99*124.1+3.9*124.49)/base[[#This Row],[Stake/Responsabilidade]]</f>
        <v>2.9464982501307371</v>
      </c>
      <c r="K3650" s="1236">
        <v>248.59</v>
      </c>
      <c r="L3650" s="1234">
        <f>INT(base[[#This Row],[Data de liquidação]])</f>
        <v>46242</v>
      </c>
      <c r="M3650" s="1236">
        <f>base[[#This Row],[L/P Bruto]]-base[[#This Row],[L/P Líquido]]</f>
        <v>0</v>
      </c>
      <c r="N3650" s="1236">
        <f>base[[#This Row],[L/P Líquido]]/base[[#This Row],[Stake/Responsabilidade]]</f>
        <v>-1</v>
      </c>
      <c r="O3650" s="1238">
        <f>IF(base[[#This Row],[L/P Líquido]]&gt;0,1,0)</f>
        <v>0</v>
      </c>
      <c r="P3650" s="1238"/>
      <c r="Q3650" s="1238" t="str">
        <f>LEFT(base[[#This Row],[Evento / Mercado]],FIND("vs",base[[#This Row],[Evento / Mercado]])-2)</f>
        <v>Vila Nova FC</v>
      </c>
      <c r="R365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238" t="str">
        <f>LEFT(base[[#This Row],[Evento / Mercado]],FIND("/",base[[#This Row],[Evento / Mercado]])-2)</f>
        <v>Vila Nova FC vs Sport Club do Recife</v>
      </c>
      <c r="T3650" s="1420">
        <f>base[[#This Row],[Data de liquidação]]</f>
        <v>46242.749513888892</v>
      </c>
    </row>
    <row r="3651" spans="2:20" ht="15" customHeight="1">
      <c r="B3651" s="1233" t="s">
        <v>4324</v>
      </c>
      <c r="C3651" s="935" t="s">
        <v>3556</v>
      </c>
      <c r="D3651" s="1417">
        <v>46242.749525462961</v>
      </c>
      <c r="E3651" s="1235">
        <v>-2</v>
      </c>
      <c r="F3651" s="654">
        <v>4.4999999999999998E-2</v>
      </c>
      <c r="G3651" s="1236">
        <f t="shared" si="120"/>
        <v>-2</v>
      </c>
      <c r="H3651" s="1236" t="s">
        <v>1666</v>
      </c>
      <c r="I3651" s="1237" t="s">
        <v>3333</v>
      </c>
      <c r="J3651" s="1236">
        <v>1.79</v>
      </c>
      <c r="K3651" s="1236">
        <v>2</v>
      </c>
      <c r="L3651" s="1234">
        <f>INT(base[[#This Row],[Data de liquidação]])</f>
        <v>46242</v>
      </c>
      <c r="M3651" s="1236">
        <f>base[[#This Row],[L/P Bruto]]-base[[#This Row],[L/P Líquido]]</f>
        <v>0</v>
      </c>
      <c r="N3651" s="1236">
        <f>base[[#This Row],[L/P Líquido]]/base[[#This Row],[Stake/Responsabilidade]]</f>
        <v>-1</v>
      </c>
      <c r="O3651" s="1238">
        <f>IF(base[[#This Row],[L/P Líquido]]&gt;0,1,0)</f>
        <v>0</v>
      </c>
      <c r="P3651" s="1238"/>
      <c r="Q3651" s="1238" t="str">
        <f>LEFT(base[[#This Row],[Evento / Mercado]],FIND("vs",base[[#This Row],[Evento / Mercado]])-2)</f>
        <v>Vila Nova FC</v>
      </c>
      <c r="R365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238" t="str">
        <f>LEFT(base[[#This Row],[Evento / Mercado]],FIND("/",base[[#This Row],[Evento / Mercado]])-2)</f>
        <v>Vila Nova FC vs Sport Club do Recife</v>
      </c>
      <c r="T3651" s="1420">
        <f>base[[#This Row],[Data de liquidação]]</f>
        <v>46242.749525462961</v>
      </c>
    </row>
    <row r="3652" spans="2:20" ht="15" customHeight="1">
      <c r="B3652" s="1233" t="s">
        <v>4323</v>
      </c>
      <c r="C3652" s="935" t="s">
        <v>3556</v>
      </c>
      <c r="D3652" s="1417">
        <v>46242.789502314816</v>
      </c>
      <c r="E3652" s="1235">
        <v>8.18</v>
      </c>
      <c r="F3652" s="654">
        <v>4.4999999999999998E-2</v>
      </c>
      <c r="G3652" s="1236">
        <f t="shared" si="120"/>
        <v>8.5654450261780113</v>
      </c>
      <c r="H3652" s="1236" t="s">
        <v>1666</v>
      </c>
      <c r="I3652" s="1237" t="s">
        <v>1759</v>
      </c>
      <c r="J3652" s="1236">
        <v>14</v>
      </c>
      <c r="K3652" s="1236">
        <v>111.41</v>
      </c>
      <c r="L3652" s="1234">
        <f>INT(base[[#This Row],[Data de liquidação]])</f>
        <v>46242</v>
      </c>
      <c r="M3652" s="1236">
        <f>base[[#This Row],[L/P Bruto]]-base[[#This Row],[L/P Líquido]]</f>
        <v>0.38544502617801157</v>
      </c>
      <c r="N3652" s="1236">
        <f>base[[#This Row],[L/P Líquido]]/base[[#This Row],[Stake/Responsabilidade]]</f>
        <v>7.3422493492505167E-2</v>
      </c>
      <c r="O3652" s="1238">
        <f>IF(base[[#This Row],[L/P Líquido]]&gt;0,1,0)</f>
        <v>1</v>
      </c>
      <c r="P3652" s="1238"/>
      <c r="Q3652" s="1238" t="str">
        <f>LEFT(base[[#This Row],[Evento / Mercado]],FIND("vs",base[[#This Row],[Evento / Mercado]])-2)</f>
        <v>Monagas SC</v>
      </c>
      <c r="R3652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238" t="str">
        <f>LEFT(base[[#This Row],[Evento / Mercado]],FIND("/",base[[#This Row],[Evento / Mercado]])-2)</f>
        <v>Monagas SC vs Carabobo FC</v>
      </c>
      <c r="T3652" s="1420">
        <f>base[[#This Row],[Data de liquidação]]</f>
        <v>46242.789502314816</v>
      </c>
    </row>
    <row r="3653" spans="2:20" ht="15" customHeight="1">
      <c r="B3653" s="1233" t="s">
        <v>4322</v>
      </c>
      <c r="C3653" s="935" t="s">
        <v>3556</v>
      </c>
      <c r="D3653" s="1417">
        <v>46242.795486111114</v>
      </c>
      <c r="E3653" s="1235">
        <v>107.72</v>
      </c>
      <c r="F3653" s="654">
        <v>4.4999999999999998E-2</v>
      </c>
      <c r="G3653" s="1236">
        <f t="shared" si="120"/>
        <v>112.79581151832461</v>
      </c>
      <c r="H3653" s="1236" t="s">
        <v>314</v>
      </c>
      <c r="I3653" s="1237" t="s">
        <v>349</v>
      </c>
      <c r="J3653" s="1236">
        <v>1.94</v>
      </c>
      <c r="K3653" s="1236">
        <v>120</v>
      </c>
      <c r="L3653" s="1234">
        <f>INT(base[[#This Row],[Data de liquidação]])</f>
        <v>46242</v>
      </c>
      <c r="M3653" s="1236">
        <f>base[[#This Row],[L/P Bruto]]-base[[#This Row],[L/P Líquido]]</f>
        <v>5.0758115183246133</v>
      </c>
      <c r="N3653" s="1236">
        <f>base[[#This Row],[L/P Líquido]]/base[[#This Row],[Stake/Responsabilidade]]</f>
        <v>0.89766666666666661</v>
      </c>
      <c r="O3653" s="1238">
        <f>IF(base[[#This Row],[L/P Líquido]]&gt;0,1,0)</f>
        <v>1</v>
      </c>
      <c r="P3653" s="1238"/>
      <c r="Q3653" s="1238" t="str">
        <f>LEFT(base[[#This Row],[Evento / Mercado]],FIND("vs",base[[#This Row],[Evento / Mercado]])-2)</f>
        <v>Clube do Remo</v>
      </c>
      <c r="R3653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238" t="str">
        <f>LEFT(base[[#This Row],[Evento / Mercado]],FIND("/",base[[#This Row],[Evento / Mercado]])-2)</f>
        <v>Clube do Remo vs Atlético Mineiro</v>
      </c>
      <c r="T3653" s="1420">
        <f>base[[#This Row],[Data de liquidação]]</f>
        <v>46242.795486111114</v>
      </c>
    </row>
    <row r="3654" spans="2:20" ht="15" customHeight="1">
      <c r="B3654" s="1233" t="s">
        <v>4321</v>
      </c>
      <c r="C3654" s="935" t="s">
        <v>3556</v>
      </c>
      <c r="D3654" s="1417">
        <v>46242.825868055559</v>
      </c>
      <c r="E3654" s="1235">
        <v>8.02</v>
      </c>
      <c r="F3654" s="654">
        <v>4.4999999999999998E-2</v>
      </c>
      <c r="G3654" s="1236">
        <f t="shared" si="120"/>
        <v>8.3979057591623043</v>
      </c>
      <c r="H3654" s="1232" t="s">
        <v>4313</v>
      </c>
      <c r="I3654" s="1217" t="s">
        <v>75</v>
      </c>
      <c r="J3654" s="1236">
        <v>1.42</v>
      </c>
      <c r="K3654" s="1236">
        <v>20</v>
      </c>
      <c r="L3654" s="1234">
        <f>INT(base[[#This Row],[Data de liquidação]])</f>
        <v>46242</v>
      </c>
      <c r="M3654" s="1236">
        <f>base[[#This Row],[L/P Bruto]]-base[[#This Row],[L/P Líquido]]</f>
        <v>0.37790575916230473</v>
      </c>
      <c r="N3654" s="1236">
        <f>base[[#This Row],[L/P Líquido]]/base[[#This Row],[Stake/Responsabilidade]]</f>
        <v>0.40099999999999997</v>
      </c>
      <c r="O3654" s="1238">
        <f>IF(base[[#This Row],[L/P Líquido]]&gt;0,1,0)</f>
        <v>1</v>
      </c>
      <c r="P3654" s="1238"/>
      <c r="Q3654" s="1238" t="str">
        <f>LEFT(base[[#This Row],[Evento / Mercado]],FIND("vs",base[[#This Row],[Evento / Mercado]])-2)</f>
        <v>Botafogo SP</v>
      </c>
      <c r="R3654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238" t="str">
        <f>LEFT(base[[#This Row],[Evento / Mercado]],FIND("/",base[[#This Row],[Evento / Mercado]])-2)</f>
        <v>Botafogo SP vs América-MG</v>
      </c>
      <c r="T3654" s="1420">
        <f>base[[#This Row],[Data de liquidação]]</f>
        <v>46242.825868055559</v>
      </c>
    </row>
    <row r="3655" spans="2:20" ht="15" customHeight="1">
      <c r="B3655" s="1233" t="s">
        <v>4320</v>
      </c>
      <c r="C3655" s="935" t="s">
        <v>3556</v>
      </c>
      <c r="D3655" s="1417">
        <v>46242.833923611113</v>
      </c>
      <c r="E3655" s="1235">
        <v>6.69</v>
      </c>
      <c r="F3655" s="654">
        <v>4.4999999999999998E-2</v>
      </c>
      <c r="G3655" s="1236">
        <f t="shared" si="120"/>
        <v>7.0052356020942419</v>
      </c>
      <c r="H3655" s="1232" t="s">
        <v>4313</v>
      </c>
      <c r="I3655" s="1217" t="s">
        <v>75</v>
      </c>
      <c r="J3655" s="1236">
        <v>1.35</v>
      </c>
      <c r="K3655" s="1236">
        <v>20</v>
      </c>
      <c r="L3655" s="1234">
        <f>INT(base[[#This Row],[Data de liquidação]])</f>
        <v>46242</v>
      </c>
      <c r="M3655" s="1236">
        <f>base[[#This Row],[L/P Bruto]]-base[[#This Row],[L/P Líquido]]</f>
        <v>0.31523560209424151</v>
      </c>
      <c r="N3655" s="1236">
        <f>base[[#This Row],[L/P Líquido]]/base[[#This Row],[Stake/Responsabilidade]]</f>
        <v>0.33450000000000002</v>
      </c>
      <c r="O3655" s="1238">
        <f>IF(base[[#This Row],[L/P Líquido]]&gt;0,1,0)</f>
        <v>1</v>
      </c>
      <c r="P3655" s="1238"/>
      <c r="Q3655" s="1238" t="str">
        <f>LEFT(base[[#This Row],[Evento / Mercado]],FIND("vs",base[[#This Row],[Evento / Mercado]])-2)</f>
        <v>Coquimbo Unido</v>
      </c>
      <c r="R3655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238" t="str">
        <f>LEFT(base[[#This Row],[Evento / Mercado]],FIND("/",base[[#This Row],[Evento / Mercado]])-2)</f>
        <v>Coquimbo Unido vs La Serena</v>
      </c>
      <c r="T3655" s="1420">
        <f>base[[#This Row],[Data de liquidação]]</f>
        <v>46242.833923611113</v>
      </c>
    </row>
    <row r="3656" spans="2:20" ht="15" customHeight="1">
      <c r="B3656" s="1233" t="s">
        <v>4319</v>
      </c>
      <c r="C3656" s="935" t="s">
        <v>3556</v>
      </c>
      <c r="D3656" s="1417">
        <v>46242.851793981485</v>
      </c>
      <c r="E3656" s="1235">
        <v>-25.17</v>
      </c>
      <c r="F3656" s="654">
        <v>4.4999999999999998E-2</v>
      </c>
      <c r="G3656" s="1236">
        <f t="shared" si="120"/>
        <v>-25.17</v>
      </c>
      <c r="H3656" s="1236" t="s">
        <v>3868</v>
      </c>
      <c r="I3656" s="1237" t="s">
        <v>694</v>
      </c>
      <c r="J3656" s="1236">
        <v>16.5</v>
      </c>
      <c r="K3656" s="1236">
        <v>600.01</v>
      </c>
      <c r="L3656" s="1234">
        <f>INT(base[[#This Row],[Data de liquidação]])</f>
        <v>46242</v>
      </c>
      <c r="M3656" s="1236">
        <f>base[[#This Row],[L/P Bruto]]-base[[#This Row],[L/P Líquido]]</f>
        <v>0</v>
      </c>
      <c r="N3656" s="1236">
        <f>base[[#This Row],[L/P Líquido]]/base[[#This Row],[Stake/Responsabilidade]]</f>
        <v>-4.1949300844985923E-2</v>
      </c>
      <c r="O3656" s="1238">
        <f>IF(base[[#This Row],[L/P Líquido]]&gt;0,1,0)</f>
        <v>0</v>
      </c>
      <c r="P3656" s="1238"/>
      <c r="Q3656" s="1238" t="str">
        <f>LEFT(base[[#This Row],[Evento / Mercado]],FIND("vs",base[[#This Row],[Evento / Mercado]])-2)</f>
        <v>Club 2 de Mayo</v>
      </c>
      <c r="R3656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238" t="str">
        <f>LEFT(base[[#This Row],[Evento / Mercado]],FIND("/",base[[#This Row],[Evento / Mercado]])-2)</f>
        <v>Club 2 de Mayo vs Club Olimpia</v>
      </c>
      <c r="T3656" s="1420">
        <f>base[[#This Row],[Data de liquidação]]</f>
        <v>46242.851793981485</v>
      </c>
    </row>
    <row r="3657" spans="2:20" ht="15" customHeight="1">
      <c r="B3657" s="1233" t="s">
        <v>4318</v>
      </c>
      <c r="C3657" s="935" t="s">
        <v>3556</v>
      </c>
      <c r="D3657" s="1417">
        <v>46242.917534722219</v>
      </c>
      <c r="E3657" s="1235">
        <v>-2</v>
      </c>
      <c r="F3657" s="654">
        <v>4.4999999999999998E-2</v>
      </c>
      <c r="G3657" s="1236">
        <f t="shared" si="120"/>
        <v>-2</v>
      </c>
      <c r="H3657" s="1236" t="s">
        <v>1666</v>
      </c>
      <c r="I3657" s="1237" t="s">
        <v>3333</v>
      </c>
      <c r="J3657" s="1236">
        <v>2.04</v>
      </c>
      <c r="K3657" s="1236">
        <v>2</v>
      </c>
      <c r="L3657" s="1234">
        <f>INT(base[[#This Row],[Data de liquidação]])</f>
        <v>46242</v>
      </c>
      <c r="M3657" s="1236">
        <f>base[[#This Row],[L/P Bruto]]-base[[#This Row],[L/P Líquido]]</f>
        <v>0</v>
      </c>
      <c r="N3657" s="1236">
        <f>base[[#This Row],[L/P Líquido]]/base[[#This Row],[Stake/Responsabilidade]]</f>
        <v>-1</v>
      </c>
      <c r="O3657" s="1238">
        <f>IF(base[[#This Row],[L/P Líquido]]&gt;0,1,0)</f>
        <v>0</v>
      </c>
      <c r="P3657" s="1238"/>
      <c r="Q3657" s="1238" t="str">
        <f>LEFT(base[[#This Row],[Evento / Mercado]],FIND("vs",base[[#This Row],[Evento / Mercado]])-2)</f>
        <v>Miami FC</v>
      </c>
      <c r="R365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238" t="str">
        <f>LEFT(base[[#This Row],[Evento / Mercado]],FIND("/",base[[#This Row],[Evento / Mercado]])-2)</f>
        <v>Miami FC vs Las Vegas Lights</v>
      </c>
      <c r="T3657" s="1420">
        <f>base[[#This Row],[Data de liquidação]]</f>
        <v>46242.917534722219</v>
      </c>
    </row>
    <row r="3658" spans="2:20" ht="15" customHeight="1">
      <c r="B3658" s="1233" t="s">
        <v>4317</v>
      </c>
      <c r="C3658" s="935" t="s">
        <v>3556</v>
      </c>
      <c r="D3658" s="1417">
        <v>46242.938622685186</v>
      </c>
      <c r="E3658" s="1235">
        <v>27.06</v>
      </c>
      <c r="F3658" s="654">
        <v>4.4999999999999998E-2</v>
      </c>
      <c r="G3658" s="1236">
        <f t="shared" si="120"/>
        <v>28.335078534031414</v>
      </c>
      <c r="H3658" s="1236" t="s">
        <v>3271</v>
      </c>
      <c r="I3658" s="1237" t="s">
        <v>627</v>
      </c>
      <c r="J3658" s="1236">
        <v>16</v>
      </c>
      <c r="K3658" s="1236">
        <v>424.95</v>
      </c>
      <c r="L3658" s="1234">
        <f>INT(base[[#This Row],[Data de liquidação]])</f>
        <v>46242</v>
      </c>
      <c r="M3658" s="1236">
        <f>base[[#This Row],[L/P Bruto]]-base[[#This Row],[L/P Líquido]]</f>
        <v>1.2750785340314152</v>
      </c>
      <c r="N3658" s="1236">
        <f>base[[#This Row],[L/P Líquido]]/base[[#This Row],[Stake/Responsabilidade]]</f>
        <v>6.3678079774091068E-2</v>
      </c>
      <c r="O3658" s="1238">
        <f>IF(base[[#This Row],[L/P Líquido]]&gt;0,1,0)</f>
        <v>1</v>
      </c>
      <c r="P3658" s="1238"/>
      <c r="Q3658" s="1238" t="str">
        <f>LEFT(base[[#This Row],[Evento / Mercado]],FIND("vs",base[[#This Row],[Evento / Mercado]])-2)</f>
        <v>Coritiba</v>
      </c>
      <c r="R365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238" t="str">
        <f>LEFT(base[[#This Row],[Evento / Mercado]],FIND("/",base[[#This Row],[Evento / Mercado]])-2)</f>
        <v>Coritiba vs Chapecoense</v>
      </c>
      <c r="T3658" s="1420">
        <f>base[[#This Row],[Data de liquidação]]</f>
        <v>46242.938622685186</v>
      </c>
    </row>
    <row r="3659" spans="2:20" ht="15" customHeight="1">
      <c r="B3659" s="1233" t="s">
        <v>4316</v>
      </c>
      <c r="C3659" s="935" t="s">
        <v>3556</v>
      </c>
      <c r="D3659" s="1417">
        <v>46242.960289351853</v>
      </c>
      <c r="E3659" s="1235">
        <v>8.7899999999999991</v>
      </c>
      <c r="F3659" s="654">
        <v>4.4999999999999998E-2</v>
      </c>
      <c r="G3659" s="1236">
        <f t="shared" si="120"/>
        <v>9.2041884816753914</v>
      </c>
      <c r="H3659" s="1232" t="s">
        <v>4313</v>
      </c>
      <c r="I3659" s="1217" t="s">
        <v>75</v>
      </c>
      <c r="J3659" s="1236">
        <v>1.46</v>
      </c>
      <c r="K3659" s="1236">
        <v>20</v>
      </c>
      <c r="L3659" s="1234">
        <f>INT(base[[#This Row],[Data de liquidação]])</f>
        <v>46242</v>
      </c>
      <c r="M3659" s="1236">
        <f>base[[#This Row],[L/P Bruto]]-base[[#This Row],[L/P Líquido]]</f>
        <v>0.41418848167539224</v>
      </c>
      <c r="N3659" s="1236">
        <f>base[[#This Row],[L/P Líquido]]/base[[#This Row],[Stake/Responsabilidade]]</f>
        <v>0.43949999999999995</v>
      </c>
      <c r="O3659" s="1238">
        <f>IF(base[[#This Row],[L/P Líquido]]&gt;0,1,0)</f>
        <v>1</v>
      </c>
      <c r="P3659" s="1238"/>
      <c r="Q3659" s="1238" t="str">
        <f>LEFT(base[[#This Row],[Evento / Mercado]],FIND("vs",base[[#This Row],[Evento / Mercado]])-2)</f>
        <v>Independiente</v>
      </c>
      <c r="R365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238" t="str">
        <f>LEFT(base[[#This Row],[Evento / Mercado]],FIND("/",base[[#This Row],[Evento / Mercado]])-2)</f>
        <v>Independiente vs Platense</v>
      </c>
      <c r="T3659" s="1420">
        <f>base[[#This Row],[Data de liquidação]]</f>
        <v>46242.960289351853</v>
      </c>
    </row>
    <row r="3660" spans="2:20" ht="15" customHeight="1">
      <c r="B3660" s="1233" t="s">
        <v>4315</v>
      </c>
      <c r="C3660" s="935" t="s">
        <v>3556</v>
      </c>
      <c r="D3660" s="1417">
        <v>46242.961747685185</v>
      </c>
      <c r="E3660" s="1235">
        <v>6.82</v>
      </c>
      <c r="F3660" s="654">
        <v>4.4999999999999998E-2</v>
      </c>
      <c r="G3660" s="1236">
        <f t="shared" si="120"/>
        <v>7.1413612565445028</v>
      </c>
      <c r="H3660" s="1236" t="s">
        <v>1666</v>
      </c>
      <c r="I3660" s="1237" t="s">
        <v>2950</v>
      </c>
      <c r="J3660" s="1236">
        <v>8</v>
      </c>
      <c r="K3660" s="1236">
        <v>49.98</v>
      </c>
      <c r="L3660" s="1234">
        <f>INT(base[[#This Row],[Data de liquidação]])</f>
        <v>46242</v>
      </c>
      <c r="M3660" s="1236">
        <f>base[[#This Row],[L/P Bruto]]-base[[#This Row],[L/P Líquido]]</f>
        <v>0.32136125654450254</v>
      </c>
      <c r="N3660" s="1236">
        <f>base[[#This Row],[L/P Líquido]]/base[[#This Row],[Stake/Responsabilidade]]</f>
        <v>0.1364545818327331</v>
      </c>
      <c r="O3660" s="1238">
        <f>IF(base[[#This Row],[L/P Líquido]]&gt;0,1,0)</f>
        <v>1</v>
      </c>
      <c r="P3660" s="1238"/>
      <c r="Q3660" s="1238" t="str">
        <f>LEFT(base[[#This Row],[Evento / Mercado]],FIND("vs",base[[#This Row],[Evento / Mercado]])-2)</f>
        <v>FC Supra du Quebec</v>
      </c>
      <c r="R366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238" t="str">
        <f>LEFT(base[[#This Row],[Evento / Mercado]],FIND("/",base[[#This Row],[Evento / Mercado]])-2)</f>
        <v>FC Supra du Quebec vs Cavalry</v>
      </c>
      <c r="T3660" s="1420">
        <f>base[[#This Row],[Data de liquidação]]</f>
        <v>46242.961747685185</v>
      </c>
    </row>
    <row r="3661" spans="2:20" ht="15" customHeight="1">
      <c r="B3661" s="1233" t="s">
        <v>4314</v>
      </c>
      <c r="C3661" s="935" t="s">
        <v>3556</v>
      </c>
      <c r="D3661" s="1417">
        <v>46242.964386574073</v>
      </c>
      <c r="E3661" s="1235">
        <v>8.02</v>
      </c>
      <c r="F3661" s="654">
        <v>4.4999999999999998E-2</v>
      </c>
      <c r="G3661" s="1236">
        <f t="shared" si="120"/>
        <v>8.3979057591623043</v>
      </c>
      <c r="H3661" s="1232" t="s">
        <v>4313</v>
      </c>
      <c r="I3661" s="1217" t="s">
        <v>75</v>
      </c>
      <c r="J3661" s="1236">
        <v>1.42</v>
      </c>
      <c r="K3661" s="1236">
        <v>20</v>
      </c>
      <c r="L3661" s="1234">
        <f>INT(base[[#This Row],[Data de liquidação]])</f>
        <v>46242</v>
      </c>
      <c r="M3661" s="1236">
        <f>base[[#This Row],[L/P Bruto]]-base[[#This Row],[L/P Líquido]]</f>
        <v>0.37790575916230473</v>
      </c>
      <c r="N3661" s="1236">
        <f>base[[#This Row],[L/P Líquido]]/base[[#This Row],[Stake/Responsabilidade]]</f>
        <v>0.40099999999999997</v>
      </c>
      <c r="O3661" s="1238">
        <f>IF(base[[#This Row],[L/P Líquido]]&gt;0,1,0)</f>
        <v>1</v>
      </c>
      <c r="P3661" s="1238"/>
      <c r="Q3661" s="1238" t="str">
        <f>LEFT(base[[#This Row],[Evento / Mercado]],FIND("vs",base[[#This Row],[Evento / Mercado]])-2)</f>
        <v>Instituto de Córdoba</v>
      </c>
      <c r="R366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238" t="str">
        <f>LEFT(base[[#This Row],[Evento / Mercado]],FIND("/",base[[#This Row],[Evento / Mercado]])-2)</f>
        <v>Instituto de Córdoba vs Gimnasia y Esgrima de Mendoza</v>
      </c>
      <c r="T3661" s="1420">
        <f>base[[#This Row],[Data de liquidação]]</f>
        <v>46242.964386574073</v>
      </c>
    </row>
    <row r="3662" spans="2:20" ht="15" customHeight="1">
      <c r="B3662" s="1244" t="s">
        <v>4366</v>
      </c>
      <c r="C3662" s="935" t="s">
        <v>3556</v>
      </c>
      <c r="D3662" s="1418">
        <v>46243.435914351852</v>
      </c>
      <c r="E3662" s="1246">
        <v>0.86</v>
      </c>
      <c r="F3662" s="654">
        <v>4.4999999999999998E-2</v>
      </c>
      <c r="G3662" s="1247">
        <f t="shared" ref="G3662:G3690" si="121">IF(E3662&gt;0,E3662/(1-F3662),E3662)</f>
        <v>0.90052356020942415</v>
      </c>
      <c r="H3662" s="1247" t="s">
        <v>1666</v>
      </c>
      <c r="I3662" s="1248" t="s">
        <v>3333</v>
      </c>
      <c r="J3662" s="1247">
        <v>1.45</v>
      </c>
      <c r="K3662" s="1247">
        <v>2</v>
      </c>
      <c r="L3662" s="1245">
        <f>INT(base[[#This Row],[Data de liquidação]])</f>
        <v>46243</v>
      </c>
      <c r="M3662" s="1247">
        <f>base[[#This Row],[L/P Bruto]]-base[[#This Row],[L/P Líquido]]</f>
        <v>4.0523560209424159E-2</v>
      </c>
      <c r="N3662" s="1247">
        <f>base[[#This Row],[L/P Líquido]]/base[[#This Row],[Stake/Responsabilidade]]</f>
        <v>0.43</v>
      </c>
      <c r="O3662" s="1249">
        <f>IF(base[[#This Row],[L/P Líquido]]&gt;0,1,0)</f>
        <v>1</v>
      </c>
      <c r="P3662" s="1249"/>
      <c r="Q3662" s="1249" t="str">
        <f>LEFT(base[[#This Row],[Evento / Mercado]],FIND("vs",base[[#This Row],[Evento / Mercado]])-2)</f>
        <v>Malmö FF</v>
      </c>
      <c r="R3662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249" t="str">
        <f>LEFT(base[[#This Row],[Evento / Mercado]],FIND("/",base[[#This Row],[Evento / Mercado]])-2)</f>
        <v>Malmö FF vs Degerfors IF</v>
      </c>
      <c r="T3662" s="1420">
        <f>base[[#This Row],[Data de liquidação]]</f>
        <v>46243.435914351852</v>
      </c>
    </row>
    <row r="3663" spans="2:20" ht="15" customHeight="1">
      <c r="B3663" s="1244" t="s">
        <v>4365</v>
      </c>
      <c r="C3663" s="935" t="s">
        <v>3556</v>
      </c>
      <c r="D3663" s="1418">
        <v>46243.443298611113</v>
      </c>
      <c r="E3663" s="1246">
        <v>6.69</v>
      </c>
      <c r="F3663" s="654">
        <v>4.4999999999999998E-2</v>
      </c>
      <c r="G3663" s="1247">
        <f t="shared" si="121"/>
        <v>7.0052356020942419</v>
      </c>
      <c r="H3663" s="1232" t="s">
        <v>4313</v>
      </c>
      <c r="I3663" s="1217" t="s">
        <v>75</v>
      </c>
      <c r="J3663" s="1247">
        <v>1.35</v>
      </c>
      <c r="K3663" s="1247">
        <v>20</v>
      </c>
      <c r="L3663" s="1245">
        <f>INT(base[[#This Row],[Data de liquidação]])</f>
        <v>46243</v>
      </c>
      <c r="M3663" s="1247">
        <f>base[[#This Row],[L/P Bruto]]-base[[#This Row],[L/P Líquido]]</f>
        <v>0.31523560209424151</v>
      </c>
      <c r="N3663" s="1247">
        <f>base[[#This Row],[L/P Líquido]]/base[[#This Row],[Stake/Responsabilidade]]</f>
        <v>0.33450000000000002</v>
      </c>
      <c r="O3663" s="1249">
        <f>IF(base[[#This Row],[L/P Líquido]]&gt;0,1,0)</f>
        <v>1</v>
      </c>
      <c r="P3663" s="1249"/>
      <c r="Q3663" s="1249" t="str">
        <f>LEFT(base[[#This Row],[Evento / Mercado]],FIND("vs",base[[#This Row],[Evento / Mercado]])-2)</f>
        <v>Shandong Taishan</v>
      </c>
      <c r="R3663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249" t="str">
        <f>LEFT(base[[#This Row],[Evento / Mercado]],FIND("/",base[[#This Row],[Evento / Mercado]])-2)</f>
        <v>Shandong Taishan vs Tianjin Jinmenhu</v>
      </c>
      <c r="T3663" s="1420">
        <f>base[[#This Row],[Data de liquidação]]</f>
        <v>46243.443298611113</v>
      </c>
    </row>
    <row r="3664" spans="2:20" ht="15" customHeight="1">
      <c r="B3664" s="1244" t="s">
        <v>4364</v>
      </c>
      <c r="C3664" s="935" t="s">
        <v>3556</v>
      </c>
      <c r="D3664" s="1418">
        <v>46243.452037037037</v>
      </c>
      <c r="E3664" s="1246">
        <v>10.53</v>
      </c>
      <c r="F3664" s="654">
        <v>4.4999999999999998E-2</v>
      </c>
      <c r="G3664" s="1247">
        <f t="shared" si="121"/>
        <v>11.026178010471204</v>
      </c>
      <c r="H3664" s="1247" t="s">
        <v>3334</v>
      </c>
      <c r="I3664" s="1248" t="s">
        <v>627</v>
      </c>
      <c r="J3664" s="1247">
        <v>40</v>
      </c>
      <c r="K3664" s="1247">
        <v>430.17</v>
      </c>
      <c r="L3664" s="1245">
        <f>INT(base[[#This Row],[Data de liquidação]])</f>
        <v>46243</v>
      </c>
      <c r="M3664" s="1247">
        <f>base[[#This Row],[L/P Bruto]]-base[[#This Row],[L/P Líquido]]</f>
        <v>0.4961780104712048</v>
      </c>
      <c r="N3664" s="1247">
        <f>base[[#This Row],[L/P Líquido]]/base[[#This Row],[Stake/Responsabilidade]]</f>
        <v>2.4478694469628283E-2</v>
      </c>
      <c r="O3664" s="1249">
        <f>IF(base[[#This Row],[L/P Líquido]]&gt;0,1,0)</f>
        <v>1</v>
      </c>
      <c r="P3664" s="1249"/>
      <c r="Q3664" s="1249" t="str">
        <f>LEFT(base[[#This Row],[Evento / Mercado]],FIND("vs",base[[#This Row],[Evento / Mercado]])-2)</f>
        <v>Hammarby IF</v>
      </c>
      <c r="R3664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249" t="str">
        <f>LEFT(base[[#This Row],[Evento / Mercado]],FIND("/",base[[#This Row],[Evento / Mercado]])-2)</f>
        <v>Hammarby IF vs BK Häcken</v>
      </c>
      <c r="T3664" s="1420">
        <f>base[[#This Row],[Data de liquidação]]</f>
        <v>46243.452037037037</v>
      </c>
    </row>
    <row r="3665" spans="2:20" ht="15" customHeight="1">
      <c r="B3665" s="1244" t="s">
        <v>4363</v>
      </c>
      <c r="C3665" s="935" t="s">
        <v>3556</v>
      </c>
      <c r="D3665" s="1418">
        <v>46243.453449074077</v>
      </c>
      <c r="E3665" s="1246">
        <v>-70.64</v>
      </c>
      <c r="F3665" s="654">
        <v>4.4999999999999998E-2</v>
      </c>
      <c r="G3665" s="1247">
        <f t="shared" si="121"/>
        <v>-70.64</v>
      </c>
      <c r="H3665" s="1247" t="s">
        <v>3868</v>
      </c>
      <c r="I3665" s="1248" t="s">
        <v>627</v>
      </c>
      <c r="J3665" s="1247">
        <v>26</v>
      </c>
      <c r="K3665" s="1247">
        <v>600</v>
      </c>
      <c r="L3665" s="1245">
        <f>INT(base[[#This Row],[Data de liquidação]])</f>
        <v>46243</v>
      </c>
      <c r="M3665" s="1247">
        <f>base[[#This Row],[L/P Bruto]]-base[[#This Row],[L/P Líquido]]</f>
        <v>0</v>
      </c>
      <c r="N3665" s="1247">
        <f>base[[#This Row],[L/P Líquido]]/base[[#This Row],[Stake/Responsabilidade]]</f>
        <v>-0.11773333333333333</v>
      </c>
      <c r="O3665" s="1249">
        <f>IF(base[[#This Row],[L/P Líquido]]&gt;0,1,0)</f>
        <v>0</v>
      </c>
      <c r="P3665" s="1249"/>
      <c r="Q3665" s="1249" t="str">
        <f>LEFT(base[[#This Row],[Evento / Mercado]],FIND("vs",base[[#This Row],[Evento / Mercado]])-2)</f>
        <v>Malmö FF</v>
      </c>
      <c r="R3665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249" t="str">
        <f>LEFT(base[[#This Row],[Evento / Mercado]],FIND("/",base[[#This Row],[Evento / Mercado]])-2)</f>
        <v>Malmö FF vs Degerfors IF</v>
      </c>
      <c r="T3665" s="1420">
        <f>base[[#This Row],[Data de liquidação]]</f>
        <v>46243.453449074077</v>
      </c>
    </row>
    <row r="3666" spans="2:20" ht="15" customHeight="1">
      <c r="B3666" s="1244" t="s">
        <v>4362</v>
      </c>
      <c r="C3666" s="935" t="s">
        <v>3556</v>
      </c>
      <c r="D3666" s="1418">
        <v>46243.473298611112</v>
      </c>
      <c r="E3666" s="1246">
        <v>4.97</v>
      </c>
      <c r="F3666" s="654">
        <v>4.4999999999999998E-2</v>
      </c>
      <c r="G3666" s="1247">
        <f t="shared" si="121"/>
        <v>5.2041884816753923</v>
      </c>
      <c r="H3666" s="1232" t="s">
        <v>4313</v>
      </c>
      <c r="I3666" s="1248" t="s">
        <v>13</v>
      </c>
      <c r="J3666" s="1247">
        <v>1.26</v>
      </c>
      <c r="K3666" s="1247">
        <v>20</v>
      </c>
      <c r="L3666" s="1245">
        <f>INT(base[[#This Row],[Data de liquidação]])</f>
        <v>46243</v>
      </c>
      <c r="M3666" s="1247">
        <f>base[[#This Row],[L/P Bruto]]-base[[#This Row],[L/P Líquido]]</f>
        <v>0.23418848167539252</v>
      </c>
      <c r="N3666" s="1247">
        <f>base[[#This Row],[L/P Líquido]]/base[[#This Row],[Stake/Responsabilidade]]</f>
        <v>0.2485</v>
      </c>
      <c r="O3666" s="1249">
        <f>IF(base[[#This Row],[L/P Líquido]]&gt;0,1,0)</f>
        <v>1</v>
      </c>
      <c r="P3666" s="1249"/>
      <c r="Q3666" s="1249" t="str">
        <f>LEFT(base[[#This Row],[Evento / Mercado]],FIND("vs",base[[#This Row],[Evento / Mercado]])-2)</f>
        <v>Lillestrøm SK</v>
      </c>
      <c r="R3666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249" t="str">
        <f>LEFT(base[[#This Row],[Evento / Mercado]],FIND("/",base[[#This Row],[Evento / Mercado]])-2)</f>
        <v>Lillestrøm SK vs Rosenborg BK</v>
      </c>
      <c r="T3666" s="1420">
        <f>base[[#This Row],[Data de liquidação]]</f>
        <v>46243.473298611112</v>
      </c>
    </row>
    <row r="3667" spans="2:20" ht="15" customHeight="1">
      <c r="B3667" s="1244" t="s">
        <v>4361</v>
      </c>
      <c r="C3667" s="935" t="s">
        <v>3556</v>
      </c>
      <c r="D3667" s="1418">
        <v>46243.479189814818</v>
      </c>
      <c r="E3667" s="1246">
        <v>112.13</v>
      </c>
      <c r="F3667" s="654">
        <v>4.4999999999999998E-2</v>
      </c>
      <c r="G3667" s="1247">
        <f t="shared" si="121"/>
        <v>117.41361256544502</v>
      </c>
      <c r="H3667" s="1247" t="s">
        <v>314</v>
      </c>
      <c r="I3667" s="1248" t="s">
        <v>349</v>
      </c>
      <c r="J3667" s="1247">
        <v>1.98</v>
      </c>
      <c r="K3667" s="1247">
        <v>119.81</v>
      </c>
      <c r="L3667" s="1245">
        <f>INT(base[[#This Row],[Data de liquidação]])</f>
        <v>46243</v>
      </c>
      <c r="M3667" s="1247">
        <f>base[[#This Row],[L/P Bruto]]-base[[#This Row],[L/P Líquido]]</f>
        <v>5.2836125654450257</v>
      </c>
      <c r="N3667" s="1247">
        <f>base[[#This Row],[L/P Líquido]]/base[[#This Row],[Stake/Responsabilidade]]</f>
        <v>0.93589850596778223</v>
      </c>
      <c r="O3667" s="1249">
        <f>IF(base[[#This Row],[L/P Líquido]]&gt;0,1,0)</f>
        <v>1</v>
      </c>
      <c r="P3667" s="1249"/>
      <c r="Q3667" s="1249" t="str">
        <f>LEFT(base[[#This Row],[Evento / Mercado]],FIND("vs",base[[#This Row],[Evento / Mercado]])-2)</f>
        <v>Cruzeiro</v>
      </c>
      <c r="R3667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249" t="str">
        <f>LEFT(base[[#This Row],[Evento / Mercado]],FIND("/",base[[#This Row],[Evento / Mercado]])-2)</f>
        <v>Cruzeiro vs Mirassol FC</v>
      </c>
      <c r="T3667" s="1420">
        <f>base[[#This Row],[Data de liquidação]]</f>
        <v>46243.479189814818</v>
      </c>
    </row>
    <row r="3668" spans="2:20" ht="15" customHeight="1">
      <c r="B3668" s="1244" t="s">
        <v>4360</v>
      </c>
      <c r="C3668" s="935" t="s">
        <v>3556</v>
      </c>
      <c r="D3668" s="1418">
        <v>46243.493993055556</v>
      </c>
      <c r="E3668" s="1246">
        <v>70.98</v>
      </c>
      <c r="F3668" s="654">
        <v>4.4999999999999998E-2</v>
      </c>
      <c r="G3668" s="1247">
        <f t="shared" si="121"/>
        <v>74.324607329842934</v>
      </c>
      <c r="H3668" s="1247" t="s">
        <v>3330</v>
      </c>
      <c r="I3668" s="1248" t="s">
        <v>4367</v>
      </c>
      <c r="J3668" s="1247">
        <f>(2.96*123.73+5.1*124.8)/base[[#This Row],[Stake/Responsabilidade]]</f>
        <v>4.0347690326734265</v>
      </c>
      <c r="K3668" s="1247">
        <f>123.72+124.8</f>
        <v>248.51999999999998</v>
      </c>
      <c r="L3668" s="1245">
        <f>INT(base[[#This Row],[Data de liquidação]])</f>
        <v>46243</v>
      </c>
      <c r="M3668" s="1247">
        <f>base[[#This Row],[L/P Bruto]]-base[[#This Row],[L/P Líquido]]</f>
        <v>3.3446073298429297</v>
      </c>
      <c r="N3668" s="1247">
        <f>base[[#This Row],[L/P Líquido]]/base[[#This Row],[Stake/Responsabilidade]]</f>
        <v>0.28561081603090299</v>
      </c>
      <c r="O3668" s="1249">
        <f>IF(base[[#This Row],[L/P Líquido]]&gt;0,1,0)</f>
        <v>1</v>
      </c>
      <c r="P3668" s="1249"/>
      <c r="Q3668" s="1249" t="str">
        <f>LEFT(base[[#This Row],[Evento / Mercado]],FIND("vs",base[[#This Row],[Evento / Mercado]])-2)</f>
        <v>FC Fredericia</v>
      </c>
      <c r="R3668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249" t="str">
        <f>LEFT(base[[#This Row],[Evento / Mercado]],FIND("/",base[[#This Row],[Evento / Mercado]])-2)</f>
        <v>FC Fredericia vs Vendsyssel FF</v>
      </c>
      <c r="T3668" s="1420">
        <f>base[[#This Row],[Data de liquidação]]</f>
        <v>46243.493993055556</v>
      </c>
    </row>
    <row r="3669" spans="2:20" ht="15" customHeight="1">
      <c r="B3669" s="1244" t="s">
        <v>4359</v>
      </c>
      <c r="C3669" s="935" t="s">
        <v>3556</v>
      </c>
      <c r="D3669" s="1418">
        <v>46243.494849537034</v>
      </c>
      <c r="E3669" s="1246">
        <v>-450.01</v>
      </c>
      <c r="F3669" s="654">
        <v>4.4999999999999998E-2</v>
      </c>
      <c r="G3669" s="1247">
        <f t="shared" si="121"/>
        <v>-450.01</v>
      </c>
      <c r="H3669" s="1247" t="s">
        <v>3271</v>
      </c>
      <c r="I3669" s="1248" t="s">
        <v>627</v>
      </c>
      <c r="J3669" s="1247">
        <v>6.2</v>
      </c>
      <c r="K3669" s="1247">
        <v>450.01</v>
      </c>
      <c r="L3669" s="1245">
        <f>INT(base[[#This Row],[Data de liquidação]])</f>
        <v>46243</v>
      </c>
      <c r="M3669" s="1247">
        <f>base[[#This Row],[L/P Bruto]]-base[[#This Row],[L/P Líquido]]</f>
        <v>0</v>
      </c>
      <c r="N3669" s="1247">
        <f>base[[#This Row],[L/P Líquido]]/base[[#This Row],[Stake/Responsabilidade]]</f>
        <v>-1</v>
      </c>
      <c r="O3669" s="1249">
        <f>IF(base[[#This Row],[L/P Líquido]]&gt;0,1,0)</f>
        <v>0</v>
      </c>
      <c r="P3669" s="1249"/>
      <c r="Q3669" s="1249" t="str">
        <f>LEFT(base[[#This Row],[Evento / Mercado]],FIND("vs",base[[#This Row],[Evento / Mercado]])-2)</f>
        <v>Varbergs BoIS</v>
      </c>
      <c r="R3669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249" t="str">
        <f>LEFT(base[[#This Row],[Evento / Mercado]],FIND("/",base[[#This Row],[Evento / Mercado]])-2)</f>
        <v>Varbergs BoIS vs Sandvikens IF</v>
      </c>
      <c r="T3669" s="1420">
        <f>base[[#This Row],[Data de liquidação]]</f>
        <v>46243.494849537034</v>
      </c>
    </row>
    <row r="3670" spans="2:20" ht="15" customHeight="1">
      <c r="B3670" s="1244" t="s">
        <v>4358</v>
      </c>
      <c r="C3670" s="935" t="s">
        <v>3556</v>
      </c>
      <c r="D3670" s="1418">
        <v>46243.495069444441</v>
      </c>
      <c r="E3670" s="1246">
        <v>-450</v>
      </c>
      <c r="F3670" s="654">
        <v>4.4999999999999998E-2</v>
      </c>
      <c r="G3670" s="1247">
        <f t="shared" si="121"/>
        <v>-450</v>
      </c>
      <c r="H3670" s="1247" t="s">
        <v>179</v>
      </c>
      <c r="I3670" s="1248" t="s">
        <v>392</v>
      </c>
      <c r="J3670" s="1247">
        <v>4</v>
      </c>
      <c r="K3670" s="1247">
        <v>450</v>
      </c>
      <c r="L3670" s="1245">
        <f>INT(base[[#This Row],[Data de liquidação]])</f>
        <v>46243</v>
      </c>
      <c r="M3670" s="1247">
        <f>base[[#This Row],[L/P Bruto]]-base[[#This Row],[L/P Líquido]]</f>
        <v>0</v>
      </c>
      <c r="N3670" s="1247">
        <f>base[[#This Row],[L/P Líquido]]/base[[#This Row],[Stake/Responsabilidade]]</f>
        <v>-1</v>
      </c>
      <c r="O3670" s="1249">
        <f>IF(base[[#This Row],[L/P Líquido]]&gt;0,1,0)</f>
        <v>0</v>
      </c>
      <c r="P3670" s="1249"/>
      <c r="Q3670" s="1249" t="str">
        <f>LEFT(base[[#This Row],[Evento / Mercado]],FIND("vs",base[[#This Row],[Evento / Mercado]])-2)</f>
        <v>Varbergs BoIS</v>
      </c>
      <c r="R3670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249" t="str">
        <f>LEFT(base[[#This Row],[Evento / Mercado]],FIND("/",base[[#This Row],[Evento / Mercado]])-2)</f>
        <v>Varbergs BoIS vs Sandvikens IF</v>
      </c>
      <c r="T3670" s="1420">
        <f>base[[#This Row],[Data de liquidação]]</f>
        <v>46243.495069444441</v>
      </c>
    </row>
    <row r="3671" spans="2:20" ht="15" customHeight="1">
      <c r="B3671" s="1244" t="s">
        <v>4358</v>
      </c>
      <c r="C3671" s="1244" t="s">
        <v>3555</v>
      </c>
      <c r="D3671" s="1418">
        <v>46243.495069444441</v>
      </c>
      <c r="E3671" s="1246">
        <v>-250</v>
      </c>
      <c r="F3671" s="654">
        <v>4.4999999999999998E-2</v>
      </c>
      <c r="G3671" s="1247">
        <f t="shared" si="121"/>
        <v>-250</v>
      </c>
      <c r="H3671" s="1247" t="s">
        <v>3330</v>
      </c>
      <c r="I3671" s="1248" t="s">
        <v>4367</v>
      </c>
      <c r="J3671" s="1247">
        <f>(1.94+4)/2</f>
        <v>2.9699999999999998</v>
      </c>
      <c r="K3671" s="1247">
        <v>250</v>
      </c>
      <c r="L3671" s="1245">
        <f>INT(base[[#This Row],[Data de liquidação]])</f>
        <v>46243</v>
      </c>
      <c r="M3671" s="1247">
        <f>base[[#This Row],[L/P Bruto]]-base[[#This Row],[L/P Líquido]]</f>
        <v>0</v>
      </c>
      <c r="N3671" s="1247">
        <f>base[[#This Row],[L/P Líquido]]/base[[#This Row],[Stake/Responsabilidade]]</f>
        <v>-1</v>
      </c>
      <c r="O3671" s="1249">
        <f>IF(base[[#This Row],[L/P Líquido]]&gt;0,1,0)</f>
        <v>0</v>
      </c>
      <c r="P3671" s="1249"/>
      <c r="Q3671" s="1249" t="str">
        <f>LEFT(base[[#This Row],[Evento / Mercado]],FIND("vs",base[[#This Row],[Evento / Mercado]])-2)</f>
        <v>Varbergs BoIS</v>
      </c>
      <c r="R3671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249" t="str">
        <f>LEFT(base[[#This Row],[Evento / Mercado]],FIND("/",base[[#This Row],[Evento / Mercado]])-2)</f>
        <v>Varbergs BoIS vs Sandvikens IF</v>
      </c>
      <c r="T3671" s="1420">
        <f>base[[#This Row],[Data de liquidação]]</f>
        <v>46243.495069444441</v>
      </c>
    </row>
    <row r="3672" spans="2:20" ht="15" customHeight="1">
      <c r="B3672" s="1244" t="s">
        <v>4357</v>
      </c>
      <c r="C3672" s="935" t="s">
        <v>3556</v>
      </c>
      <c r="D3672" s="1418">
        <v>46243.577696759261</v>
      </c>
      <c r="E3672" s="1246">
        <v>7.12</v>
      </c>
      <c r="F3672" s="654">
        <v>4.4999999999999998E-2</v>
      </c>
      <c r="G3672" s="1247">
        <f t="shared" si="121"/>
        <v>7.4554973821989536</v>
      </c>
      <c r="H3672" s="1247" t="s">
        <v>3334</v>
      </c>
      <c r="I3672" s="1248" t="s">
        <v>627</v>
      </c>
      <c r="J3672" s="1247">
        <v>60</v>
      </c>
      <c r="K3672" s="1247">
        <v>440.14</v>
      </c>
      <c r="L3672" s="1245">
        <f>INT(base[[#This Row],[Data de liquidação]])</f>
        <v>46243</v>
      </c>
      <c r="M3672" s="1247">
        <f>base[[#This Row],[L/P Bruto]]-base[[#This Row],[L/P Líquido]]</f>
        <v>0.33549738219895353</v>
      </c>
      <c r="N3672" s="1247">
        <f>base[[#This Row],[L/P Líquido]]/base[[#This Row],[Stake/Responsabilidade]]</f>
        <v>1.6176671059208433E-2</v>
      </c>
      <c r="O3672" s="1249">
        <f>IF(base[[#This Row],[L/P Líquido]]&gt;0,1,0)</f>
        <v>1</v>
      </c>
      <c r="P3672" s="1249"/>
      <c r="Q3672" s="1249" t="str">
        <f>LEFT(base[[#This Row],[Evento / Mercado]],FIND("vs",base[[#This Row],[Evento / Mercado]])-2)</f>
        <v>Strømsgodset</v>
      </c>
      <c r="R3672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249" t="str">
        <f>LEFT(base[[#This Row],[Evento / Mercado]],FIND("/",base[[#This Row],[Evento / Mercado]])-2)</f>
        <v>Strømsgodset vs Egersund</v>
      </c>
      <c r="T3672" s="1420">
        <f>base[[#This Row],[Data de liquidação]]</f>
        <v>46243.577696759261</v>
      </c>
    </row>
    <row r="3673" spans="2:20" ht="15" customHeight="1">
      <c r="B3673" s="1244" t="s">
        <v>4356</v>
      </c>
      <c r="C3673" s="935" t="s">
        <v>3556</v>
      </c>
      <c r="D3673" s="1418">
        <v>46243.579097222224</v>
      </c>
      <c r="E3673" s="1246">
        <v>46.58</v>
      </c>
      <c r="F3673" s="654">
        <v>4.4999999999999998E-2</v>
      </c>
      <c r="G3673" s="1247">
        <f t="shared" si="121"/>
        <v>48.774869109947645</v>
      </c>
      <c r="H3673" s="1247" t="s">
        <v>179</v>
      </c>
      <c r="I3673" s="1248" t="s">
        <v>392</v>
      </c>
      <c r="J3673" s="1247">
        <v>9.1999999999999993</v>
      </c>
      <c r="K3673" s="1247">
        <v>400</v>
      </c>
      <c r="L3673" s="1245">
        <f>INT(base[[#This Row],[Data de liquidação]])</f>
        <v>46243</v>
      </c>
      <c r="M3673" s="1247">
        <f>base[[#This Row],[L/P Bruto]]-base[[#This Row],[L/P Líquido]]</f>
        <v>2.1948691099476463</v>
      </c>
      <c r="N3673" s="1247">
        <f>base[[#This Row],[L/P Líquido]]/base[[#This Row],[Stake/Responsabilidade]]</f>
        <v>0.11645</v>
      </c>
      <c r="O3673" s="1249">
        <f>IF(base[[#This Row],[L/P Líquido]]&gt;0,1,0)</f>
        <v>1</v>
      </c>
      <c r="P3673" s="1249"/>
      <c r="Q3673" s="1249" t="str">
        <f>LEFT(base[[#This Row],[Evento / Mercado]],FIND("vs",base[[#This Row],[Evento / Mercado]])-2)</f>
        <v>Haugesund</v>
      </c>
      <c r="R3673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249" t="str">
        <f>LEFT(base[[#This Row],[Evento / Mercado]],FIND("/",base[[#This Row],[Evento / Mercado]])-2)</f>
        <v>Haugesund vs Raufoss</v>
      </c>
      <c r="T3673" s="1420">
        <f>base[[#This Row],[Data de liquidação]]</f>
        <v>46243.579097222224</v>
      </c>
    </row>
    <row r="3674" spans="2:20" ht="15" customHeight="1">
      <c r="B3674" s="1244" t="s">
        <v>4355</v>
      </c>
      <c r="C3674" s="935" t="s">
        <v>3556</v>
      </c>
      <c r="D3674" s="1418">
        <v>46243.58</v>
      </c>
      <c r="E3674" s="1246">
        <v>80.84</v>
      </c>
      <c r="F3674" s="654">
        <v>4.4999999999999998E-2</v>
      </c>
      <c r="G3674" s="1247">
        <f t="shared" si="121"/>
        <v>84.649214659685867</v>
      </c>
      <c r="H3674" s="1247" t="s">
        <v>3330</v>
      </c>
      <c r="I3674" s="1248" t="s">
        <v>4367</v>
      </c>
      <c r="J3674" s="1247">
        <f>(3.45+1.77)/2</f>
        <v>2.6100000000000003</v>
      </c>
      <c r="K3674" s="1247">
        <v>250</v>
      </c>
      <c r="L3674" s="1245">
        <f>INT(base[[#This Row],[Data de liquidação]])</f>
        <v>46243</v>
      </c>
      <c r="M3674" s="1247">
        <f>base[[#This Row],[L/P Bruto]]-base[[#This Row],[L/P Líquido]]</f>
        <v>3.809214659685864</v>
      </c>
      <c r="N3674" s="1247">
        <f>base[[#This Row],[L/P Líquido]]/base[[#This Row],[Stake/Responsabilidade]]</f>
        <v>0.32336000000000004</v>
      </c>
      <c r="O3674" s="1249">
        <f>IF(base[[#This Row],[L/P Líquido]]&gt;0,1,0)</f>
        <v>1</v>
      </c>
      <c r="P3674" s="1249"/>
      <c r="Q3674" s="1249" t="str">
        <f>LEFT(base[[#This Row],[Evento / Mercado]],FIND("vs",base[[#This Row],[Evento / Mercado]])-2)</f>
        <v>Hamarkameratene</v>
      </c>
      <c r="R3674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249" t="str">
        <f>LEFT(base[[#This Row],[Evento / Mercado]],FIND("/",base[[#This Row],[Evento / Mercado]])-2)</f>
        <v>Hamarkameratene vs Aalesunds FK</v>
      </c>
      <c r="T3674" s="1420">
        <f>base[[#This Row],[Data de liquidação]]</f>
        <v>46243.58</v>
      </c>
    </row>
    <row r="3675" spans="2:20" ht="15" customHeight="1">
      <c r="B3675" s="1244" t="s">
        <v>4354</v>
      </c>
      <c r="C3675" s="935" t="s">
        <v>3556</v>
      </c>
      <c r="D3675" s="1418">
        <v>46243.600393518522</v>
      </c>
      <c r="E3675" s="1246">
        <v>6.37</v>
      </c>
      <c r="F3675" s="654">
        <v>4.4999999999999998E-2</v>
      </c>
      <c r="G3675" s="1247">
        <f t="shared" si="121"/>
        <v>6.6701570680628279</v>
      </c>
      <c r="H3675" s="1247" t="s">
        <v>1666</v>
      </c>
      <c r="I3675" s="1248" t="s">
        <v>1759</v>
      </c>
      <c r="J3675" s="1247">
        <v>19</v>
      </c>
      <c r="K3675" s="1247">
        <v>120.06</v>
      </c>
      <c r="L3675" s="1245">
        <f>INT(base[[#This Row],[Data de liquidação]])</f>
        <v>46243</v>
      </c>
      <c r="M3675" s="1247">
        <f>base[[#This Row],[L/P Bruto]]-base[[#This Row],[L/P Líquido]]</f>
        <v>0.30015706806282783</v>
      </c>
      <c r="N3675" s="1247">
        <f>base[[#This Row],[L/P Líquido]]/base[[#This Row],[Stake/Responsabilidade]]</f>
        <v>5.3056804930867903E-2</v>
      </c>
      <c r="O3675" s="1249">
        <f>IF(base[[#This Row],[L/P Líquido]]&gt;0,1,0)</f>
        <v>1</v>
      </c>
      <c r="P3675" s="1249"/>
      <c r="Q3675" s="1249" t="str">
        <f>LEFT(base[[#This Row],[Evento / Mercado]],FIND("vs",base[[#This Row],[Evento / Mercado]])-2)</f>
        <v>Debreceni VSC</v>
      </c>
      <c r="R3675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249" t="str">
        <f>LEFT(base[[#This Row],[Evento / Mercado]],FIND("/",base[[#This Row],[Evento / Mercado]])-2)</f>
        <v>Debreceni VSC vs Nyíregyháza Spartacus</v>
      </c>
      <c r="T3675" s="1420">
        <f>base[[#This Row],[Data de liquidação]]</f>
        <v>46243.600393518522</v>
      </c>
    </row>
    <row r="3676" spans="2:20" ht="15" customHeight="1">
      <c r="B3676" s="1244" t="s">
        <v>4353</v>
      </c>
      <c r="C3676" s="935" t="s">
        <v>3556</v>
      </c>
      <c r="D3676" s="1418">
        <v>46243.618726851855</v>
      </c>
      <c r="E3676" s="1246">
        <v>-20</v>
      </c>
      <c r="F3676" s="654">
        <v>4.4999999999999998E-2</v>
      </c>
      <c r="G3676" s="1247">
        <f t="shared" si="121"/>
        <v>-20</v>
      </c>
      <c r="H3676" s="1232" t="s">
        <v>4313</v>
      </c>
      <c r="I3676" s="1248" t="s">
        <v>13</v>
      </c>
      <c r="J3676" s="1247">
        <v>1.3</v>
      </c>
      <c r="K3676" s="1247">
        <v>20</v>
      </c>
      <c r="L3676" s="1245">
        <f>INT(base[[#This Row],[Data de liquidação]])</f>
        <v>46243</v>
      </c>
      <c r="M3676" s="1247">
        <f>base[[#This Row],[L/P Bruto]]-base[[#This Row],[L/P Líquido]]</f>
        <v>0</v>
      </c>
      <c r="N3676" s="1247">
        <f>base[[#This Row],[L/P Líquido]]/base[[#This Row],[Stake/Responsabilidade]]</f>
        <v>-1</v>
      </c>
      <c r="O3676" s="1249">
        <f>IF(base[[#This Row],[L/P Líquido]]&gt;0,1,0)</f>
        <v>0</v>
      </c>
      <c r="P3676" s="1249"/>
      <c r="Q3676" s="1249" t="str">
        <f>LEFT(base[[#This Row],[Evento / Mercado]],FIND("vs",base[[#This Row],[Evento / Mercado]])-2)</f>
        <v>AC Oulu</v>
      </c>
      <c r="R3676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249" t="str">
        <f>LEFT(base[[#This Row],[Evento / Mercado]],FIND("/",base[[#This Row],[Evento / Mercado]])-2)</f>
        <v>AC Oulu vs HJK Helsinki</v>
      </c>
      <c r="T3676" s="1420">
        <f>base[[#This Row],[Data de liquidação]]</f>
        <v>46243.618726851855</v>
      </c>
    </row>
    <row r="3677" spans="2:20" ht="15" customHeight="1">
      <c r="B3677" s="1244" t="s">
        <v>4352</v>
      </c>
      <c r="C3677" s="935" t="s">
        <v>3556</v>
      </c>
      <c r="D3677" s="1418">
        <v>46243.704791666663</v>
      </c>
      <c r="E3677" s="1246">
        <v>8.3800000000000008</v>
      </c>
      <c r="F3677" s="654">
        <v>4.4999999999999998E-2</v>
      </c>
      <c r="G3677" s="1247">
        <f t="shared" si="121"/>
        <v>8.7748691099476446</v>
      </c>
      <c r="H3677" s="1247" t="s">
        <v>3334</v>
      </c>
      <c r="I3677" s="1248" t="s">
        <v>627</v>
      </c>
      <c r="J3677" s="1247">
        <v>48</v>
      </c>
      <c r="K3677" s="1247">
        <v>412.66</v>
      </c>
      <c r="L3677" s="1245">
        <f>INT(base[[#This Row],[Data de liquidação]])</f>
        <v>46243</v>
      </c>
      <c r="M3677" s="1247">
        <f>base[[#This Row],[L/P Bruto]]-base[[#This Row],[L/P Líquido]]</f>
        <v>0.39486910994764379</v>
      </c>
      <c r="N3677" s="1247">
        <f>base[[#This Row],[L/P Líquido]]/base[[#This Row],[Stake/Responsabilidade]]</f>
        <v>2.03072747540348E-2</v>
      </c>
      <c r="O3677" s="1249">
        <f>IF(base[[#This Row],[L/P Líquido]]&gt;0,1,0)</f>
        <v>1</v>
      </c>
      <c r="P3677" s="1249"/>
      <c r="Q3677" s="1249" t="str">
        <f>LEFT(base[[#This Row],[Evento / Mercado]],FIND("vs",base[[#This Row],[Evento / Mercado]])-2)</f>
        <v>Víkingur</v>
      </c>
      <c r="R3677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249" t="str">
        <f>LEFT(base[[#This Row],[Evento / Mercado]],FIND("/",base[[#This Row],[Evento / Mercado]])-2)</f>
        <v>Víkingur vs ÍB Vestmannaeyja</v>
      </c>
      <c r="T3677" s="1420">
        <f>base[[#This Row],[Data de liquidação]]</f>
        <v>46243.704791666663</v>
      </c>
    </row>
    <row r="3678" spans="2:20" ht="15" customHeight="1">
      <c r="B3678" s="1244" t="s">
        <v>4351</v>
      </c>
      <c r="C3678" s="935" t="s">
        <v>3556</v>
      </c>
      <c r="D3678" s="1418">
        <v>46243.704907407409</v>
      </c>
      <c r="E3678" s="1246">
        <v>47.56</v>
      </c>
      <c r="F3678" s="654">
        <v>4.4999999999999998E-2</v>
      </c>
      <c r="G3678" s="1247">
        <f t="shared" si="121"/>
        <v>49.801047120418851</v>
      </c>
      <c r="H3678" s="1247" t="s">
        <v>179</v>
      </c>
      <c r="I3678" s="1248" t="s">
        <v>392</v>
      </c>
      <c r="J3678" s="1247">
        <v>9.8000000000000007</v>
      </c>
      <c r="K3678" s="1247">
        <v>438.26</v>
      </c>
      <c r="L3678" s="1245">
        <f>INT(base[[#This Row],[Data de liquidação]])</f>
        <v>46243</v>
      </c>
      <c r="M3678" s="1247">
        <f>base[[#This Row],[L/P Bruto]]-base[[#This Row],[L/P Líquido]]</f>
        <v>2.2410471204188482</v>
      </c>
      <c r="N3678" s="1247">
        <f>base[[#This Row],[L/P Líquido]]/base[[#This Row],[Stake/Responsabilidade]]</f>
        <v>0.10852005658741387</v>
      </c>
      <c r="O3678" s="1249">
        <f>IF(base[[#This Row],[L/P Líquido]]&gt;0,1,0)</f>
        <v>1</v>
      </c>
      <c r="P3678" s="1249"/>
      <c r="Q3678" s="1249" t="str">
        <f>LEFT(base[[#This Row],[Evento / Mercado]],FIND("vs",base[[#This Row],[Evento / Mercado]])-2)</f>
        <v>Víkingur</v>
      </c>
      <c r="R3678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249" t="str">
        <f>LEFT(base[[#This Row],[Evento / Mercado]],FIND("/",base[[#This Row],[Evento / Mercado]])-2)</f>
        <v>Víkingur vs ÍB Vestmannaeyja</v>
      </c>
      <c r="T3678" s="1420">
        <f>base[[#This Row],[Data de liquidação]]</f>
        <v>46243.704907407409</v>
      </c>
    </row>
    <row r="3679" spans="2:20" ht="15" customHeight="1">
      <c r="B3679" s="1244" t="s">
        <v>4350</v>
      </c>
      <c r="C3679" s="935" t="s">
        <v>3556</v>
      </c>
      <c r="D3679" s="1418">
        <v>46243.719884259262</v>
      </c>
      <c r="E3679" s="1246">
        <v>7.93</v>
      </c>
      <c r="F3679" s="654">
        <v>4.4999999999999998E-2</v>
      </c>
      <c r="G3679" s="1247">
        <f t="shared" si="121"/>
        <v>8.3036649214659679</v>
      </c>
      <c r="H3679" s="1232" t="s">
        <v>4313</v>
      </c>
      <c r="I3679" s="1217" t="s">
        <v>75</v>
      </c>
      <c r="J3679" s="1247">
        <v>1.42</v>
      </c>
      <c r="K3679" s="1247">
        <v>19.78</v>
      </c>
      <c r="L3679" s="1245">
        <f>INT(base[[#This Row],[Data de liquidação]])</f>
        <v>46243</v>
      </c>
      <c r="M3679" s="1247">
        <f>base[[#This Row],[L/P Bruto]]-base[[#This Row],[L/P Líquido]]</f>
        <v>0.37366492146596819</v>
      </c>
      <c r="N3679" s="1247">
        <f>base[[#This Row],[L/P Líquido]]/base[[#This Row],[Stake/Responsabilidade]]</f>
        <v>0.4009100101112234</v>
      </c>
      <c r="O3679" s="1249">
        <f>IF(base[[#This Row],[L/P Líquido]]&gt;0,1,0)</f>
        <v>1</v>
      </c>
      <c r="P3679" s="1249"/>
      <c r="Q3679" s="1249" t="str">
        <f>LEFT(base[[#This Row],[Evento / Mercado]],FIND("vs",base[[#This Row],[Evento / Mercado]])-2)</f>
        <v>Gremio Novorizontino</v>
      </c>
      <c r="R3679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249" t="str">
        <f>LEFT(base[[#This Row],[Evento / Mercado]],FIND("/",base[[#This Row],[Evento / Mercado]])-2)</f>
        <v>Gremio Novorizontino vs EC Juventude</v>
      </c>
      <c r="T3679" s="1420">
        <f>base[[#This Row],[Data de liquidação]]</f>
        <v>46243.719884259262</v>
      </c>
    </row>
    <row r="3680" spans="2:20" ht="15" customHeight="1">
      <c r="B3680" s="1244" t="s">
        <v>4349</v>
      </c>
      <c r="C3680" s="935" t="s">
        <v>3556</v>
      </c>
      <c r="D3680" s="1418">
        <v>46243.750810185185</v>
      </c>
      <c r="E3680" s="1246">
        <v>-20</v>
      </c>
      <c r="F3680" s="654">
        <v>4.4999999999999998E-2</v>
      </c>
      <c r="G3680" s="1247">
        <f t="shared" si="121"/>
        <v>-20</v>
      </c>
      <c r="H3680" s="1232" t="s">
        <v>4313</v>
      </c>
      <c r="I3680" s="1217" t="s">
        <v>75</v>
      </c>
      <c r="J3680" s="1247">
        <v>1.35</v>
      </c>
      <c r="K3680" s="1247">
        <v>20</v>
      </c>
      <c r="L3680" s="1245">
        <f>INT(base[[#This Row],[Data de liquidação]])</f>
        <v>46243</v>
      </c>
      <c r="M3680" s="1247">
        <f>base[[#This Row],[L/P Bruto]]-base[[#This Row],[L/P Líquido]]</f>
        <v>0</v>
      </c>
      <c r="N3680" s="1247">
        <f>base[[#This Row],[L/P Líquido]]/base[[#This Row],[Stake/Responsabilidade]]</f>
        <v>-1</v>
      </c>
      <c r="O3680" s="1249">
        <f>IF(base[[#This Row],[L/P Líquido]]&gt;0,1,0)</f>
        <v>0</v>
      </c>
      <c r="P3680" s="1249"/>
      <c r="Q3680" s="1249" t="str">
        <f>LEFT(base[[#This Row],[Evento / Mercado]],FIND("vs",base[[#This Row],[Evento / Mercado]])-2)</f>
        <v>Palmeiras</v>
      </c>
      <c r="R3680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249" t="str">
        <f>LEFT(base[[#This Row],[Evento / Mercado]],FIND("/",base[[#This Row],[Evento / Mercado]])-2)</f>
        <v>Palmeiras vs SC Internacional</v>
      </c>
      <c r="T3680" s="1420">
        <f>base[[#This Row],[Data de liquidação]]</f>
        <v>46243.750810185185</v>
      </c>
    </row>
    <row r="3681" spans="2:20" ht="15" customHeight="1">
      <c r="B3681" s="1244" t="s">
        <v>4348</v>
      </c>
      <c r="C3681" s="935" t="s">
        <v>3556</v>
      </c>
      <c r="D3681" s="1418">
        <v>46243.750925925924</v>
      </c>
      <c r="E3681" s="1246">
        <v>72.45</v>
      </c>
      <c r="F3681" s="654">
        <v>4.4999999999999998E-2</v>
      </c>
      <c r="G3681" s="1247">
        <f t="shared" si="121"/>
        <v>75.863874345549746</v>
      </c>
      <c r="H3681" s="1247" t="s">
        <v>179</v>
      </c>
      <c r="I3681" s="1248" t="s">
        <v>392</v>
      </c>
      <c r="J3681" s="1247">
        <v>6.8</v>
      </c>
      <c r="K3681" s="1247">
        <v>439.99</v>
      </c>
      <c r="L3681" s="1245">
        <f>INT(base[[#This Row],[Data de liquidação]])</f>
        <v>46243</v>
      </c>
      <c r="M3681" s="1247">
        <f>base[[#This Row],[L/P Bruto]]-base[[#This Row],[L/P Líquido]]</f>
        <v>3.4138743455497433</v>
      </c>
      <c r="N3681" s="1247">
        <f>base[[#This Row],[L/P Líquido]]/base[[#This Row],[Stake/Responsabilidade]]</f>
        <v>0.16466283324621014</v>
      </c>
      <c r="O3681" s="1249">
        <f>IF(base[[#This Row],[L/P Líquido]]&gt;0,1,0)</f>
        <v>1</v>
      </c>
      <c r="P3681" s="1249"/>
      <c r="Q3681" s="1249" t="str">
        <f>LEFT(base[[#This Row],[Evento / Mercado]],FIND("vs",base[[#This Row],[Evento / Mercado]])-2)</f>
        <v>Palmeiras</v>
      </c>
      <c r="R3681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249" t="str">
        <f>LEFT(base[[#This Row],[Evento / Mercado]],FIND("/",base[[#This Row],[Evento / Mercado]])-2)</f>
        <v>Palmeiras vs SC Internacional</v>
      </c>
      <c r="T3681" s="1420">
        <f>base[[#This Row],[Data de liquidação]]</f>
        <v>46243.750925925924</v>
      </c>
    </row>
    <row r="3682" spans="2:20" ht="15" customHeight="1">
      <c r="B3682" s="1244" t="s">
        <v>4347</v>
      </c>
      <c r="C3682" s="935" t="s">
        <v>3556</v>
      </c>
      <c r="D3682" s="1418">
        <v>46243.751087962963</v>
      </c>
      <c r="E3682" s="1246">
        <v>-20</v>
      </c>
      <c r="F3682" s="654">
        <v>4.4999999999999998E-2</v>
      </c>
      <c r="G3682" s="1247">
        <f t="shared" si="121"/>
        <v>-20</v>
      </c>
      <c r="H3682" s="1232" t="s">
        <v>4313</v>
      </c>
      <c r="I3682" s="1217" t="s">
        <v>75</v>
      </c>
      <c r="J3682" s="1247">
        <v>1.35</v>
      </c>
      <c r="K3682" s="1247">
        <v>20</v>
      </c>
      <c r="L3682" s="1245">
        <f>INT(base[[#This Row],[Data de liquidação]])</f>
        <v>46243</v>
      </c>
      <c r="M3682" s="1247">
        <f>base[[#This Row],[L/P Bruto]]-base[[#This Row],[L/P Líquido]]</f>
        <v>0</v>
      </c>
      <c r="N3682" s="1247">
        <f>base[[#This Row],[L/P Líquido]]/base[[#This Row],[Stake/Responsabilidade]]</f>
        <v>-1</v>
      </c>
      <c r="O3682" s="1249">
        <f>IF(base[[#This Row],[L/P Líquido]]&gt;0,1,0)</f>
        <v>0</v>
      </c>
      <c r="P3682" s="1249"/>
      <c r="Q3682" s="1249" t="str">
        <f>LEFT(base[[#This Row],[Evento / Mercado]],FIND("vs",base[[#This Row],[Evento / Mercado]])-2)</f>
        <v>Esporte Clube Bahia</v>
      </c>
      <c r="R3682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249" t="str">
        <f>LEFT(base[[#This Row],[Evento / Mercado]],FIND("/",base[[#This Row],[Evento / Mercado]])-2)</f>
        <v>Esporte Clube Bahia vs Vasco da Gama</v>
      </c>
      <c r="T3682" s="1420">
        <f>base[[#This Row],[Data de liquidação]]</f>
        <v>46243.751087962963</v>
      </c>
    </row>
    <row r="3683" spans="2:20" ht="15" customHeight="1">
      <c r="B3683" s="1244" t="s">
        <v>4346</v>
      </c>
      <c r="C3683" s="935" t="s">
        <v>3556</v>
      </c>
      <c r="D3683" s="1418">
        <v>46243.793657407405</v>
      </c>
      <c r="E3683" s="1246">
        <v>12.55</v>
      </c>
      <c r="F3683" s="654">
        <v>4.4999999999999998E-2</v>
      </c>
      <c r="G3683" s="1247">
        <f t="shared" si="121"/>
        <v>13.141361256544505</v>
      </c>
      <c r="H3683" s="1247" t="s">
        <v>3334</v>
      </c>
      <c r="I3683" s="1248" t="s">
        <v>627</v>
      </c>
      <c r="J3683" s="1247">
        <v>36</v>
      </c>
      <c r="K3683" s="1247">
        <v>459.9</v>
      </c>
      <c r="L3683" s="1245">
        <f>INT(base[[#This Row],[Data de liquidação]])</f>
        <v>46243</v>
      </c>
      <c r="M3683" s="1247">
        <f>base[[#This Row],[L/P Bruto]]-base[[#This Row],[L/P Líquido]]</f>
        <v>0.59136125654450389</v>
      </c>
      <c r="N3683" s="1247">
        <f>base[[#This Row],[L/P Líquido]]/base[[#This Row],[Stake/Responsabilidade]]</f>
        <v>2.7288540987171126E-2</v>
      </c>
      <c r="O3683" s="1249">
        <f>IF(base[[#This Row],[L/P Líquido]]&gt;0,1,0)</f>
        <v>1</v>
      </c>
      <c r="P3683" s="1249"/>
      <c r="Q3683" s="1249" t="str">
        <f>LEFT(base[[#This Row],[Evento / Mercado]],FIND("vs",base[[#This Row],[Evento / Mercado]])-2)</f>
        <v>Breidablik</v>
      </c>
      <c r="R3683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249" t="str">
        <f>LEFT(base[[#This Row],[Evento / Mercado]],FIND("/",base[[#This Row],[Evento / Mercado]])-2)</f>
        <v>Breidablik vs Valur</v>
      </c>
      <c r="T3683" s="1420">
        <f>base[[#This Row],[Data de liquidação]]</f>
        <v>46243.793657407405</v>
      </c>
    </row>
    <row r="3684" spans="2:20" ht="15" customHeight="1">
      <c r="B3684" s="1244" t="s">
        <v>4345</v>
      </c>
      <c r="C3684" s="935" t="s">
        <v>3556</v>
      </c>
      <c r="D3684" s="1418">
        <v>46243.828067129631</v>
      </c>
      <c r="E3684" s="1246">
        <v>9.17</v>
      </c>
      <c r="F3684" s="654">
        <v>4.4999999999999998E-2</v>
      </c>
      <c r="G3684" s="1247">
        <f t="shared" si="121"/>
        <v>9.6020942408376975</v>
      </c>
      <c r="H3684" s="1232" t="s">
        <v>4313</v>
      </c>
      <c r="I3684" s="1217" t="s">
        <v>75</v>
      </c>
      <c r="J3684" s="1247">
        <v>1.48</v>
      </c>
      <c r="K3684" s="1247">
        <v>20</v>
      </c>
      <c r="L3684" s="1245">
        <f>INT(base[[#This Row],[Data de liquidação]])</f>
        <v>46243</v>
      </c>
      <c r="M3684" s="1247">
        <f>base[[#This Row],[L/P Bruto]]-base[[#This Row],[L/P Líquido]]</f>
        <v>0.43209424083769754</v>
      </c>
      <c r="N3684" s="1247">
        <f>base[[#This Row],[L/P Líquido]]/base[[#This Row],[Stake/Responsabilidade]]</f>
        <v>0.45850000000000002</v>
      </c>
      <c r="O3684" s="1249">
        <f>IF(base[[#This Row],[L/P Líquido]]&gt;0,1,0)</f>
        <v>1</v>
      </c>
      <c r="P3684" s="1249"/>
      <c r="Q3684" s="1249" t="str">
        <f>LEFT(base[[#This Row],[Evento / Mercado]],FIND("vs",base[[#This Row],[Evento / Mercado]])-2)</f>
        <v>Red Bull Bragantino</v>
      </c>
      <c r="R3684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249" t="str">
        <f>LEFT(base[[#This Row],[Evento / Mercado]],FIND("/",base[[#This Row],[Evento / Mercado]])-2)</f>
        <v>Red Bull Bragantino vs Corinthians</v>
      </c>
      <c r="T3684" s="1420">
        <f>base[[#This Row],[Data de liquidação]]</f>
        <v>46243.828067129631</v>
      </c>
    </row>
    <row r="3685" spans="2:20" ht="15" customHeight="1">
      <c r="B3685" s="1244" t="s">
        <v>4344</v>
      </c>
      <c r="C3685" s="935" t="s">
        <v>3556</v>
      </c>
      <c r="D3685" s="1418">
        <v>46243.851076388892</v>
      </c>
      <c r="E3685" s="1246">
        <v>-28.57</v>
      </c>
      <c r="F3685" s="654">
        <v>4.4999999999999998E-2</v>
      </c>
      <c r="G3685" s="1247">
        <f t="shared" si="121"/>
        <v>-28.57</v>
      </c>
      <c r="H3685" s="1247" t="s">
        <v>3868</v>
      </c>
      <c r="I3685" s="1248" t="s">
        <v>627</v>
      </c>
      <c r="J3685" s="1247">
        <v>22</v>
      </c>
      <c r="K3685" s="1247">
        <v>599.97</v>
      </c>
      <c r="L3685" s="1245">
        <f>INT(base[[#This Row],[Data de liquidação]])</f>
        <v>46243</v>
      </c>
      <c r="M3685" s="1247">
        <f>base[[#This Row],[L/P Bruto]]-base[[#This Row],[L/P Líquido]]</f>
        <v>0</v>
      </c>
      <c r="N3685" s="1247">
        <f>base[[#This Row],[L/P Líquido]]/base[[#This Row],[Stake/Responsabilidade]]</f>
        <v>-4.7619047619047616E-2</v>
      </c>
      <c r="O3685" s="1249">
        <f>IF(base[[#This Row],[L/P Líquido]]&gt;0,1,0)</f>
        <v>0</v>
      </c>
      <c r="P3685" s="1249"/>
      <c r="Q3685" s="1249" t="str">
        <f>LEFT(base[[#This Row],[Evento / Mercado]],FIND("vs",base[[#This Row],[Evento / Mercado]])-2)</f>
        <v>Club Nacional</v>
      </c>
      <c r="R3685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249" t="str">
        <f>LEFT(base[[#This Row],[Evento / Mercado]],FIND("/",base[[#This Row],[Evento / Mercado]])-2)</f>
        <v>Club Nacional vs CA Boston River</v>
      </c>
      <c r="T3685" s="1420">
        <f>base[[#This Row],[Data de liquidação]]</f>
        <v>46243.851076388892</v>
      </c>
    </row>
    <row r="3686" spans="2:20" ht="15" customHeight="1">
      <c r="B3686" s="1244" t="s">
        <v>4343</v>
      </c>
      <c r="C3686" s="935" t="s">
        <v>3556</v>
      </c>
      <c r="D3686" s="1418">
        <v>46243.853009259263</v>
      </c>
      <c r="E3686" s="1246">
        <v>-249.99</v>
      </c>
      <c r="F3686" s="654">
        <v>4.4999999999999998E-2</v>
      </c>
      <c r="G3686" s="1247">
        <f t="shared" si="121"/>
        <v>-249.99</v>
      </c>
      <c r="H3686" s="1247" t="s">
        <v>3330</v>
      </c>
      <c r="I3686" s="1248" t="s">
        <v>4367</v>
      </c>
      <c r="J3686" s="1247">
        <f>(3.8+1.42)/2</f>
        <v>2.61</v>
      </c>
      <c r="K3686" s="1247">
        <v>249.99</v>
      </c>
      <c r="L3686" s="1245">
        <f>INT(base[[#This Row],[Data de liquidação]])</f>
        <v>46243</v>
      </c>
      <c r="M3686" s="1247">
        <f>base[[#This Row],[L/P Bruto]]-base[[#This Row],[L/P Líquido]]</f>
        <v>0</v>
      </c>
      <c r="N3686" s="1247">
        <f>base[[#This Row],[L/P Líquido]]/base[[#This Row],[Stake/Responsabilidade]]</f>
        <v>-1</v>
      </c>
      <c r="O3686" s="1249">
        <f>IF(base[[#This Row],[L/P Líquido]]&gt;0,1,0)</f>
        <v>0</v>
      </c>
      <c r="P3686" s="1249"/>
      <c r="Q3686" s="1249" t="str">
        <f>LEFT(base[[#This Row],[Evento / Mercado]],FIND("vs",base[[#This Row],[Evento / Mercado]])-2)</f>
        <v>Red Bull Bragantino</v>
      </c>
      <c r="R3686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249" t="str">
        <f>LEFT(base[[#This Row],[Evento / Mercado]],FIND("/",base[[#This Row],[Evento / Mercado]])-2)</f>
        <v>Red Bull Bragantino vs Corinthians</v>
      </c>
      <c r="T3686" s="1420">
        <f>base[[#This Row],[Data de liquidação]]</f>
        <v>46243.853009259263</v>
      </c>
    </row>
    <row r="3687" spans="2:20" ht="15" customHeight="1">
      <c r="B3687" s="1244" t="s">
        <v>4342</v>
      </c>
      <c r="C3687" s="935" t="s">
        <v>3556</v>
      </c>
      <c r="D3687" s="1418">
        <v>46243.891793981478</v>
      </c>
      <c r="E3687" s="1246">
        <v>5.45</v>
      </c>
      <c r="F3687" s="654">
        <v>4.4999999999999998E-2</v>
      </c>
      <c r="G3687" s="1247">
        <f t="shared" si="121"/>
        <v>5.7068062827225132</v>
      </c>
      <c r="H3687" s="1247" t="s">
        <v>1666</v>
      </c>
      <c r="I3687" s="1248" t="s">
        <v>1759</v>
      </c>
      <c r="J3687" s="1247">
        <v>23</v>
      </c>
      <c r="K3687" s="1247">
        <v>125.62</v>
      </c>
      <c r="L3687" s="1245">
        <f>INT(base[[#This Row],[Data de liquidação]])</f>
        <v>46243</v>
      </c>
      <c r="M3687" s="1247">
        <f>base[[#This Row],[L/P Bruto]]-base[[#This Row],[L/P Líquido]]</f>
        <v>0.25680628272251305</v>
      </c>
      <c r="N3687" s="1247">
        <f>base[[#This Row],[L/P Líquido]]/base[[#This Row],[Stake/Responsabilidade]]</f>
        <v>4.3384811335774556E-2</v>
      </c>
      <c r="O3687" s="1249">
        <f>IF(base[[#This Row],[L/P Líquido]]&gt;0,1,0)</f>
        <v>1</v>
      </c>
      <c r="P3687" s="1249"/>
      <c r="Q3687" s="1249" t="str">
        <f>LEFT(base[[#This Row],[Evento / Mercado]],FIND("vs",base[[#This Row],[Evento / Mercado]])-2)</f>
        <v>Metropolitanos FC</v>
      </c>
      <c r="R3687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249" t="str">
        <f>LEFT(base[[#This Row],[Evento / Mercado]],FIND("/",base[[#This Row],[Evento / Mercado]])-2)</f>
        <v>Metropolitanos FC vs Universidad Central de Venezuela FC</v>
      </c>
      <c r="T3687" s="1420">
        <f>base[[#This Row],[Data de liquidação]]</f>
        <v>46243.891793981478</v>
      </c>
    </row>
    <row r="3688" spans="2:20" ht="15" customHeight="1">
      <c r="B3688" s="1244" t="s">
        <v>4341</v>
      </c>
      <c r="C3688" s="935" t="s">
        <v>3556</v>
      </c>
      <c r="D3688" s="1418">
        <v>46243.892094907409</v>
      </c>
      <c r="E3688" s="1246">
        <v>38.36</v>
      </c>
      <c r="F3688" s="654">
        <v>4.4999999999999998E-2</v>
      </c>
      <c r="G3688" s="1247">
        <f t="shared" si="121"/>
        <v>40.167539267015705</v>
      </c>
      <c r="H3688" s="1247" t="s">
        <v>179</v>
      </c>
      <c r="I3688" s="1248" t="s">
        <v>392</v>
      </c>
      <c r="J3688" s="1247">
        <f>(15*490+15.5*74.97)/base[[#This Row],[Stake/Responsabilidade]]</f>
        <v>15.066348655680832</v>
      </c>
      <c r="K3688" s="1247">
        <f>490+74.97</f>
        <v>564.97</v>
      </c>
      <c r="L3688" s="1245">
        <f>INT(base[[#This Row],[Data de liquidação]])</f>
        <v>46243</v>
      </c>
      <c r="M3688" s="1247">
        <f>base[[#This Row],[L/P Bruto]]-base[[#This Row],[L/P Líquido]]</f>
        <v>1.8075392670157058</v>
      </c>
      <c r="N3688" s="1247">
        <f>base[[#This Row],[L/P Líquido]]/base[[#This Row],[Stake/Responsabilidade]]</f>
        <v>6.7897410481972495E-2</v>
      </c>
      <c r="O3688" s="1249">
        <f>IF(base[[#This Row],[L/P Líquido]]&gt;0,1,0)</f>
        <v>1</v>
      </c>
      <c r="P3688" s="1249"/>
      <c r="Q3688" s="1249" t="str">
        <f>LEFT(base[[#This Row],[Evento / Mercado]],FIND("vs",base[[#This Row],[Evento / Mercado]])-2)</f>
        <v>Flamengo</v>
      </c>
      <c r="R3688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249" t="str">
        <f>LEFT(base[[#This Row],[Evento / Mercado]],FIND("/",base[[#This Row],[Evento / Mercado]])-2)</f>
        <v>Flamengo vs EC Vitória</v>
      </c>
      <c r="T3688" s="1420">
        <f>base[[#This Row],[Data de liquidação]]</f>
        <v>46243.892094907409</v>
      </c>
    </row>
    <row r="3689" spans="2:20" ht="15" customHeight="1">
      <c r="B3689" s="1244" t="s">
        <v>4340</v>
      </c>
      <c r="C3689" s="935" t="s">
        <v>3556</v>
      </c>
      <c r="D3689" s="1418">
        <v>46243.943078703705</v>
      </c>
      <c r="E3689" s="1246">
        <v>4.78</v>
      </c>
      <c r="F3689" s="654">
        <v>4.4999999999999998E-2</v>
      </c>
      <c r="G3689" s="1247">
        <f t="shared" si="121"/>
        <v>5.005235602094241</v>
      </c>
      <c r="H3689" s="1232" t="s">
        <v>4313</v>
      </c>
      <c r="I3689" s="1248" t="s">
        <v>3629</v>
      </c>
      <c r="J3689" s="1247">
        <v>1.25</v>
      </c>
      <c r="K3689" s="1247">
        <v>20</v>
      </c>
      <c r="L3689" s="1245">
        <f>INT(base[[#This Row],[Data de liquidação]])</f>
        <v>46243</v>
      </c>
      <c r="M3689" s="1247">
        <f>base[[#This Row],[L/P Bruto]]-base[[#This Row],[L/P Líquido]]</f>
        <v>0.22523560209424076</v>
      </c>
      <c r="N3689" s="1247">
        <f>base[[#This Row],[L/P Líquido]]/base[[#This Row],[Stake/Responsabilidade]]</f>
        <v>0.23900000000000002</v>
      </c>
      <c r="O3689" s="1249">
        <f>IF(base[[#This Row],[L/P Líquido]]&gt;0,1,0)</f>
        <v>1</v>
      </c>
      <c r="P3689" s="1249"/>
      <c r="Q3689" s="1249" t="str">
        <f>LEFT(base[[#This Row],[Evento / Mercado]],FIND("vs",base[[#This Row],[Evento / Mercado]])-2)</f>
        <v>Universidad de Chile</v>
      </c>
      <c r="R3689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249" t="str">
        <f>LEFT(base[[#This Row],[Evento / Mercado]],FIND("/",base[[#This Row],[Evento / Mercado]])-2)</f>
        <v>Universidad de Chile vs Palestino</v>
      </c>
      <c r="T3689" s="1420">
        <f>base[[#This Row],[Data de liquidação]]</f>
        <v>46243.943078703705</v>
      </c>
    </row>
    <row r="3690" spans="2:20" ht="15" customHeight="1">
      <c r="B3690" s="1244" t="s">
        <v>4339</v>
      </c>
      <c r="C3690" s="935" t="s">
        <v>3556</v>
      </c>
      <c r="D3690" s="1418">
        <v>46243.957638888889</v>
      </c>
      <c r="E3690" s="1246">
        <v>-20</v>
      </c>
      <c r="F3690" s="654">
        <v>4.4999999999999998E-2</v>
      </c>
      <c r="G3690" s="1247">
        <f t="shared" si="121"/>
        <v>-20</v>
      </c>
      <c r="H3690" s="1247" t="s">
        <v>1666</v>
      </c>
      <c r="I3690" s="1248" t="s">
        <v>2301</v>
      </c>
      <c r="J3690" s="1247">
        <v>1.52</v>
      </c>
      <c r="K3690" s="1247">
        <v>20</v>
      </c>
      <c r="L3690" s="1245">
        <f>INT(base[[#This Row],[Data de liquidação]])</f>
        <v>46243</v>
      </c>
      <c r="M3690" s="1247">
        <f>base[[#This Row],[L/P Bruto]]-base[[#This Row],[L/P Líquido]]</f>
        <v>0</v>
      </c>
      <c r="N3690" s="1247">
        <f>base[[#This Row],[L/P Líquido]]/base[[#This Row],[Stake/Responsabilidade]]</f>
        <v>-1</v>
      </c>
      <c r="O3690" s="1249">
        <f>IF(base[[#This Row],[L/P Líquido]]&gt;0,1,0)</f>
        <v>0</v>
      </c>
      <c r="P3690" s="1249"/>
      <c r="Q3690" s="1249" t="str">
        <f>LEFT(base[[#This Row],[Evento / Mercado]],FIND("vs",base[[#This Row],[Evento / Mercado]])-2)</f>
        <v>Guayaquil City FC</v>
      </c>
      <c r="R3690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249" t="str">
        <f>LEFT(base[[#This Row],[Evento / Mercado]],FIND("/",base[[#This Row],[Evento / Mercado]])-2)</f>
        <v>Guayaquil City FC vs Emelec</v>
      </c>
      <c r="T3690" s="1420">
        <f>base[[#This Row],[Data de liquidação]]</f>
        <v>46243.957638888889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1"/>
  <sheetViews>
    <sheetView showGridLines="0" zoomScale="80" zoomScaleNormal="80" workbookViewId="0">
      <selection activeCell="E3" sqref="E3:F31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6" t="s">
        <v>0</v>
      </c>
    </row>
    <row r="3" spans="2:7" ht="13.8" thickBot="1">
      <c r="B3" s="1001" t="s">
        <v>204</v>
      </c>
      <c r="C3" s="1002" t="s">
        <v>4366</v>
      </c>
      <c r="D3" s="1003">
        <v>46243.375</v>
      </c>
      <c r="E3" s="1003">
        <v>46243.435914351852</v>
      </c>
      <c r="F3" s="1004">
        <v>0.86</v>
      </c>
      <c r="G3" s="934" t="str">
        <f t="shared" ref="G3:G31" si="0">SUBSTITUTE(E3,",","")</f>
        <v>462434359143519</v>
      </c>
    </row>
    <row r="4" spans="2:7" ht="13.8" thickBot="1">
      <c r="B4" s="1001" t="s">
        <v>204</v>
      </c>
      <c r="C4" s="1002" t="s">
        <v>4365</v>
      </c>
      <c r="D4" s="1003">
        <v>46243.375</v>
      </c>
      <c r="E4" s="1003">
        <v>46243.443298611113</v>
      </c>
      <c r="F4" s="1004">
        <v>6.69</v>
      </c>
      <c r="G4" s="934" t="str">
        <f t="shared" si="0"/>
        <v>462434432986111</v>
      </c>
    </row>
    <row r="5" spans="2:7" ht="13.8" thickBot="1">
      <c r="B5" s="1001" t="s">
        <v>204</v>
      </c>
      <c r="C5" s="1002" t="s">
        <v>4364</v>
      </c>
      <c r="D5" s="1003">
        <v>46243.375</v>
      </c>
      <c r="E5" s="1003">
        <v>46243.452037037037</v>
      </c>
      <c r="F5" s="1004">
        <v>10.53</v>
      </c>
      <c r="G5" s="934" t="str">
        <f t="shared" si="0"/>
        <v>46243452037037</v>
      </c>
    </row>
    <row r="6" spans="2:7" ht="13.8" thickBot="1">
      <c r="B6" s="1001" t="s">
        <v>204</v>
      </c>
      <c r="C6" s="1002" t="s">
        <v>4363</v>
      </c>
      <c r="D6" s="1003">
        <v>46243.375</v>
      </c>
      <c r="E6" s="1003">
        <v>46243.453449074077</v>
      </c>
      <c r="F6" s="1225">
        <v>-70.64</v>
      </c>
      <c r="G6" s="934" t="str">
        <f t="shared" si="0"/>
        <v>462434534490741</v>
      </c>
    </row>
    <row r="7" spans="2:7" ht="13.8" thickBot="1">
      <c r="B7" s="1001" t="s">
        <v>204</v>
      </c>
      <c r="C7" s="1002" t="s">
        <v>4362</v>
      </c>
      <c r="D7" s="1003">
        <v>46243.396527777775</v>
      </c>
      <c r="E7" s="1003">
        <v>46243.473298611112</v>
      </c>
      <c r="F7" s="1004">
        <v>4.97</v>
      </c>
      <c r="G7" s="934" t="str">
        <f t="shared" si="0"/>
        <v>462434732986111</v>
      </c>
    </row>
    <row r="8" spans="2:7" ht="13.8" thickBot="1">
      <c r="B8" s="1001" t="s">
        <v>204</v>
      </c>
      <c r="C8" s="1002" t="s">
        <v>4361</v>
      </c>
      <c r="D8" s="1003">
        <v>46243.458333333336</v>
      </c>
      <c r="E8" s="1003">
        <v>46243.479189814818</v>
      </c>
      <c r="F8" s="1004">
        <v>112.13</v>
      </c>
      <c r="G8" s="934" t="str">
        <f t="shared" si="0"/>
        <v>462434791898148</v>
      </c>
    </row>
    <row r="9" spans="2:7" ht="13.8" thickBot="1">
      <c r="B9" s="1001" t="s">
        <v>204</v>
      </c>
      <c r="C9" s="1002" t="s">
        <v>4360</v>
      </c>
      <c r="D9" s="1003">
        <v>46243.416666666664</v>
      </c>
      <c r="E9" s="1003">
        <v>46243.493993055556</v>
      </c>
      <c r="F9" s="1004">
        <v>70.98</v>
      </c>
      <c r="G9" s="934" t="str">
        <f t="shared" si="0"/>
        <v>462434939930556</v>
      </c>
    </row>
    <row r="10" spans="2:7" ht="13.8" thickBot="1">
      <c r="B10" s="1001" t="s">
        <v>204</v>
      </c>
      <c r="C10" s="1002" t="s">
        <v>4359</v>
      </c>
      <c r="D10" s="1003">
        <v>46243.416666666664</v>
      </c>
      <c r="E10" s="1003">
        <v>46243.494849537034</v>
      </c>
      <c r="F10" s="1225">
        <v>-450.01</v>
      </c>
      <c r="G10" s="934" t="str">
        <f t="shared" si="0"/>
        <v>46243494849537</v>
      </c>
    </row>
    <row r="11" spans="2:7" ht="13.8" thickBot="1">
      <c r="B11" s="1001" t="s">
        <v>204</v>
      </c>
      <c r="C11" s="1002" t="s">
        <v>4358</v>
      </c>
      <c r="D11" s="1003">
        <v>46243.416666666664</v>
      </c>
      <c r="E11" s="1003">
        <v>46243.495069444441</v>
      </c>
      <c r="F11" s="1225">
        <v>-450</v>
      </c>
      <c r="G11" s="934" t="str">
        <f t="shared" si="0"/>
        <v>462434950694444</v>
      </c>
    </row>
    <row r="12" spans="2:7" ht="13.8" thickBot="1">
      <c r="B12" s="1239" t="s">
        <v>204</v>
      </c>
      <c r="C12" s="1240" t="s">
        <v>4358</v>
      </c>
      <c r="D12" s="1241">
        <v>46243.416666666664</v>
      </c>
      <c r="E12" s="1241">
        <v>46243.495069444441</v>
      </c>
      <c r="F12" s="1242">
        <v>-250</v>
      </c>
      <c r="G12" s="1243" t="str">
        <f t="shared" si="0"/>
        <v>462434950694444</v>
      </c>
    </row>
    <row r="13" spans="2:7" ht="13.8" thickBot="1">
      <c r="B13" s="1001" t="s">
        <v>204</v>
      </c>
      <c r="C13" s="1002" t="s">
        <v>4357</v>
      </c>
      <c r="D13" s="1003">
        <v>46243.5</v>
      </c>
      <c r="E13" s="1003">
        <v>46243.577696759261</v>
      </c>
      <c r="F13" s="1004">
        <v>7.12</v>
      </c>
      <c r="G13" s="934" t="str">
        <f t="shared" si="0"/>
        <v>462435776967593</v>
      </c>
    </row>
    <row r="14" spans="2:7" ht="13.8" thickBot="1">
      <c r="B14" s="1001" t="s">
        <v>204</v>
      </c>
      <c r="C14" s="1002" t="s">
        <v>4356</v>
      </c>
      <c r="D14" s="1003">
        <v>46243.5</v>
      </c>
      <c r="E14" s="1003">
        <v>46243.579097222224</v>
      </c>
      <c r="F14" s="1004">
        <v>46.58</v>
      </c>
      <c r="G14" s="934" t="str">
        <f t="shared" si="0"/>
        <v>462435790972222</v>
      </c>
    </row>
    <row r="15" spans="2:7" ht="13.8" thickBot="1">
      <c r="B15" s="1001" t="s">
        <v>204</v>
      </c>
      <c r="C15" s="1002" t="s">
        <v>4355</v>
      </c>
      <c r="D15" s="1003">
        <v>46243.5</v>
      </c>
      <c r="E15" s="1003">
        <v>46243.58</v>
      </c>
      <c r="F15" s="1004">
        <v>80.84</v>
      </c>
      <c r="G15" s="934" t="str">
        <f t="shared" si="0"/>
        <v>4624358</v>
      </c>
    </row>
    <row r="16" spans="2:7" ht="13.8" thickBot="1">
      <c r="B16" s="1001" t="s">
        <v>204</v>
      </c>
      <c r="C16" s="1002" t="s">
        <v>4354</v>
      </c>
      <c r="D16" s="1003">
        <v>46243.520833333336</v>
      </c>
      <c r="E16" s="1003">
        <v>46243.600393518522</v>
      </c>
      <c r="F16" s="1004">
        <v>6.37</v>
      </c>
      <c r="G16" s="934" t="str">
        <f t="shared" si="0"/>
        <v>462436003935185</v>
      </c>
    </row>
    <row r="17" spans="2:7" ht="13.8" thickBot="1">
      <c r="B17" s="1001" t="s">
        <v>204</v>
      </c>
      <c r="C17" s="1002" t="s">
        <v>4353</v>
      </c>
      <c r="D17" s="1003">
        <v>46243.541666666664</v>
      </c>
      <c r="E17" s="1003">
        <v>46243.618726851855</v>
      </c>
      <c r="F17" s="1225">
        <v>-20</v>
      </c>
      <c r="G17" s="934" t="str">
        <f t="shared" si="0"/>
        <v>462436187268519</v>
      </c>
    </row>
    <row r="18" spans="2:7" ht="13.8" thickBot="1">
      <c r="B18" s="1001" t="s">
        <v>204</v>
      </c>
      <c r="C18" s="1002" t="s">
        <v>4352</v>
      </c>
      <c r="D18" s="1003">
        <v>46243.626388888886</v>
      </c>
      <c r="E18" s="1003">
        <v>46243.704791666663</v>
      </c>
      <c r="F18" s="1004">
        <v>8.3800000000000008</v>
      </c>
      <c r="G18" s="934" t="str">
        <f t="shared" si="0"/>
        <v>462437047916667</v>
      </c>
    </row>
    <row r="19" spans="2:7" ht="13.8" thickBot="1">
      <c r="B19" s="1001" t="s">
        <v>204</v>
      </c>
      <c r="C19" s="1002" t="s">
        <v>4351</v>
      </c>
      <c r="D19" s="1003">
        <v>46243.625</v>
      </c>
      <c r="E19" s="1003">
        <v>46243.704907407409</v>
      </c>
      <c r="F19" s="1004">
        <v>47.56</v>
      </c>
      <c r="G19" s="934" t="str">
        <f t="shared" si="0"/>
        <v>462437049074074</v>
      </c>
    </row>
    <row r="20" spans="2:7" ht="13.8" thickBot="1">
      <c r="B20" s="1001" t="s">
        <v>204</v>
      </c>
      <c r="C20" s="1002" t="s">
        <v>4350</v>
      </c>
      <c r="D20" s="1003">
        <v>46243.665972222225</v>
      </c>
      <c r="E20" s="1003">
        <v>46243.719884259262</v>
      </c>
      <c r="F20" s="1004">
        <v>7.93</v>
      </c>
      <c r="G20" s="934" t="str">
        <f t="shared" si="0"/>
        <v>462437198842593</v>
      </c>
    </row>
    <row r="21" spans="2:7" ht="13.8" thickBot="1">
      <c r="B21" s="1001" t="s">
        <v>204</v>
      </c>
      <c r="C21" s="1002" t="s">
        <v>4349</v>
      </c>
      <c r="D21" s="1003">
        <v>46243.666666666664</v>
      </c>
      <c r="E21" s="1003">
        <v>46243.750810185185</v>
      </c>
      <c r="F21" s="1225">
        <v>-20</v>
      </c>
      <c r="G21" s="934" t="str">
        <f t="shared" si="0"/>
        <v>462437508101852</v>
      </c>
    </row>
    <row r="22" spans="2:7" ht="13.8" thickBot="1">
      <c r="B22" s="1001" t="s">
        <v>204</v>
      </c>
      <c r="C22" s="1002" t="s">
        <v>4348</v>
      </c>
      <c r="D22" s="1003">
        <v>46243.666666666664</v>
      </c>
      <c r="E22" s="1003">
        <v>46243.750925925924</v>
      </c>
      <c r="F22" s="1004">
        <v>72.45</v>
      </c>
      <c r="G22" s="934" t="str">
        <f t="shared" si="0"/>
        <v>462437509259259</v>
      </c>
    </row>
    <row r="23" spans="2:7" ht="13.8" thickBot="1">
      <c r="B23" s="1001" t="s">
        <v>204</v>
      </c>
      <c r="C23" s="1002" t="s">
        <v>4347</v>
      </c>
      <c r="D23" s="1003">
        <v>46243.666666666664</v>
      </c>
      <c r="E23" s="1003">
        <v>46243.751087962963</v>
      </c>
      <c r="F23" s="1225">
        <v>-20</v>
      </c>
      <c r="G23" s="934" t="str">
        <f t="shared" si="0"/>
        <v>46243751087963</v>
      </c>
    </row>
    <row r="24" spans="2:7" ht="13.8" thickBot="1">
      <c r="B24" s="1001" t="s">
        <v>204</v>
      </c>
      <c r="C24" s="1002" t="s">
        <v>4346</v>
      </c>
      <c r="D24" s="1003">
        <v>46243.71875</v>
      </c>
      <c r="E24" s="1003">
        <v>46243.793657407405</v>
      </c>
      <c r="F24" s="1004">
        <v>12.55</v>
      </c>
      <c r="G24" s="934" t="str">
        <f t="shared" si="0"/>
        <v>462437936574074</v>
      </c>
    </row>
    <row r="25" spans="2:7" ht="13.8" thickBot="1">
      <c r="B25" s="1001" t="s">
        <v>204</v>
      </c>
      <c r="C25" s="1002" t="s">
        <v>4345</v>
      </c>
      <c r="D25" s="1003">
        <v>46243.772222222222</v>
      </c>
      <c r="E25" s="1003">
        <v>46243.828067129631</v>
      </c>
      <c r="F25" s="1004">
        <v>9.17</v>
      </c>
      <c r="G25" s="934" t="str">
        <f t="shared" si="0"/>
        <v>462438280671296</v>
      </c>
    </row>
    <row r="26" spans="2:7" ht="13.8" thickBot="1">
      <c r="B26" s="1001" t="s">
        <v>204</v>
      </c>
      <c r="C26" s="1002" t="s">
        <v>4344</v>
      </c>
      <c r="D26" s="1003">
        <v>46243.770833333336</v>
      </c>
      <c r="E26" s="1003">
        <v>46243.851076388892</v>
      </c>
      <c r="F26" s="1225">
        <v>-28.57</v>
      </c>
      <c r="G26" s="934" t="str">
        <f t="shared" si="0"/>
        <v>462438510763889</v>
      </c>
    </row>
    <row r="27" spans="2:7" ht="13.8" thickBot="1">
      <c r="B27" s="1001" t="s">
        <v>204</v>
      </c>
      <c r="C27" s="1002" t="s">
        <v>4343</v>
      </c>
      <c r="D27" s="1003">
        <v>46243.772222222222</v>
      </c>
      <c r="E27" s="1003">
        <v>46243.853009259263</v>
      </c>
      <c r="F27" s="1225">
        <v>-249.99</v>
      </c>
      <c r="G27" s="934" t="str">
        <f t="shared" si="0"/>
        <v>462438530092593</v>
      </c>
    </row>
    <row r="28" spans="2:7" ht="13.8" thickBot="1">
      <c r="B28" s="1001" t="s">
        <v>204</v>
      </c>
      <c r="C28" s="1002" t="s">
        <v>4342</v>
      </c>
      <c r="D28" s="1003">
        <v>46243.8125</v>
      </c>
      <c r="E28" s="1003">
        <v>46243.891793981478</v>
      </c>
      <c r="F28" s="1004">
        <v>5.45</v>
      </c>
      <c r="G28" s="934" t="str">
        <f t="shared" si="0"/>
        <v>462438917939815</v>
      </c>
    </row>
    <row r="29" spans="2:7" ht="13.8" thickBot="1">
      <c r="B29" s="1001" t="s">
        <v>204</v>
      </c>
      <c r="C29" s="1002" t="s">
        <v>4341</v>
      </c>
      <c r="D29" s="1003">
        <v>46243.8125</v>
      </c>
      <c r="E29" s="1003">
        <v>46243.892094907409</v>
      </c>
      <c r="F29" s="1004">
        <v>38.36</v>
      </c>
      <c r="G29" s="934" t="str">
        <f t="shared" si="0"/>
        <v>462438920949074</v>
      </c>
    </row>
    <row r="30" spans="2:7" ht="13.8" thickBot="1">
      <c r="B30" s="1001" t="s">
        <v>204</v>
      </c>
      <c r="C30" s="1002" t="s">
        <v>4340</v>
      </c>
      <c r="D30" s="1003">
        <v>46243.875</v>
      </c>
      <c r="E30" s="1003">
        <v>46243.943078703705</v>
      </c>
      <c r="F30" s="1004">
        <v>4.78</v>
      </c>
      <c r="G30" s="934" t="str">
        <f t="shared" si="0"/>
        <v>462439430787037</v>
      </c>
    </row>
    <row r="31" spans="2:7" ht="13.8" thickBot="1">
      <c r="B31" s="1001" t="s">
        <v>204</v>
      </c>
      <c r="C31" s="1002" t="s">
        <v>4339</v>
      </c>
      <c r="D31" s="1003">
        <v>46243.875</v>
      </c>
      <c r="E31" s="1003">
        <v>46243.957638888889</v>
      </c>
      <c r="F31" s="1225">
        <v>-20</v>
      </c>
      <c r="G31" s="934" t="str">
        <f t="shared" si="0"/>
        <v>462439576388889</v>
      </c>
    </row>
  </sheetData>
  <autoFilter ref="B2:G2"/>
  <sortState ref="B3:G31">
    <sortCondition ref="E3:E31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1090" customWidth="1"/>
    <col min="2" max="2" width="15.5" style="1090" bestFit="1" customWidth="1"/>
    <col min="3" max="3" width="15.5" style="1090" customWidth="1"/>
    <col min="4" max="4" width="14.59765625" style="1090" bestFit="1" customWidth="1"/>
    <col min="5" max="5" width="9" style="1090" bestFit="1" customWidth="1"/>
    <col min="6" max="6" width="8" style="1090" bestFit="1" customWidth="1"/>
    <col min="7" max="7" width="9.69921875" style="1090" customWidth="1"/>
    <col min="8" max="8" width="11.5" style="1090" customWidth="1"/>
    <col min="9" max="9" width="9.5" style="1090" customWidth="1"/>
    <col min="10" max="10" width="8" style="1090" bestFit="1" customWidth="1"/>
    <col min="11" max="11" width="11.3984375" style="1090" customWidth="1"/>
    <col min="12" max="12" width="9" style="1090" customWidth="1"/>
    <col min="13" max="13" width="13.796875" style="1090" customWidth="1"/>
    <col min="14" max="14" width="10.09765625" style="1090" bestFit="1" customWidth="1"/>
    <col min="15" max="15" width="9.19921875" style="1090" customWidth="1"/>
    <col min="16" max="16" width="10.09765625" style="1090" customWidth="1"/>
    <col min="17" max="17" width="8.796875" style="1090" customWidth="1"/>
    <col min="18" max="18" width="12.8984375" style="1090" bestFit="1" customWidth="1"/>
    <col min="19" max="19" width="8" style="1090" customWidth="1"/>
    <col min="20" max="20" width="9.796875" style="1090" customWidth="1"/>
    <col min="21" max="21" width="8.09765625" style="1090" customWidth="1"/>
    <col min="22" max="16384" width="8.796875" style="1090"/>
  </cols>
  <sheetData>
    <row r="2" spans="2:21" ht="15" customHeight="1">
      <c r="B2" s="1091" t="s">
        <v>3418</v>
      </c>
      <c r="C2" s="1093">
        <v>6200</v>
      </c>
      <c r="D2" s="1091"/>
      <c r="F2" s="1093"/>
    </row>
    <row r="3" spans="2:21" ht="15" customHeight="1">
      <c r="B3" s="1091" t="s">
        <v>3930</v>
      </c>
      <c r="C3" s="1092">
        <v>0.2</v>
      </c>
      <c r="D3" s="1091"/>
      <c r="F3" s="1093"/>
    </row>
    <row r="4" spans="2:21" ht="15" customHeight="1">
      <c r="B4" s="1091" t="s">
        <v>3467</v>
      </c>
      <c r="C4" s="1097">
        <f>C2*C3</f>
        <v>1240</v>
      </c>
      <c r="D4" s="1091"/>
      <c r="F4" s="1093"/>
    </row>
    <row r="6" spans="2:21" ht="30" customHeight="1">
      <c r="B6" s="22" t="s">
        <v>3</v>
      </c>
      <c r="C6" s="22" t="s">
        <v>4126</v>
      </c>
      <c r="D6" s="22" t="s">
        <v>3934</v>
      </c>
      <c r="E6" s="22" t="s">
        <v>156</v>
      </c>
      <c r="F6" s="22" t="s">
        <v>3926</v>
      </c>
      <c r="G6" s="22" t="s">
        <v>3917</v>
      </c>
      <c r="H6" s="22" t="s">
        <v>3918</v>
      </c>
      <c r="I6" s="22" t="s">
        <v>3919</v>
      </c>
      <c r="J6" s="22" t="s">
        <v>3426</v>
      </c>
      <c r="K6" s="22" t="s">
        <v>3937</v>
      </c>
      <c r="L6" s="22" t="s">
        <v>3431</v>
      </c>
      <c r="M6" s="22" t="s">
        <v>3929</v>
      </c>
      <c r="N6" s="22" t="s">
        <v>3434</v>
      </c>
      <c r="O6" s="1128" t="s">
        <v>3931</v>
      </c>
      <c r="P6" s="22" t="s">
        <v>3920</v>
      </c>
      <c r="Q6" s="22" t="s">
        <v>3933</v>
      </c>
      <c r="R6" s="22" t="s">
        <v>3928</v>
      </c>
      <c r="S6" s="22" t="s">
        <v>3919</v>
      </c>
      <c r="T6" s="22" t="s">
        <v>3932</v>
      </c>
      <c r="U6" s="1129" t="s">
        <v>3454</v>
      </c>
    </row>
    <row r="7" spans="2:21" ht="15" customHeight="1">
      <c r="B7" s="1091" t="s">
        <v>3330</v>
      </c>
      <c r="C7" s="1156" t="s">
        <v>4127</v>
      </c>
      <c r="D7" s="1099" t="s">
        <v>3271</v>
      </c>
      <c r="E7" s="1092">
        <v>0.9</v>
      </c>
      <c r="F7" s="1092">
        <f t="shared" ref="F7:F21" si="0">1-E7</f>
        <v>9.9999999999999978E-2</v>
      </c>
      <c r="G7" s="1092">
        <v>0.16</v>
      </c>
      <c r="H7" s="1092">
        <v>1</v>
      </c>
      <c r="I7" s="1092">
        <v>1</v>
      </c>
      <c r="J7" s="1092">
        <f t="shared" ref="J7:J21" si="1">E7*G7-F7*H7</f>
        <v>4.4000000000000039E-2</v>
      </c>
      <c r="K7" s="1101">
        <v>60</v>
      </c>
      <c r="L7" s="1095">
        <f t="shared" ref="L7:L21" si="2">K7*12</f>
        <v>720</v>
      </c>
      <c r="M7" s="1095">
        <v>5</v>
      </c>
      <c r="N7" s="1096">
        <f t="shared" ref="N7:N21" si="3">1-(1-(1-E7)^M7)^L7</f>
        <v>7.1741778381188004E-3</v>
      </c>
      <c r="O7" s="1093">
        <f t="shared" ref="O7:O21" si="4">IF($O$6="Máximo",$C$4/M7/I7,$C$4/M7/H7)</f>
        <v>248</v>
      </c>
      <c r="P7" s="1092">
        <f t="shared" ref="P7:P21" si="5">O7/$C$2</f>
        <v>0.04</v>
      </c>
      <c r="Q7" s="1100">
        <v>0.04</v>
      </c>
      <c r="R7" s="1093">
        <f t="shared" ref="R7:R21" si="6">Q7*$C$2</f>
        <v>248</v>
      </c>
      <c r="S7" s="1093">
        <f t="shared" ref="S7:S21" si="7">R7*I7</f>
        <v>248</v>
      </c>
      <c r="T7" s="1098">
        <f>ROUNDDOWN(J7*K7,1)</f>
        <v>2.6</v>
      </c>
      <c r="U7" s="1098">
        <f t="shared" ref="U7:U21" si="8">T7*R7</f>
        <v>644.80000000000007</v>
      </c>
    </row>
    <row r="8" spans="2:21" ht="15" hidden="1" customHeight="1">
      <c r="B8" s="1091" t="s">
        <v>3333</v>
      </c>
      <c r="C8" s="1091"/>
      <c r="D8" s="1099" t="s">
        <v>3936</v>
      </c>
      <c r="E8" s="1092">
        <v>0.7</v>
      </c>
      <c r="F8" s="1092">
        <f t="shared" si="0"/>
        <v>0.30000000000000004</v>
      </c>
      <c r="G8" s="1092">
        <v>0.45</v>
      </c>
      <c r="H8" s="1092">
        <v>0.8</v>
      </c>
      <c r="I8" s="1092">
        <v>1</v>
      </c>
      <c r="J8" s="1092">
        <f t="shared" si="1"/>
        <v>7.4999999999999956E-2</v>
      </c>
      <c r="K8" s="1101">
        <v>30</v>
      </c>
      <c r="L8" s="1095">
        <f t="shared" si="2"/>
        <v>360</v>
      </c>
      <c r="M8" s="1095">
        <v>8</v>
      </c>
      <c r="N8" s="1096">
        <f t="shared" si="3"/>
        <v>2.3343597299662178E-2</v>
      </c>
      <c r="O8" s="1093">
        <f t="shared" si="4"/>
        <v>155</v>
      </c>
      <c r="P8" s="1092">
        <f t="shared" si="5"/>
        <v>2.5000000000000001E-2</v>
      </c>
      <c r="Q8" s="1100">
        <v>0.02</v>
      </c>
      <c r="R8" s="1093">
        <f t="shared" si="6"/>
        <v>124</v>
      </c>
      <c r="S8" s="1093">
        <f t="shared" si="7"/>
        <v>124</v>
      </c>
      <c r="T8" s="1098">
        <f t="shared" ref="T8:T21" si="9">ROUNDDOWN(J8*K8,1)</f>
        <v>2.2000000000000002</v>
      </c>
      <c r="U8" s="1098">
        <f t="shared" si="8"/>
        <v>272.8</v>
      </c>
    </row>
    <row r="9" spans="2:21" ht="15" hidden="1" customHeight="1">
      <c r="B9" s="1091" t="s">
        <v>3921</v>
      </c>
      <c r="C9" s="1156"/>
      <c r="D9" s="1099" t="s">
        <v>3868</v>
      </c>
      <c r="E9" s="1092">
        <v>0.75</v>
      </c>
      <c r="F9" s="1092">
        <f t="shared" si="0"/>
        <v>0.25</v>
      </c>
      <c r="G9" s="1092">
        <v>0.2</v>
      </c>
      <c r="H9" s="1092">
        <v>0.35</v>
      </c>
      <c r="I9" s="1092">
        <v>0.45</v>
      </c>
      <c r="J9" s="1092">
        <f t="shared" si="1"/>
        <v>6.2500000000000028E-2</v>
      </c>
      <c r="K9" s="1101">
        <v>30</v>
      </c>
      <c r="L9" s="1095">
        <f t="shared" si="2"/>
        <v>360</v>
      </c>
      <c r="M9" s="1095">
        <v>7</v>
      </c>
      <c r="N9" s="1096">
        <f t="shared" si="3"/>
        <v>2.1733671832260937E-2</v>
      </c>
      <c r="O9" s="1093">
        <f t="shared" si="4"/>
        <v>393.65079365079362</v>
      </c>
      <c r="P9" s="1092">
        <f t="shared" si="5"/>
        <v>6.3492063492063489E-2</v>
      </c>
      <c r="Q9" s="1100">
        <v>0.06</v>
      </c>
      <c r="R9" s="1093">
        <f t="shared" si="6"/>
        <v>372</v>
      </c>
      <c r="S9" s="1093">
        <f t="shared" si="7"/>
        <v>167.4</v>
      </c>
      <c r="T9" s="1098">
        <f t="shared" si="9"/>
        <v>1.8</v>
      </c>
      <c r="U9" s="1098">
        <f t="shared" si="8"/>
        <v>669.6</v>
      </c>
    </row>
    <row r="10" spans="2:21" ht="15" customHeight="1">
      <c r="B10" s="1091" t="s">
        <v>179</v>
      </c>
      <c r="C10" s="1156" t="s">
        <v>4127</v>
      </c>
      <c r="D10" s="1099" t="s">
        <v>3554</v>
      </c>
      <c r="E10" s="1092">
        <v>0.97</v>
      </c>
      <c r="F10" s="1092">
        <f t="shared" si="0"/>
        <v>3.0000000000000027E-2</v>
      </c>
      <c r="G10" s="1092">
        <f>1/13.5</f>
        <v>7.407407407407407E-2</v>
      </c>
      <c r="H10" s="1092">
        <v>1</v>
      </c>
      <c r="I10" s="1092">
        <v>1</v>
      </c>
      <c r="J10" s="1092">
        <f t="shared" si="1"/>
        <v>4.1851851851851821E-2</v>
      </c>
      <c r="K10" s="1101">
        <v>30</v>
      </c>
      <c r="L10" s="1095">
        <f t="shared" si="2"/>
        <v>360</v>
      </c>
      <c r="M10" s="1095">
        <v>3</v>
      </c>
      <c r="N10" s="1096">
        <f t="shared" si="3"/>
        <v>9.6730434368588192E-3</v>
      </c>
      <c r="O10" s="1093">
        <f t="shared" si="4"/>
        <v>413.33333333333331</v>
      </c>
      <c r="P10" s="1092">
        <f t="shared" si="5"/>
        <v>6.6666666666666666E-2</v>
      </c>
      <c r="Q10" s="1100">
        <v>0.06</v>
      </c>
      <c r="R10" s="1093">
        <f t="shared" si="6"/>
        <v>372</v>
      </c>
      <c r="S10" s="1093">
        <f t="shared" si="7"/>
        <v>372</v>
      </c>
      <c r="T10" s="1098">
        <f t="shared" si="9"/>
        <v>1.2</v>
      </c>
      <c r="U10" s="1098">
        <f t="shared" si="8"/>
        <v>446.4</v>
      </c>
    </row>
    <row r="11" spans="2:21" ht="15" customHeight="1">
      <c r="B11" s="1091" t="s">
        <v>3927</v>
      </c>
      <c r="C11" s="1156" t="s">
        <v>4127</v>
      </c>
      <c r="D11" s="1091"/>
      <c r="E11" s="1092">
        <v>0.6</v>
      </c>
      <c r="F11" s="1092">
        <f t="shared" si="0"/>
        <v>0.4</v>
      </c>
      <c r="G11" s="1092">
        <v>0.8</v>
      </c>
      <c r="H11" s="1092">
        <v>1</v>
      </c>
      <c r="I11" s="1092">
        <v>1</v>
      </c>
      <c r="J11" s="1092">
        <f t="shared" si="1"/>
        <v>7.999999999999996E-2</v>
      </c>
      <c r="K11" s="1101">
        <v>40</v>
      </c>
      <c r="L11" s="1095">
        <f t="shared" si="2"/>
        <v>480</v>
      </c>
      <c r="M11" s="1095">
        <v>10</v>
      </c>
      <c r="N11" s="1096">
        <f t="shared" si="3"/>
        <v>4.9088505998729159E-2</v>
      </c>
      <c r="O11" s="1093">
        <f t="shared" si="4"/>
        <v>124</v>
      </c>
      <c r="P11" s="1092">
        <f t="shared" si="5"/>
        <v>0.02</v>
      </c>
      <c r="Q11" s="1100">
        <v>0.02</v>
      </c>
      <c r="R11" s="1093">
        <f t="shared" si="6"/>
        <v>124</v>
      </c>
      <c r="S11" s="1093">
        <f t="shared" si="7"/>
        <v>124</v>
      </c>
      <c r="T11" s="1098">
        <f t="shared" si="9"/>
        <v>3.2</v>
      </c>
      <c r="U11" s="1098">
        <f t="shared" si="8"/>
        <v>396.8</v>
      </c>
    </row>
    <row r="12" spans="2:21" ht="15" hidden="1" customHeight="1">
      <c r="B12" s="1099" t="s">
        <v>3209</v>
      </c>
      <c r="C12" s="1099"/>
      <c r="D12" s="1099" t="s">
        <v>3935</v>
      </c>
      <c r="E12" s="1092">
        <v>0.8</v>
      </c>
      <c r="F12" s="1092">
        <f t="shared" si="0"/>
        <v>0.19999999999999996</v>
      </c>
      <c r="G12" s="1092">
        <v>0.3</v>
      </c>
      <c r="H12" s="1092">
        <v>1</v>
      </c>
      <c r="I12" s="1092">
        <v>1</v>
      </c>
      <c r="J12" s="1092">
        <f t="shared" si="1"/>
        <v>4.0000000000000036E-2</v>
      </c>
      <c r="K12" s="1101">
        <v>30</v>
      </c>
      <c r="L12" s="1095">
        <f t="shared" si="2"/>
        <v>360</v>
      </c>
      <c r="M12" s="1095">
        <v>6</v>
      </c>
      <c r="N12" s="1096">
        <f t="shared" si="3"/>
        <v>2.2777326462001368E-2</v>
      </c>
      <c r="O12" s="1093">
        <f t="shared" si="4"/>
        <v>206.66666666666666</v>
      </c>
      <c r="P12" s="1092">
        <f t="shared" si="5"/>
        <v>3.3333333333333333E-2</v>
      </c>
      <c r="Q12" s="1100">
        <v>0.03</v>
      </c>
      <c r="R12" s="1093">
        <f t="shared" si="6"/>
        <v>186</v>
      </c>
      <c r="S12" s="1093">
        <f t="shared" si="7"/>
        <v>186</v>
      </c>
      <c r="T12" s="1098">
        <f t="shared" si="9"/>
        <v>1.2</v>
      </c>
      <c r="U12" s="1098">
        <f t="shared" si="8"/>
        <v>223.2</v>
      </c>
    </row>
    <row r="13" spans="2:21" ht="15" hidden="1" customHeight="1">
      <c r="B13" s="1091" t="s">
        <v>3922</v>
      </c>
      <c r="C13" s="1156"/>
      <c r="D13" s="1099" t="s">
        <v>3868</v>
      </c>
      <c r="E13" s="1092">
        <v>0.85</v>
      </c>
      <c r="F13" s="1092">
        <f t="shared" si="0"/>
        <v>0.15000000000000002</v>
      </c>
      <c r="G13" s="1092">
        <v>0.05</v>
      </c>
      <c r="H13" s="1092">
        <v>0.1</v>
      </c>
      <c r="I13" s="1092">
        <v>0.3</v>
      </c>
      <c r="J13" s="1092">
        <f t="shared" si="1"/>
        <v>2.75E-2</v>
      </c>
      <c r="K13" s="1101">
        <v>60</v>
      </c>
      <c r="L13" s="1095">
        <f t="shared" si="2"/>
        <v>720</v>
      </c>
      <c r="M13" s="1095">
        <v>6</v>
      </c>
      <c r="N13" s="1096">
        <f t="shared" si="3"/>
        <v>8.1677578252626892E-3</v>
      </c>
      <c r="O13" s="1093">
        <f t="shared" si="4"/>
        <v>688.88888888888891</v>
      </c>
      <c r="P13" s="1092">
        <f t="shared" si="5"/>
        <v>0.11111111111111112</v>
      </c>
      <c r="Q13" s="1100">
        <v>0.1</v>
      </c>
      <c r="R13" s="1093">
        <f t="shared" si="6"/>
        <v>620</v>
      </c>
      <c r="S13" s="1093">
        <f t="shared" si="7"/>
        <v>186</v>
      </c>
      <c r="T13" s="1098">
        <f t="shared" si="9"/>
        <v>1.6</v>
      </c>
      <c r="U13" s="1098">
        <f t="shared" si="8"/>
        <v>992</v>
      </c>
    </row>
    <row r="14" spans="2:21" ht="15" hidden="1" customHeight="1">
      <c r="B14" s="1091" t="s">
        <v>3916</v>
      </c>
      <c r="C14" s="1091"/>
      <c r="D14" s="1099" t="s">
        <v>3271</v>
      </c>
      <c r="E14" s="1092">
        <v>0.7</v>
      </c>
      <c r="F14" s="1092">
        <f t="shared" si="0"/>
        <v>0.30000000000000004</v>
      </c>
      <c r="G14" s="1092">
        <v>0.1</v>
      </c>
      <c r="H14" s="1092">
        <v>0.16</v>
      </c>
      <c r="I14" s="1092">
        <v>0.37</v>
      </c>
      <c r="J14" s="1092">
        <f t="shared" si="1"/>
        <v>2.1999999999999985E-2</v>
      </c>
      <c r="K14" s="1101">
        <v>60</v>
      </c>
      <c r="L14" s="1095">
        <f t="shared" si="2"/>
        <v>720</v>
      </c>
      <c r="M14" s="1095">
        <v>8</v>
      </c>
      <c r="N14" s="1096">
        <f t="shared" si="3"/>
        <v>4.6142271064435691E-2</v>
      </c>
      <c r="O14" s="1093">
        <f t="shared" si="4"/>
        <v>418.91891891891891</v>
      </c>
      <c r="P14" s="1092">
        <f t="shared" si="5"/>
        <v>6.7567567567567571E-2</v>
      </c>
      <c r="Q14" s="1100">
        <v>0.05</v>
      </c>
      <c r="R14" s="1093">
        <f t="shared" si="6"/>
        <v>310</v>
      </c>
      <c r="S14" s="1093">
        <f t="shared" si="7"/>
        <v>114.7</v>
      </c>
      <c r="T14" s="1098">
        <f t="shared" si="9"/>
        <v>1.3</v>
      </c>
      <c r="U14" s="1098">
        <f t="shared" si="8"/>
        <v>403</v>
      </c>
    </row>
    <row r="15" spans="2:21" ht="15" customHeight="1">
      <c r="B15" s="1091" t="s">
        <v>3915</v>
      </c>
      <c r="C15" s="1156" t="s">
        <v>4127</v>
      </c>
      <c r="D15" s="1099" t="s">
        <v>3868</v>
      </c>
      <c r="E15" s="1092">
        <v>0.7</v>
      </c>
      <c r="F15" s="1092">
        <f t="shared" si="0"/>
        <v>0.30000000000000004</v>
      </c>
      <c r="G15" s="1092">
        <v>0.06</v>
      </c>
      <c r="H15" s="1092">
        <v>7.4999999999999997E-2</v>
      </c>
      <c r="I15" s="1092">
        <v>0.15</v>
      </c>
      <c r="J15" s="1092">
        <f t="shared" si="1"/>
        <v>1.9499999999999993E-2</v>
      </c>
      <c r="K15" s="1101">
        <v>30</v>
      </c>
      <c r="L15" s="1095">
        <f t="shared" si="2"/>
        <v>360</v>
      </c>
      <c r="M15" s="1095">
        <v>8</v>
      </c>
      <c r="N15" s="1096">
        <f>1-(1-(1-E15)^M15)^L15</f>
        <v>2.3343597299662178E-2</v>
      </c>
      <c r="O15" s="1093">
        <f t="shared" si="4"/>
        <v>1033.3333333333335</v>
      </c>
      <c r="P15" s="1092">
        <f t="shared" si="5"/>
        <v>0.16666666666666669</v>
      </c>
      <c r="Q15" s="1100">
        <v>0.15</v>
      </c>
      <c r="R15" s="1093">
        <f t="shared" si="6"/>
        <v>930</v>
      </c>
      <c r="S15" s="1093">
        <f t="shared" si="7"/>
        <v>139.5</v>
      </c>
      <c r="T15" s="1098">
        <f t="shared" si="9"/>
        <v>0.5</v>
      </c>
      <c r="U15" s="1098">
        <f t="shared" si="8"/>
        <v>465</v>
      </c>
    </row>
    <row r="16" spans="2:21" ht="15" customHeight="1">
      <c r="B16" s="1091" t="s">
        <v>74</v>
      </c>
      <c r="C16" s="1156" t="s">
        <v>4127</v>
      </c>
      <c r="D16" s="1099" t="s">
        <v>3935</v>
      </c>
      <c r="E16" s="1092">
        <v>0.96</v>
      </c>
      <c r="F16" s="1092">
        <f t="shared" si="0"/>
        <v>4.0000000000000036E-2</v>
      </c>
      <c r="G16" s="1092">
        <f>1/15.5</f>
        <v>6.4516129032258063E-2</v>
      </c>
      <c r="H16" s="1092">
        <v>1</v>
      </c>
      <c r="I16" s="1092">
        <v>1</v>
      </c>
      <c r="J16" s="1092">
        <f t="shared" si="1"/>
        <v>2.1935483870967699E-2</v>
      </c>
      <c r="K16" s="1101">
        <v>30</v>
      </c>
      <c r="L16" s="1095">
        <f t="shared" si="2"/>
        <v>360</v>
      </c>
      <c r="M16" s="1095">
        <v>3</v>
      </c>
      <c r="N16" s="1096">
        <f t="shared" si="3"/>
        <v>2.2777326462001368E-2</v>
      </c>
      <c r="O16" s="1093">
        <f t="shared" si="4"/>
        <v>413.33333333333331</v>
      </c>
      <c r="P16" s="1092">
        <f t="shared" si="5"/>
        <v>6.6666666666666666E-2</v>
      </c>
      <c r="Q16" s="1100">
        <v>0.06</v>
      </c>
      <c r="R16" s="1093">
        <f t="shared" si="6"/>
        <v>372</v>
      </c>
      <c r="S16" s="1093">
        <f t="shared" si="7"/>
        <v>372</v>
      </c>
      <c r="T16" s="1098">
        <f t="shared" si="9"/>
        <v>0.6</v>
      </c>
      <c r="U16" s="1098">
        <f t="shared" si="8"/>
        <v>223.2</v>
      </c>
    </row>
    <row r="17" spans="2:21" ht="15" hidden="1" customHeight="1">
      <c r="B17" s="1091" t="s">
        <v>3661</v>
      </c>
      <c r="C17" s="1091"/>
      <c r="D17" s="1099" t="s">
        <v>3271</v>
      </c>
      <c r="E17" s="1092">
        <v>0.8</v>
      </c>
      <c r="F17" s="1092">
        <f t="shared" si="0"/>
        <v>0.19999999999999996</v>
      </c>
      <c r="G17" s="1092">
        <v>0.05</v>
      </c>
      <c r="H17" s="1092">
        <v>0.1</v>
      </c>
      <c r="I17" s="1092">
        <v>0.4</v>
      </c>
      <c r="J17" s="1092">
        <f t="shared" si="1"/>
        <v>2.0000000000000011E-2</v>
      </c>
      <c r="K17" s="1101">
        <v>30</v>
      </c>
      <c r="L17" s="1095">
        <f t="shared" si="2"/>
        <v>360</v>
      </c>
      <c r="M17" s="1095">
        <v>6</v>
      </c>
      <c r="N17" s="1096">
        <f t="shared" si="3"/>
        <v>2.2777326462001368E-2</v>
      </c>
      <c r="O17" s="1093">
        <f t="shared" si="4"/>
        <v>516.66666666666663</v>
      </c>
      <c r="P17" s="1092">
        <f t="shared" si="5"/>
        <v>8.3333333333333329E-2</v>
      </c>
      <c r="Q17" s="1100">
        <v>0.08</v>
      </c>
      <c r="R17" s="1093">
        <f t="shared" si="6"/>
        <v>496</v>
      </c>
      <c r="S17" s="1093">
        <f t="shared" si="7"/>
        <v>198.4</v>
      </c>
      <c r="T17" s="1098">
        <f t="shared" si="9"/>
        <v>0.6</v>
      </c>
      <c r="U17" s="1098">
        <f t="shared" si="8"/>
        <v>297.59999999999997</v>
      </c>
    </row>
    <row r="18" spans="2:21" ht="15" customHeight="1">
      <c r="B18" s="1091" t="s">
        <v>3914</v>
      </c>
      <c r="C18" s="1156" t="s">
        <v>4127</v>
      </c>
      <c r="D18" s="1099" t="s">
        <v>3271</v>
      </c>
      <c r="E18" s="1092">
        <v>0.95</v>
      </c>
      <c r="F18" s="1092">
        <f t="shared" si="0"/>
        <v>5.0000000000000044E-2</v>
      </c>
      <c r="G18" s="1092">
        <f>1/13.5</f>
        <v>7.407407407407407E-2</v>
      </c>
      <c r="H18" s="1092">
        <v>1</v>
      </c>
      <c r="I18" s="1092">
        <v>1</v>
      </c>
      <c r="J18" s="1092">
        <f t="shared" si="1"/>
        <v>2.0370370370370317E-2</v>
      </c>
      <c r="K18" s="1101">
        <v>30</v>
      </c>
      <c r="L18" s="1095">
        <f t="shared" si="2"/>
        <v>360</v>
      </c>
      <c r="M18" s="1095">
        <v>3</v>
      </c>
      <c r="N18" s="1096">
        <f t="shared" si="3"/>
        <v>4.4005207130139778E-2</v>
      </c>
      <c r="O18" s="1093">
        <f t="shared" si="4"/>
        <v>413.33333333333331</v>
      </c>
      <c r="P18" s="1092">
        <f t="shared" si="5"/>
        <v>6.6666666666666666E-2</v>
      </c>
      <c r="Q18" s="1100">
        <v>0.06</v>
      </c>
      <c r="R18" s="1093">
        <f t="shared" si="6"/>
        <v>372</v>
      </c>
      <c r="S18" s="1093">
        <f t="shared" si="7"/>
        <v>372</v>
      </c>
      <c r="T18" s="1098">
        <f t="shared" si="9"/>
        <v>0.6</v>
      </c>
      <c r="U18" s="1098">
        <f t="shared" si="8"/>
        <v>223.2</v>
      </c>
    </row>
    <row r="19" spans="2:21" ht="15" hidden="1" customHeight="1">
      <c r="B19" s="1091" t="s">
        <v>3817</v>
      </c>
      <c r="C19" s="1156"/>
      <c r="D19" s="1099" t="s">
        <v>3868</v>
      </c>
      <c r="E19" s="1092">
        <v>0.75</v>
      </c>
      <c r="F19" s="1092">
        <f t="shared" si="0"/>
        <v>0.25</v>
      </c>
      <c r="G19" s="1092">
        <v>3.5000000000000003E-2</v>
      </c>
      <c r="H19" s="1092">
        <v>7.0000000000000007E-2</v>
      </c>
      <c r="I19" s="1092">
        <v>0.2</v>
      </c>
      <c r="J19" s="1092">
        <f t="shared" si="1"/>
        <v>8.7500000000000008E-3</v>
      </c>
      <c r="K19" s="1101">
        <v>60</v>
      </c>
      <c r="L19" s="1095">
        <f t="shared" si="2"/>
        <v>720</v>
      </c>
      <c r="M19" s="1095">
        <v>7</v>
      </c>
      <c r="N19" s="1096">
        <f t="shared" si="3"/>
        <v>4.2994991173209596E-2</v>
      </c>
      <c r="O19" s="1093">
        <f t="shared" si="4"/>
        <v>885.71428571428567</v>
      </c>
      <c r="P19" s="1092">
        <f t="shared" si="5"/>
        <v>0.14285714285714285</v>
      </c>
      <c r="Q19" s="1100">
        <v>0.1</v>
      </c>
      <c r="R19" s="1093">
        <f t="shared" si="6"/>
        <v>620</v>
      </c>
      <c r="S19" s="1093">
        <f t="shared" si="7"/>
        <v>124</v>
      </c>
      <c r="T19" s="1098">
        <f t="shared" si="9"/>
        <v>0.5</v>
      </c>
      <c r="U19" s="1098">
        <f t="shared" si="8"/>
        <v>310</v>
      </c>
    </row>
    <row r="20" spans="2:21" ht="15" hidden="1" customHeight="1">
      <c r="B20" s="1175" t="s">
        <v>4155</v>
      </c>
      <c r="C20" s="1175"/>
      <c r="D20" s="1099" t="s">
        <v>3868</v>
      </c>
      <c r="E20" s="1092">
        <v>0.75</v>
      </c>
      <c r="F20" s="1092">
        <f t="shared" si="0"/>
        <v>0.25</v>
      </c>
      <c r="G20" s="1092">
        <v>0.37</v>
      </c>
      <c r="H20" s="1092">
        <v>1</v>
      </c>
      <c r="I20" s="1092">
        <v>1</v>
      </c>
      <c r="J20" s="1092">
        <f t="shared" si="1"/>
        <v>2.7499999999999969E-2</v>
      </c>
      <c r="K20" s="1101">
        <v>50</v>
      </c>
      <c r="L20" s="1095">
        <f t="shared" si="2"/>
        <v>600</v>
      </c>
      <c r="M20" s="1095">
        <v>7</v>
      </c>
      <c r="N20" s="1096">
        <f t="shared" si="3"/>
        <v>3.595972999749153E-2</v>
      </c>
      <c r="O20" s="1093">
        <f t="shared" si="4"/>
        <v>177.14285714285714</v>
      </c>
      <c r="P20" s="1092">
        <f t="shared" si="5"/>
        <v>2.8571428571428571E-2</v>
      </c>
      <c r="Q20" s="1100">
        <v>0.01</v>
      </c>
      <c r="R20" s="1093">
        <f t="shared" si="6"/>
        <v>62</v>
      </c>
      <c r="S20" s="1093">
        <f t="shared" si="7"/>
        <v>62</v>
      </c>
      <c r="T20" s="1098">
        <f t="shared" si="9"/>
        <v>1.3</v>
      </c>
      <c r="U20" s="1098">
        <f t="shared" si="8"/>
        <v>80.600000000000009</v>
      </c>
    </row>
    <row r="21" spans="2:21" ht="15" customHeight="1">
      <c r="B21" s="1091" t="s">
        <v>3334</v>
      </c>
      <c r="C21" s="1156" t="s">
        <v>4127</v>
      </c>
      <c r="D21" s="1099" t="s">
        <v>3935</v>
      </c>
      <c r="E21" s="1092">
        <v>0.97</v>
      </c>
      <c r="F21" s="1092">
        <f t="shared" si="0"/>
        <v>3.0000000000000027E-2</v>
      </c>
      <c r="G21" s="1092">
        <f>1/22.5</f>
        <v>4.4444444444444446E-2</v>
      </c>
      <c r="H21" s="1092">
        <v>1</v>
      </c>
      <c r="I21" s="1092">
        <v>1</v>
      </c>
      <c r="J21" s="1092">
        <f t="shared" si="1"/>
        <v>1.3111111111111087E-2</v>
      </c>
      <c r="K21" s="1101">
        <v>30</v>
      </c>
      <c r="L21" s="1095">
        <f t="shared" si="2"/>
        <v>360</v>
      </c>
      <c r="M21" s="1095">
        <v>3</v>
      </c>
      <c r="N21" s="1096">
        <f t="shared" si="3"/>
        <v>9.6730434368588192E-3</v>
      </c>
      <c r="O21" s="1093">
        <f t="shared" si="4"/>
        <v>413.33333333333331</v>
      </c>
      <c r="P21" s="1092">
        <f t="shared" si="5"/>
        <v>6.6666666666666666E-2</v>
      </c>
      <c r="Q21" s="1100">
        <v>0.06</v>
      </c>
      <c r="R21" s="1093">
        <f t="shared" si="6"/>
        <v>372</v>
      </c>
      <c r="S21" s="1093">
        <f t="shared" si="7"/>
        <v>372</v>
      </c>
      <c r="T21" s="1098">
        <f t="shared" si="9"/>
        <v>0.3</v>
      </c>
      <c r="U21" s="1098">
        <f t="shared" si="8"/>
        <v>111.6</v>
      </c>
    </row>
    <row r="22" spans="2:21" customFormat="1" ht="15" customHeight="1"/>
    <row r="23" spans="2:21" ht="15" customHeight="1">
      <c r="C23" s="1156"/>
      <c r="U23" s="1093">
        <f>SUMIF(C7:C21,"x",U7:U21)</f>
        <v>2510.9999999999995</v>
      </c>
    </row>
    <row r="24" spans="2:21" ht="15" customHeight="1">
      <c r="U24" s="1092">
        <f>U23/C2</f>
        <v>0.40499999999999992</v>
      </c>
    </row>
    <row r="25" spans="2:21" ht="15" customHeight="1">
      <c r="B25" s="1108"/>
      <c r="C25" s="1108"/>
      <c r="E25" s="1122"/>
    </row>
    <row r="26" spans="2:21" ht="15" customHeight="1">
      <c r="B26" s="1108"/>
      <c r="C26" s="1108"/>
      <c r="E26" s="1108"/>
    </row>
    <row r="27" spans="2:21" ht="15" customHeight="1">
      <c r="B27" s="1108"/>
      <c r="C27" s="1108"/>
    </row>
    <row r="28" spans="2:21" ht="15" customHeight="1">
      <c r="B28" s="1108"/>
      <c r="C28" s="1108"/>
    </row>
    <row r="29" spans="2:21" ht="15" customHeight="1">
      <c r="B29" s="1108"/>
      <c r="C29" s="1108"/>
    </row>
    <row r="30" spans="2:21" ht="15" customHeight="1">
      <c r="B30" s="1108"/>
      <c r="C30" s="1108"/>
    </row>
    <row r="31" spans="2:21" ht="15" customHeight="1">
      <c r="B31" s="1108"/>
      <c r="C31" s="1108"/>
    </row>
    <row r="32" spans="2:21" ht="15" customHeight="1">
      <c r="B32" s="1108"/>
      <c r="C32" s="1108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1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>
      <c r="B2" s="4" t="s">
        <v>0</v>
      </c>
      <c r="C2" s="4" t="s">
        <v>1</v>
      </c>
      <c r="D2" s="4" t="s">
        <v>3236</v>
      </c>
      <c r="E2" s="4" t="s">
        <v>3665</v>
      </c>
      <c r="F2" s="4" t="s">
        <v>3664</v>
      </c>
      <c r="G2" s="4" t="s">
        <v>3666</v>
      </c>
      <c r="H2" s="4" t="s">
        <v>3663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  <c r="P2" s="4" t="s">
        <v>3667</v>
      </c>
    </row>
    <row r="3" spans="2:16" ht="15" customHeight="1">
      <c r="B3" s="613">
        <v>46204</v>
      </c>
      <c r="C3" s="612" t="s">
        <v>3657</v>
      </c>
      <c r="D3" s="612" t="s">
        <v>3331</v>
      </c>
      <c r="E3" s="614">
        <v>27</v>
      </c>
      <c r="F3" s="614">
        <v>32</v>
      </c>
      <c r="G3" s="968">
        <v>71</v>
      </c>
      <c r="H3" s="967" t="s">
        <v>3388</v>
      </c>
      <c r="I3" s="965" t="s">
        <v>3233</v>
      </c>
      <c r="J3" s="917" t="s">
        <v>3393</v>
      </c>
      <c r="K3" s="612" t="s">
        <v>3229</v>
      </c>
      <c r="L3" s="917" t="s">
        <v>3240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6" t="s">
        <v>3668</v>
      </c>
    </row>
    <row r="4" spans="2:16" ht="15" customHeight="1">
      <c r="B4" s="613">
        <v>46214</v>
      </c>
      <c r="C4" s="612" t="s">
        <v>3741</v>
      </c>
      <c r="D4" s="612" t="s">
        <v>3331</v>
      </c>
      <c r="E4" s="614">
        <v>60</v>
      </c>
      <c r="F4" s="614">
        <v>1000</v>
      </c>
      <c r="G4" s="968" t="s">
        <v>3769</v>
      </c>
      <c r="H4" s="967" t="s">
        <v>3254</v>
      </c>
      <c r="I4" s="965" t="s">
        <v>3233</v>
      </c>
      <c r="J4" s="917" t="s">
        <v>3393</v>
      </c>
      <c r="K4" s="612" t="s">
        <v>3229</v>
      </c>
      <c r="L4" s="917" t="s">
        <v>3240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>
      <c r="B5" s="613">
        <v>46215</v>
      </c>
      <c r="C5" s="612" t="s">
        <v>3772</v>
      </c>
      <c r="D5" s="612" t="s">
        <v>3793</v>
      </c>
      <c r="E5" s="614">
        <v>7.7726672431412629</v>
      </c>
      <c r="F5" s="614">
        <v>1000</v>
      </c>
      <c r="G5" s="968" t="s">
        <v>3769</v>
      </c>
      <c r="H5" s="1042" t="s">
        <v>3794</v>
      </c>
      <c r="I5" s="1040" t="s">
        <v>3328</v>
      </c>
      <c r="J5" s="1040" t="s">
        <v>391</v>
      </c>
      <c r="K5" s="612" t="s">
        <v>3229</v>
      </c>
      <c r="L5" s="917" t="s">
        <v>3240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>
      <c r="B6" s="613">
        <v>46216</v>
      </c>
      <c r="C6" s="612" t="s">
        <v>3797</v>
      </c>
      <c r="D6" s="612" t="s">
        <v>3793</v>
      </c>
      <c r="E6" s="614">
        <v>16.458385267982791</v>
      </c>
      <c r="F6" s="614">
        <v>1000</v>
      </c>
      <c r="G6" s="968" t="s">
        <v>3769</v>
      </c>
      <c r="H6" s="1042" t="s">
        <v>3682</v>
      </c>
      <c r="I6" s="1040" t="s">
        <v>3233</v>
      </c>
      <c r="J6" s="1040" t="s">
        <v>391</v>
      </c>
      <c r="K6" s="612" t="s">
        <v>3229</v>
      </c>
      <c r="L6" s="917" t="s">
        <v>3240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>
      <c r="B7" s="613">
        <v>46221</v>
      </c>
      <c r="C7" s="612" t="s">
        <v>3877</v>
      </c>
      <c r="D7" s="612" t="s">
        <v>3768</v>
      </c>
      <c r="E7" s="614">
        <v>8.4</v>
      </c>
      <c r="F7" s="614">
        <v>4.7</v>
      </c>
      <c r="G7" s="968">
        <v>35</v>
      </c>
      <c r="H7" s="1042" t="s">
        <v>3388</v>
      </c>
      <c r="I7" s="1040" t="s">
        <v>3233</v>
      </c>
      <c r="J7" s="1040" t="s">
        <v>391</v>
      </c>
      <c r="K7" s="612" t="s">
        <v>3229</v>
      </c>
      <c r="L7" s="917" t="s">
        <v>3240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>
      <c r="B8" s="613">
        <v>46221</v>
      </c>
      <c r="C8" s="612" t="s">
        <v>3883</v>
      </c>
      <c r="D8" s="612" t="s">
        <v>3795</v>
      </c>
      <c r="E8" s="614">
        <v>30</v>
      </c>
      <c r="F8" s="614">
        <v>30</v>
      </c>
      <c r="G8" s="968" t="s">
        <v>3769</v>
      </c>
      <c r="H8" s="1042" t="s">
        <v>3682</v>
      </c>
      <c r="I8" s="1040" t="s">
        <v>3233</v>
      </c>
      <c r="J8" s="1040" t="s">
        <v>391</v>
      </c>
      <c r="K8" s="612" t="s">
        <v>3229</v>
      </c>
      <c r="L8" s="917" t="s">
        <v>3240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>
      <c r="B2" s="613" t="s">
        <v>0</v>
      </c>
      <c r="C2" s="612" t="s">
        <v>1</v>
      </c>
      <c r="D2" s="646" t="s">
        <v>3236</v>
      </c>
      <c r="E2" s="612" t="s">
        <v>3228</v>
      </c>
      <c r="F2" s="612" t="s">
        <v>12</v>
      </c>
      <c r="G2" s="656" t="s">
        <v>3234</v>
      </c>
      <c r="H2" s="612" t="s">
        <v>3231</v>
      </c>
      <c r="I2" s="612" t="s">
        <v>349</v>
      </c>
      <c r="J2" s="614" t="s">
        <v>263</v>
      </c>
      <c r="K2" s="614" t="s">
        <v>9</v>
      </c>
      <c r="L2" s="615" t="s">
        <v>3235</v>
      </c>
      <c r="M2" s="664" t="s">
        <v>3417</v>
      </c>
    </row>
    <row r="3" spans="2:13" ht="15" customHeight="1">
      <c r="B3" s="613">
        <v>46179.539074074077</v>
      </c>
      <c r="C3" s="612" t="s">
        <v>3199</v>
      </c>
      <c r="D3" s="646" t="s">
        <v>3237</v>
      </c>
      <c r="E3" s="612">
        <v>7</v>
      </c>
      <c r="F3" s="612" t="s">
        <v>3233</v>
      </c>
      <c r="G3" s="656" t="s">
        <v>391</v>
      </c>
      <c r="H3" s="612" t="s">
        <v>3230</v>
      </c>
      <c r="I3" s="612" t="s">
        <v>3232</v>
      </c>
      <c r="J3" s="614">
        <v>100</v>
      </c>
      <c r="K3" s="614">
        <v>40.340000000000003</v>
      </c>
      <c r="L3" s="615">
        <f>K3/J3</f>
        <v>0.40340000000000004</v>
      </c>
      <c r="M3" s="671"/>
    </row>
    <row r="4" spans="2:13" ht="15" customHeight="1">
      <c r="B4" s="613">
        <v>46180.752916666665</v>
      </c>
      <c r="C4" s="612" t="s">
        <v>3192</v>
      </c>
      <c r="D4" s="646" t="s">
        <v>3237</v>
      </c>
      <c r="E4" s="612">
        <v>8</v>
      </c>
      <c r="F4" s="612" t="s">
        <v>3233</v>
      </c>
      <c r="G4" s="656" t="s">
        <v>391</v>
      </c>
      <c r="H4" s="612" t="s">
        <v>3230</v>
      </c>
      <c r="I4" s="612" t="s">
        <v>3232</v>
      </c>
      <c r="J4" s="614">
        <v>100</v>
      </c>
      <c r="K4" s="614">
        <v>-99.99</v>
      </c>
      <c r="L4" s="615">
        <f t="shared" ref="L4:L23" si="0">K4/J4</f>
        <v>-0.9998999999999999</v>
      </c>
      <c r="M4" s="670" t="s">
        <v>3416</v>
      </c>
    </row>
    <row r="5" spans="2:13" ht="15" customHeight="1">
      <c r="B5" s="613">
        <v>46181.919953703706</v>
      </c>
      <c r="C5" s="612" t="s">
        <v>3223</v>
      </c>
      <c r="D5" s="646" t="s">
        <v>3237</v>
      </c>
      <c r="E5" s="612">
        <v>8</v>
      </c>
      <c r="F5" s="612" t="s">
        <v>3233</v>
      </c>
      <c r="G5" s="656" t="s">
        <v>391</v>
      </c>
      <c r="H5" s="612" t="s">
        <v>3230</v>
      </c>
      <c r="I5" s="612" t="s">
        <v>3232</v>
      </c>
      <c r="J5" s="614">
        <v>100</v>
      </c>
      <c r="K5" s="614">
        <v>30.28</v>
      </c>
      <c r="L5" s="615">
        <f t="shared" si="0"/>
        <v>0.30280000000000001</v>
      </c>
      <c r="M5" s="671"/>
    </row>
    <row r="6" spans="2:13" ht="15" customHeight="1">
      <c r="B6" s="613">
        <v>46182</v>
      </c>
      <c r="C6" s="612" t="s">
        <v>3245</v>
      </c>
      <c r="D6" s="646" t="s">
        <v>3241</v>
      </c>
      <c r="E6" s="612">
        <v>8</v>
      </c>
      <c r="F6" s="612" t="s">
        <v>3242</v>
      </c>
      <c r="G6" s="656" t="s">
        <v>3242</v>
      </c>
      <c r="H6" s="612" t="s">
        <v>3229</v>
      </c>
      <c r="I6" s="612" t="s">
        <v>3240</v>
      </c>
      <c r="J6" s="614">
        <v>100</v>
      </c>
      <c r="K6" s="614">
        <v>19.63</v>
      </c>
      <c r="L6" s="615">
        <f t="shared" si="0"/>
        <v>0.1963</v>
      </c>
      <c r="M6" s="671"/>
    </row>
    <row r="7" spans="2:13" ht="15" customHeight="1">
      <c r="B7" s="613">
        <v>46182</v>
      </c>
      <c r="C7" s="612" t="s">
        <v>3244</v>
      </c>
      <c r="D7" s="646" t="s">
        <v>3237</v>
      </c>
      <c r="E7" s="612">
        <v>7</v>
      </c>
      <c r="F7" s="612" t="s">
        <v>3233</v>
      </c>
      <c r="G7" s="656" t="s">
        <v>391</v>
      </c>
      <c r="H7" s="612" t="s">
        <v>3230</v>
      </c>
      <c r="I7" s="612" t="s">
        <v>3232</v>
      </c>
      <c r="J7" s="614">
        <v>100</v>
      </c>
      <c r="K7" s="614">
        <v>33.9</v>
      </c>
      <c r="L7" s="615">
        <f t="shared" si="0"/>
        <v>0.33899999999999997</v>
      </c>
      <c r="M7" s="671"/>
    </row>
    <row r="8" spans="2:13" ht="15" customHeight="1">
      <c r="B8" s="613">
        <v>46185</v>
      </c>
      <c r="C8" s="612" t="s">
        <v>3272</v>
      </c>
      <c r="D8" s="646" t="s">
        <v>3331</v>
      </c>
      <c r="E8" s="612">
        <v>8</v>
      </c>
      <c r="F8" s="612" t="s">
        <v>3242</v>
      </c>
      <c r="G8" s="656" t="s">
        <v>3393</v>
      </c>
      <c r="H8" s="612" t="s">
        <v>3230</v>
      </c>
      <c r="I8" s="612" t="s">
        <v>3232</v>
      </c>
      <c r="J8" s="614">
        <v>100</v>
      </c>
      <c r="K8" s="614">
        <v>31</v>
      </c>
      <c r="L8" s="615">
        <f t="shared" si="0"/>
        <v>0.31</v>
      </c>
      <c r="M8" s="671"/>
    </row>
    <row r="9" spans="2:13" ht="15" customHeight="1">
      <c r="B9" s="613">
        <v>46185</v>
      </c>
      <c r="C9" s="612" t="s">
        <v>3320</v>
      </c>
      <c r="D9" s="646" t="s">
        <v>3327</v>
      </c>
      <c r="E9" s="612">
        <v>8</v>
      </c>
      <c r="F9" s="612" t="s">
        <v>3328</v>
      </c>
      <c r="G9" s="656" t="s">
        <v>391</v>
      </c>
      <c r="H9" s="612" t="s">
        <v>3229</v>
      </c>
      <c r="I9" s="612" t="s">
        <v>3232</v>
      </c>
      <c r="J9" s="614">
        <v>100</v>
      </c>
      <c r="K9" s="614">
        <v>34.71</v>
      </c>
      <c r="L9" s="615">
        <f t="shared" si="0"/>
        <v>0.34710000000000002</v>
      </c>
      <c r="M9" s="671"/>
    </row>
    <row r="10" spans="2:13" ht="15" customHeight="1">
      <c r="B10" s="613">
        <v>46186</v>
      </c>
      <c r="C10" s="612" t="s">
        <v>3311</v>
      </c>
      <c r="D10" s="646" t="s">
        <v>3329</v>
      </c>
      <c r="E10" s="612">
        <v>8</v>
      </c>
      <c r="F10" s="612" t="s">
        <v>3233</v>
      </c>
      <c r="G10" s="656" t="s">
        <v>391</v>
      </c>
      <c r="H10" s="612" t="s">
        <v>3230</v>
      </c>
      <c r="I10" s="612" t="s">
        <v>3240</v>
      </c>
      <c r="J10" s="614">
        <v>100</v>
      </c>
      <c r="K10" s="614">
        <v>0.27</v>
      </c>
      <c r="L10" s="615">
        <f t="shared" si="0"/>
        <v>2.7000000000000001E-3</v>
      </c>
      <c r="M10" s="670" t="s">
        <v>3414</v>
      </c>
    </row>
    <row r="11" spans="2:13" ht="15" customHeight="1">
      <c r="B11" s="613">
        <v>46189</v>
      </c>
      <c r="C11" s="612" t="s">
        <v>3345</v>
      </c>
      <c r="D11" s="646" t="s">
        <v>3331</v>
      </c>
      <c r="E11" s="612">
        <v>7</v>
      </c>
      <c r="F11" s="612" t="s">
        <v>3233</v>
      </c>
      <c r="G11" s="656" t="s">
        <v>3393</v>
      </c>
      <c r="H11" s="612" t="s">
        <v>3230</v>
      </c>
      <c r="I11" s="612" t="s">
        <v>3232</v>
      </c>
      <c r="J11" s="614">
        <v>100</v>
      </c>
      <c r="K11" s="614">
        <v>35.7361</v>
      </c>
      <c r="L11" s="615">
        <f t="shared" si="0"/>
        <v>0.35736099999999998</v>
      </c>
      <c r="M11" s="671"/>
    </row>
    <row r="12" spans="2:13" ht="15" customHeight="1">
      <c r="B12" s="613">
        <v>46189.75277777778</v>
      </c>
      <c r="C12" s="612" t="s">
        <v>3375</v>
      </c>
      <c r="D12" s="646" t="s">
        <v>3331</v>
      </c>
      <c r="E12" s="612">
        <v>7</v>
      </c>
      <c r="F12" s="612" t="s">
        <v>3233</v>
      </c>
      <c r="G12" s="656" t="s">
        <v>3393</v>
      </c>
      <c r="H12" s="612" t="s">
        <v>3229</v>
      </c>
      <c r="I12" s="612" t="s">
        <v>3232</v>
      </c>
      <c r="J12" s="614">
        <v>100</v>
      </c>
      <c r="K12" s="614">
        <v>32.135749999999994</v>
      </c>
      <c r="L12" s="615">
        <f t="shared" si="0"/>
        <v>0.32135749999999996</v>
      </c>
      <c r="M12" s="671"/>
    </row>
    <row r="13" spans="2:13" ht="15" customHeight="1">
      <c r="B13" s="613">
        <v>46190.792118055557</v>
      </c>
      <c r="C13" s="612" t="s">
        <v>3356</v>
      </c>
      <c r="D13" s="646" t="s">
        <v>3331</v>
      </c>
      <c r="E13" s="612">
        <v>8</v>
      </c>
      <c r="F13" s="612" t="s">
        <v>3233</v>
      </c>
      <c r="G13" s="656" t="s">
        <v>3393</v>
      </c>
      <c r="H13" s="612" t="s">
        <v>3230</v>
      </c>
      <c r="I13" s="612" t="s">
        <v>3232</v>
      </c>
      <c r="J13" s="614">
        <v>100</v>
      </c>
      <c r="K13" s="614">
        <v>0.2</v>
      </c>
      <c r="L13" s="615">
        <f t="shared" si="0"/>
        <v>2E-3</v>
      </c>
      <c r="M13" s="670" t="s">
        <v>3415</v>
      </c>
    </row>
    <row r="14" spans="2:13" ht="15" customHeight="1">
      <c r="B14" s="613">
        <v>46191</v>
      </c>
      <c r="C14" s="612" t="s">
        <v>3404</v>
      </c>
      <c r="D14" s="646" t="s">
        <v>3331</v>
      </c>
      <c r="E14" s="612">
        <v>8</v>
      </c>
      <c r="F14" s="612" t="s">
        <v>3233</v>
      </c>
      <c r="G14" s="656" t="s">
        <v>3393</v>
      </c>
      <c r="H14" s="612" t="s">
        <v>3230</v>
      </c>
      <c r="I14" s="612" t="s">
        <v>3232</v>
      </c>
      <c r="J14" s="614">
        <v>100</v>
      </c>
      <c r="K14" s="614">
        <v>32.67</v>
      </c>
      <c r="L14" s="615">
        <f t="shared" si="0"/>
        <v>0.32669999999999999</v>
      </c>
      <c r="M14" s="671"/>
    </row>
    <row r="15" spans="2:13" ht="15" customHeight="1">
      <c r="B15" s="613">
        <v>46191</v>
      </c>
      <c r="C15" s="612" t="s">
        <v>3401</v>
      </c>
      <c r="D15" s="646" t="s">
        <v>3331</v>
      </c>
      <c r="E15" s="612">
        <v>7</v>
      </c>
      <c r="F15" s="612" t="s">
        <v>3233</v>
      </c>
      <c r="G15" s="656" t="s">
        <v>3393</v>
      </c>
      <c r="H15" s="612" t="s">
        <v>3230</v>
      </c>
      <c r="I15" s="612" t="s">
        <v>3232</v>
      </c>
      <c r="J15" s="614">
        <v>100</v>
      </c>
      <c r="K15" s="614">
        <v>37.340000000000003</v>
      </c>
      <c r="L15" s="615">
        <f t="shared" si="0"/>
        <v>0.37340000000000001</v>
      </c>
      <c r="M15" s="670" t="s">
        <v>3413</v>
      </c>
    </row>
    <row r="16" spans="2:13" ht="15" customHeight="1">
      <c r="B16" s="613">
        <v>46191</v>
      </c>
      <c r="C16" s="612" t="s">
        <v>3395</v>
      </c>
      <c r="D16" s="646" t="s">
        <v>3331</v>
      </c>
      <c r="E16" s="612">
        <v>8</v>
      </c>
      <c r="F16" s="612" t="s">
        <v>3233</v>
      </c>
      <c r="G16" s="656" t="s">
        <v>3393</v>
      </c>
      <c r="H16" s="612" t="s">
        <v>3230</v>
      </c>
      <c r="I16" s="612" t="s">
        <v>3232</v>
      </c>
      <c r="J16" s="614">
        <v>100</v>
      </c>
      <c r="K16" s="614">
        <v>37.380000000000003</v>
      </c>
      <c r="L16" s="615">
        <f t="shared" si="0"/>
        <v>0.37380000000000002</v>
      </c>
      <c r="M16" s="671"/>
    </row>
    <row r="17" spans="2:13" ht="15" customHeight="1">
      <c r="B17" s="613">
        <v>46192</v>
      </c>
      <c r="C17" s="612" t="s">
        <v>3516</v>
      </c>
      <c r="D17" s="646" t="s">
        <v>3331</v>
      </c>
      <c r="E17" s="612">
        <v>8</v>
      </c>
      <c r="F17" s="612" t="s">
        <v>3233</v>
      </c>
      <c r="G17" s="656" t="s">
        <v>3393</v>
      </c>
      <c r="H17" s="612" t="s">
        <v>3230</v>
      </c>
      <c r="I17" s="612" t="s">
        <v>3232</v>
      </c>
      <c r="J17" s="614">
        <v>100</v>
      </c>
      <c r="K17" s="614">
        <v>26.55</v>
      </c>
      <c r="L17" s="615">
        <f t="shared" si="0"/>
        <v>0.26550000000000001</v>
      </c>
      <c r="M17" s="671"/>
    </row>
    <row r="18" spans="2:13" ht="15" customHeight="1">
      <c r="B18" s="613">
        <v>46192</v>
      </c>
      <c r="C18" s="612" t="s">
        <v>3513</v>
      </c>
      <c r="D18" s="646" t="s">
        <v>3331</v>
      </c>
      <c r="E18" s="612">
        <v>7</v>
      </c>
      <c r="F18" s="612" t="s">
        <v>3233</v>
      </c>
      <c r="G18" s="656" t="s">
        <v>3393</v>
      </c>
      <c r="H18" s="612" t="s">
        <v>3230</v>
      </c>
      <c r="I18" s="612" t="s">
        <v>3232</v>
      </c>
      <c r="J18" s="614">
        <v>100</v>
      </c>
      <c r="K18" s="614">
        <v>40.31</v>
      </c>
      <c r="L18" s="615">
        <f t="shared" si="0"/>
        <v>0.40310000000000001</v>
      </c>
      <c r="M18" s="671"/>
    </row>
    <row r="19" spans="2:13" ht="15" customHeight="1">
      <c r="B19" s="613">
        <v>46193</v>
      </c>
      <c r="C19" s="612" t="s">
        <v>3506</v>
      </c>
      <c r="D19" s="646" t="s">
        <v>3331</v>
      </c>
      <c r="E19" s="612">
        <v>8</v>
      </c>
      <c r="F19" s="612" t="s">
        <v>3233</v>
      </c>
      <c r="G19" s="656" t="s">
        <v>3393</v>
      </c>
      <c r="H19" s="612" t="s">
        <v>3229</v>
      </c>
      <c r="I19" s="716" t="s">
        <v>3240</v>
      </c>
      <c r="J19" s="614">
        <v>100</v>
      </c>
      <c r="K19" s="614">
        <v>39.97</v>
      </c>
      <c r="L19" s="615">
        <f t="shared" si="0"/>
        <v>0.3997</v>
      </c>
      <c r="M19" s="671"/>
    </row>
    <row r="20" spans="2:13" ht="15" customHeight="1">
      <c r="B20" s="613">
        <v>46193</v>
      </c>
      <c r="C20" s="612" t="s">
        <v>3499</v>
      </c>
      <c r="D20" s="646" t="s">
        <v>3237</v>
      </c>
      <c r="E20" s="612">
        <v>8</v>
      </c>
      <c r="F20" s="612" t="s">
        <v>3242</v>
      </c>
      <c r="G20" s="612" t="s">
        <v>3242</v>
      </c>
      <c r="H20" s="716" t="s">
        <v>3230</v>
      </c>
      <c r="I20" s="716" t="s">
        <v>3240</v>
      </c>
      <c r="J20" s="614">
        <v>100</v>
      </c>
      <c r="K20" s="614">
        <v>-100.53</v>
      </c>
      <c r="L20" s="615">
        <f t="shared" si="0"/>
        <v>-1.0053000000000001</v>
      </c>
      <c r="M20" s="671"/>
    </row>
    <row r="21" spans="2:13" ht="15" customHeight="1">
      <c r="B21" s="613">
        <v>46196</v>
      </c>
      <c r="C21" s="612" t="s">
        <v>3545</v>
      </c>
      <c r="D21" s="646" t="s">
        <v>3331</v>
      </c>
      <c r="E21" s="612">
        <v>7</v>
      </c>
      <c r="F21" s="612" t="s">
        <v>3233</v>
      </c>
      <c r="G21" s="612" t="s">
        <v>3393</v>
      </c>
      <c r="H21" s="716" t="s">
        <v>3230</v>
      </c>
      <c r="I21" s="716" t="s">
        <v>3232</v>
      </c>
      <c r="J21" s="614">
        <v>100</v>
      </c>
      <c r="K21" s="614">
        <v>34.54</v>
      </c>
      <c r="L21" s="615">
        <f t="shared" si="0"/>
        <v>0.34539999999999998</v>
      </c>
      <c r="M21" s="671"/>
    </row>
    <row r="22" spans="2:13" ht="15" customHeight="1">
      <c r="B22" s="613">
        <v>46196</v>
      </c>
      <c r="C22" s="612" t="s">
        <v>3544</v>
      </c>
      <c r="D22" s="646" t="s">
        <v>3331</v>
      </c>
      <c r="E22" s="612">
        <v>7</v>
      </c>
      <c r="F22" s="612" t="s">
        <v>3233</v>
      </c>
      <c r="G22" s="612" t="s">
        <v>3393</v>
      </c>
      <c r="H22" s="716" t="s">
        <v>3230</v>
      </c>
      <c r="I22" s="716" t="s">
        <v>3232</v>
      </c>
      <c r="J22" s="614">
        <v>100</v>
      </c>
      <c r="K22" s="614">
        <v>29.957249999999998</v>
      </c>
      <c r="L22" s="615">
        <f t="shared" si="0"/>
        <v>0.29957249999999996</v>
      </c>
      <c r="M22" s="671"/>
    </row>
    <row r="23" spans="2:13" ht="15" customHeight="1">
      <c r="B23" s="613">
        <v>46202</v>
      </c>
      <c r="C23" s="612" t="s">
        <v>3637</v>
      </c>
      <c r="D23" s="646" t="s">
        <v>3331</v>
      </c>
      <c r="E23" s="612">
        <v>9</v>
      </c>
      <c r="F23" s="612" t="s">
        <v>3233</v>
      </c>
      <c r="G23" s="612" t="s">
        <v>3393</v>
      </c>
      <c r="H23" s="716" t="s">
        <v>3230</v>
      </c>
      <c r="I23" s="716" t="s">
        <v>3232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>
      <c r="B24" s="613">
        <v>46204</v>
      </c>
      <c r="C24" s="612" t="s">
        <v>3652</v>
      </c>
      <c r="D24" s="646" t="s">
        <v>3331</v>
      </c>
      <c r="E24" s="612">
        <v>9</v>
      </c>
      <c r="F24" s="612" t="s">
        <v>3233</v>
      </c>
      <c r="G24" s="612" t="s">
        <v>3393</v>
      </c>
      <c r="H24" s="716" t="s">
        <v>3230</v>
      </c>
      <c r="I24" s="716" t="s">
        <v>3232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123" customWidth="1"/>
    <col min="2" max="2" width="17.3984375" style="1123" bestFit="1" customWidth="1"/>
    <col min="3" max="3" width="17.69921875" style="1123" customWidth="1"/>
    <col min="4" max="4" width="2.69921875" style="1123" customWidth="1"/>
    <col min="5" max="5" width="17.3984375" style="1123" customWidth="1"/>
    <col min="6" max="6" width="17.69921875" style="1123" customWidth="1"/>
    <col min="7" max="7" width="15.69921875" style="1123" customWidth="1"/>
    <col min="8" max="8" width="16.19921875" style="1123" customWidth="1"/>
    <col min="9" max="9" width="2.69921875" style="1123" customWidth="1"/>
    <col min="10" max="10" width="17.3984375" style="1123" bestFit="1" customWidth="1"/>
    <col min="11" max="11" width="17.69921875" style="1123" customWidth="1"/>
    <col min="12" max="12" width="16.19921875" style="1123" bestFit="1" customWidth="1"/>
    <col min="13" max="13" width="2.69921875" style="1123" customWidth="1"/>
    <col min="14" max="14" width="17.3984375" style="1123" bestFit="1" customWidth="1"/>
    <col min="15" max="15" width="17.69921875" style="1123" customWidth="1"/>
    <col min="16" max="16" width="16.19921875" style="1123" bestFit="1" customWidth="1"/>
    <col min="17" max="17" width="3.69921875" style="1123" customWidth="1"/>
    <col min="18" max="18" width="17.3984375" style="1123" bestFit="1" customWidth="1"/>
    <col min="19" max="19" width="17.69921875" style="1123" customWidth="1"/>
    <col min="20" max="20" width="16.19921875" style="1123" bestFit="1" customWidth="1"/>
    <col min="21" max="16384" width="8.796875" style="1123"/>
  </cols>
  <sheetData>
    <row r="2" spans="2:20" ht="15" customHeight="1">
      <c r="B2" s="1258" t="s">
        <v>266</v>
      </c>
      <c r="C2" s="1248" t="s">
        <v>386</v>
      </c>
      <c r="E2" s="1258" t="s">
        <v>266</v>
      </c>
      <c r="F2" s="1248" t="s">
        <v>386</v>
      </c>
      <c r="G2" s="1248" t="s">
        <v>4001</v>
      </c>
      <c r="H2" s="1248" t="s">
        <v>3998</v>
      </c>
      <c r="J2" s="1258" t="s">
        <v>266</v>
      </c>
      <c r="K2" s="1248" t="s">
        <v>386</v>
      </c>
      <c r="L2" s="1248" t="s">
        <v>3998</v>
      </c>
      <c r="N2" s="1258" t="s">
        <v>266</v>
      </c>
      <c r="O2" s="1248" t="s">
        <v>386</v>
      </c>
      <c r="P2" s="1248" t="s">
        <v>3998</v>
      </c>
      <c r="R2" s="1258" t="s">
        <v>266</v>
      </c>
      <c r="S2" s="1248" t="s">
        <v>386</v>
      </c>
      <c r="T2" s="1248" t="s">
        <v>3998</v>
      </c>
    </row>
    <row r="3" spans="2:20" ht="15" customHeight="1">
      <c r="B3" s="1259" t="s">
        <v>3233</v>
      </c>
      <c r="C3" s="1247">
        <v>430.91</v>
      </c>
      <c r="E3" s="1259" t="s">
        <v>3233</v>
      </c>
      <c r="F3" s="1247">
        <v>343.95</v>
      </c>
      <c r="G3" s="1247">
        <v>4.1289795918367354</v>
      </c>
      <c r="H3" s="1249">
        <v>49</v>
      </c>
      <c r="I3" s="1126"/>
      <c r="J3" s="1259" t="s">
        <v>4000</v>
      </c>
      <c r="K3" s="1247">
        <v>167.39000000000004</v>
      </c>
      <c r="L3" s="1249">
        <v>38</v>
      </c>
      <c r="M3" s="1126"/>
      <c r="N3" s="1259" t="s">
        <v>3229</v>
      </c>
      <c r="O3" s="1247">
        <v>-0.25000000000001066</v>
      </c>
      <c r="P3" s="1249">
        <v>38</v>
      </c>
      <c r="R3" s="1259" t="s">
        <v>3232</v>
      </c>
      <c r="S3" s="1247">
        <v>254.81000000000012</v>
      </c>
      <c r="T3" s="1249">
        <v>35</v>
      </c>
    </row>
    <row r="4" spans="2:20" ht="15" customHeight="1">
      <c r="B4" s="1260" t="s">
        <v>3979</v>
      </c>
      <c r="C4" s="1247">
        <v>114.71</v>
      </c>
      <c r="E4" s="1259" t="s">
        <v>3328</v>
      </c>
      <c r="F4" s="1247">
        <v>-144.39999999999998</v>
      </c>
      <c r="G4" s="1247">
        <v>6.1157894736842104</v>
      </c>
      <c r="H4" s="1249">
        <v>19</v>
      </c>
      <c r="I4" s="1126"/>
      <c r="J4" s="1259" t="s">
        <v>3999</v>
      </c>
      <c r="K4" s="1247">
        <v>119.11999999999996</v>
      </c>
      <c r="L4" s="1249">
        <v>27</v>
      </c>
      <c r="M4" s="1126"/>
      <c r="N4" s="1259" t="s">
        <v>3230</v>
      </c>
      <c r="O4" s="1247">
        <v>286.7600000000001</v>
      </c>
      <c r="P4" s="1249">
        <v>27</v>
      </c>
      <c r="R4" s="1259" t="s">
        <v>3240</v>
      </c>
      <c r="S4" s="1247">
        <v>31.699999999999964</v>
      </c>
      <c r="T4" s="1249">
        <v>30</v>
      </c>
    </row>
    <row r="5" spans="2:20" ht="15" customHeight="1">
      <c r="B5" s="1260" t="s">
        <v>3980</v>
      </c>
      <c r="C5" s="1247">
        <v>-86.91</v>
      </c>
      <c r="E5" s="1259" t="s">
        <v>267</v>
      </c>
      <c r="F5" s="1247">
        <v>199.55</v>
      </c>
      <c r="G5" s="1247">
        <v>4.6841176470588231</v>
      </c>
      <c r="H5" s="1249">
        <v>68</v>
      </c>
      <c r="I5" s="1126"/>
      <c r="J5" s="1259" t="s">
        <v>267</v>
      </c>
      <c r="K5" s="1247">
        <v>286.51000000000005</v>
      </c>
      <c r="L5" s="1249">
        <v>65</v>
      </c>
      <c r="M5" s="1126"/>
      <c r="N5" s="1259" t="s">
        <v>267</v>
      </c>
      <c r="O5" s="1247">
        <v>286.5100000000001</v>
      </c>
      <c r="P5" s="1249">
        <v>65</v>
      </c>
      <c r="R5" s="1259" t="s">
        <v>267</v>
      </c>
      <c r="S5" s="1247">
        <v>286.51000000000028</v>
      </c>
      <c r="T5" s="1249">
        <v>65</v>
      </c>
    </row>
    <row r="6" spans="2:20" ht="15" customHeight="1">
      <c r="B6" s="1260" t="s">
        <v>3981</v>
      </c>
      <c r="C6" s="1247">
        <v>81</v>
      </c>
      <c r="J6" s="1122"/>
      <c r="K6" s="1122"/>
      <c r="L6" s="1122"/>
      <c r="N6" s="1122"/>
      <c r="O6" s="1122"/>
      <c r="R6" s="1122"/>
      <c r="S6" s="1122"/>
      <c r="T6" s="1122"/>
    </row>
    <row r="7" spans="2:20" ht="15" customHeight="1">
      <c r="B7" s="1260" t="s">
        <v>3982</v>
      </c>
      <c r="C7" s="1247">
        <v>82.600000000000009</v>
      </c>
      <c r="J7" s="1122"/>
      <c r="K7" s="1122"/>
      <c r="L7" s="1122"/>
      <c r="N7" s="1122"/>
      <c r="O7" s="1122"/>
      <c r="R7" s="1122"/>
      <c r="S7" s="1122"/>
      <c r="T7" s="1122"/>
    </row>
    <row r="8" spans="2:20" ht="15" customHeight="1">
      <c r="B8" s="1260" t="s">
        <v>3983</v>
      </c>
      <c r="C8" s="1247">
        <v>-148.69</v>
      </c>
      <c r="E8" s="1258" t="s">
        <v>12</v>
      </c>
      <c r="F8" s="1248" t="s">
        <v>3233</v>
      </c>
      <c r="G8" s="1122"/>
      <c r="H8"/>
      <c r="J8" s="1122"/>
      <c r="K8" s="1122"/>
      <c r="L8" s="1122"/>
      <c r="N8" s="1122"/>
      <c r="O8" s="1122"/>
      <c r="R8" s="1122"/>
      <c r="S8" s="1122"/>
      <c r="T8" s="1122"/>
    </row>
    <row r="9" spans="2:20" ht="15" customHeight="1">
      <c r="B9" s="1260" t="s">
        <v>3984</v>
      </c>
      <c r="C9" s="1247">
        <v>43.34</v>
      </c>
      <c r="E9" s="1122"/>
      <c r="F9" s="1122"/>
      <c r="G9" s="1122"/>
      <c r="H9"/>
      <c r="J9" s="1122"/>
      <c r="K9" s="1122"/>
      <c r="L9" s="1122"/>
      <c r="N9" s="1122"/>
      <c r="O9" s="1122"/>
      <c r="R9" s="1122"/>
      <c r="S9" s="1122"/>
      <c r="T9" s="1122"/>
    </row>
    <row r="10" spans="2:20" ht="15" customHeight="1">
      <c r="B10" s="1260" t="s">
        <v>3985</v>
      </c>
      <c r="C10" s="1247">
        <v>76.830000000000013</v>
      </c>
      <c r="E10" s="1258" t="s">
        <v>266</v>
      </c>
      <c r="F10" s="1248" t="s">
        <v>386</v>
      </c>
      <c r="G10" s="1248" t="s">
        <v>4001</v>
      </c>
      <c r="H10" s="1248" t="s">
        <v>3998</v>
      </c>
    </row>
    <row r="11" spans="2:20" ht="15" customHeight="1">
      <c r="B11" s="1260" t="s">
        <v>3986</v>
      </c>
      <c r="C11" s="1247">
        <v>50.230000000000004</v>
      </c>
      <c r="E11" s="1259" t="s">
        <v>75</v>
      </c>
      <c r="F11" s="1247">
        <v>-484.33000000000004</v>
      </c>
      <c r="G11" s="1247">
        <v>3.6079999999999997</v>
      </c>
      <c r="H11" s="1249">
        <v>5</v>
      </c>
    </row>
    <row r="12" spans="2:20" ht="15" customHeight="1">
      <c r="B12" s="1260" t="s">
        <v>3987</v>
      </c>
      <c r="C12" s="1247">
        <v>26.75</v>
      </c>
      <c r="E12" s="1259" t="s">
        <v>3388</v>
      </c>
      <c r="F12" s="1247">
        <v>68.160000000000011</v>
      </c>
      <c r="G12" s="1247">
        <v>3.625</v>
      </c>
      <c r="H12" s="1249">
        <v>4</v>
      </c>
    </row>
    <row r="13" spans="2:20" ht="15" customHeight="1">
      <c r="B13" s="1260" t="s">
        <v>3988</v>
      </c>
      <c r="C13" s="1247">
        <v>78.309999999999988</v>
      </c>
      <c r="E13" s="1259" t="s">
        <v>3254</v>
      </c>
      <c r="F13" s="1247">
        <v>-51.780000000000008</v>
      </c>
      <c r="G13" s="1247">
        <v>3.8920000000000003</v>
      </c>
      <c r="H13" s="1249">
        <v>5</v>
      </c>
    </row>
    <row r="14" spans="2:20" ht="15" customHeight="1">
      <c r="B14" s="1260" t="s">
        <v>3989</v>
      </c>
      <c r="C14" s="1247">
        <v>27.9</v>
      </c>
      <c r="E14" s="1259" t="s">
        <v>3635</v>
      </c>
      <c r="F14" s="1247">
        <v>-56.7</v>
      </c>
      <c r="G14" s="1247">
        <v>3.9249999999999998</v>
      </c>
      <c r="H14" s="1249">
        <v>2</v>
      </c>
    </row>
    <row r="15" spans="2:20" ht="15" customHeight="1">
      <c r="B15" s="1260" t="s">
        <v>3990</v>
      </c>
      <c r="C15" s="1247">
        <v>44.44</v>
      </c>
      <c r="E15" s="1259" t="s">
        <v>3629</v>
      </c>
      <c r="F15" s="1247">
        <v>595.61999999999989</v>
      </c>
      <c r="G15" s="1247">
        <v>4.2961111111111112</v>
      </c>
      <c r="H15" s="1249">
        <v>18</v>
      </c>
    </row>
    <row r="16" spans="2:20" ht="15" customHeight="1">
      <c r="B16" s="1260" t="s">
        <v>3992</v>
      </c>
      <c r="C16" s="1247">
        <v>10.86</v>
      </c>
      <c r="E16" s="1259" t="s">
        <v>3682</v>
      </c>
      <c r="F16" s="1247">
        <v>19.579999999999998</v>
      </c>
      <c r="G16" s="1247">
        <v>4.4666666666666668</v>
      </c>
      <c r="H16" s="1249">
        <v>3</v>
      </c>
    </row>
    <row r="17" spans="2:8" ht="15" customHeight="1">
      <c r="B17" s="1260" t="s">
        <v>3993</v>
      </c>
      <c r="C17" s="1247">
        <v>29.54</v>
      </c>
      <c r="E17" s="1259" t="s">
        <v>3628</v>
      </c>
      <c r="F17" s="1247">
        <v>44.739999999999995</v>
      </c>
      <c r="G17" s="1247">
        <v>4.3449999999999998</v>
      </c>
      <c r="H17" s="1249">
        <v>2</v>
      </c>
    </row>
    <row r="18" spans="2:8" ht="15" customHeight="1">
      <c r="B18" s="1259" t="s">
        <v>3328</v>
      </c>
      <c r="C18" s="1247">
        <v>-144.39999999999998</v>
      </c>
      <c r="E18" s="1259" t="s">
        <v>3630</v>
      </c>
      <c r="F18" s="1247">
        <v>295.62</v>
      </c>
      <c r="G18" s="1247">
        <v>4.2642857142857142</v>
      </c>
      <c r="H18" s="1249">
        <v>7</v>
      </c>
    </row>
    <row r="19" spans="2:8" ht="15" customHeight="1">
      <c r="B19" s="1260" t="s">
        <v>3988</v>
      </c>
      <c r="C19" s="1247">
        <v>12.41</v>
      </c>
      <c r="E19" s="1259" t="s">
        <v>267</v>
      </c>
      <c r="F19" s="1247">
        <v>430.91000000000014</v>
      </c>
      <c r="G19" s="1247">
        <v>4.1113043478260867</v>
      </c>
      <c r="H19" s="1249">
        <v>46</v>
      </c>
    </row>
    <row r="20" spans="2:8" ht="15" customHeight="1">
      <c r="B20" s="1260" t="s">
        <v>3990</v>
      </c>
      <c r="C20" s="1247">
        <v>-142.26999999999998</v>
      </c>
      <c r="E20" s="1122"/>
      <c r="F20" s="1122"/>
      <c r="G20" s="1122"/>
      <c r="H20" s="1122"/>
    </row>
    <row r="21" spans="2:8" ht="15" customHeight="1">
      <c r="B21" s="1260" t="s">
        <v>3991</v>
      </c>
      <c r="C21" s="1247">
        <v>50.61</v>
      </c>
      <c r="E21" s="1122"/>
      <c r="F21" s="1122"/>
      <c r="G21" s="1122"/>
      <c r="H21" s="1122"/>
    </row>
    <row r="22" spans="2:8" ht="15" customHeight="1">
      <c r="B22" s="1260" t="s">
        <v>3992</v>
      </c>
      <c r="C22" s="1247">
        <v>-14.3</v>
      </c>
      <c r="E22" s="1122"/>
      <c r="F22" s="1122"/>
      <c r="G22" s="1122"/>
      <c r="H22" s="1122"/>
    </row>
    <row r="23" spans="2:8" ht="15" customHeight="1">
      <c r="B23" s="1260" t="s">
        <v>3993</v>
      </c>
      <c r="C23" s="1247">
        <v>-8.36</v>
      </c>
      <c r="E23" s="1122"/>
      <c r="F23" s="1122"/>
      <c r="G23" s="1122"/>
      <c r="H23" s="1122"/>
    </row>
    <row r="24" spans="2:8" ht="15" customHeight="1">
      <c r="B24" s="1260" t="s">
        <v>3994</v>
      </c>
      <c r="C24" s="1247">
        <v>-0.91000000000000014</v>
      </c>
      <c r="E24" s="1122"/>
      <c r="F24" s="1122"/>
      <c r="G24" s="1122"/>
      <c r="H24" s="1122"/>
    </row>
    <row r="25" spans="2:8" ht="15" customHeight="1">
      <c r="B25" s="1260" t="s">
        <v>3995</v>
      </c>
      <c r="C25" s="1247">
        <v>-100.96</v>
      </c>
      <c r="E25" s="1122"/>
      <c r="F25" s="1122"/>
      <c r="G25" s="1122"/>
      <c r="H25" s="1122"/>
    </row>
    <row r="26" spans="2:8" ht="15" customHeight="1">
      <c r="B26" s="1260" t="s">
        <v>3996</v>
      </c>
      <c r="C26" s="1247">
        <v>27.269999999999996</v>
      </c>
      <c r="E26" s="1122"/>
      <c r="F26" s="1122"/>
      <c r="G26" s="1122"/>
    </row>
    <row r="27" spans="2:8" ht="15" customHeight="1">
      <c r="B27" s="1260" t="s">
        <v>3997</v>
      </c>
      <c r="C27" s="1247">
        <v>32.11</v>
      </c>
      <c r="E27" s="1122"/>
      <c r="F27" s="1122"/>
      <c r="G27" s="1122"/>
    </row>
    <row r="28" spans="2:8" ht="15" customHeight="1">
      <c r="B28" s="1259" t="s">
        <v>267</v>
      </c>
      <c r="C28" s="1247">
        <v>286.51000000000005</v>
      </c>
      <c r="E28" s="1122"/>
      <c r="F28" s="1122"/>
      <c r="G28" s="1122"/>
    </row>
    <row r="29" spans="2:8" ht="15" customHeight="1">
      <c r="B29" s="1122"/>
      <c r="C29" s="1122"/>
    </row>
    <row r="30" spans="2:8" ht="15" customHeight="1">
      <c r="B30" s="1122"/>
      <c r="C30" s="1122"/>
    </row>
    <row r="31" spans="2:8" ht="15" customHeight="1">
      <c r="B31" s="1122"/>
      <c r="C31" s="1122"/>
    </row>
    <row r="32" spans="2:8" ht="15" customHeight="1">
      <c r="B32" s="1122"/>
      <c r="C32" s="1122"/>
    </row>
    <row r="33" spans="2:3" ht="15" customHeight="1">
      <c r="B33" s="1122"/>
      <c r="C33" s="1122"/>
    </row>
    <row r="34" spans="2:3" ht="15" customHeight="1">
      <c r="B34" s="1122"/>
      <c r="C34" s="1122"/>
    </row>
    <row r="35" spans="2:3" ht="15" customHeight="1">
      <c r="B35" s="1122"/>
      <c r="C35" s="1122"/>
    </row>
    <row r="36" spans="2:3" ht="15" customHeight="1">
      <c r="B36" s="1122"/>
      <c r="C36" s="1122"/>
    </row>
    <row r="37" spans="2:3" ht="15" customHeight="1">
      <c r="B37" s="1122"/>
      <c r="C37" s="1122"/>
    </row>
    <row r="38" spans="2:3" ht="15" customHeight="1">
      <c r="B38" s="1122"/>
      <c r="C38" s="1122"/>
    </row>
    <row r="39" spans="2:3" ht="15" customHeight="1">
      <c r="B39" s="1122"/>
      <c r="C39" s="1122"/>
    </row>
    <row r="40" spans="2:3" ht="15" customHeight="1">
      <c r="B40" s="1122"/>
      <c r="C40" s="1122"/>
    </row>
    <row r="41" spans="2:3" ht="15" customHeight="1">
      <c r="B41" s="1122"/>
      <c r="C41" s="1122"/>
    </row>
    <row r="42" spans="2:3" ht="15" customHeight="1">
      <c r="B42" s="1122"/>
      <c r="C42" s="1122"/>
    </row>
    <row r="43" spans="2:3" ht="15" customHeight="1">
      <c r="B43" s="1122"/>
      <c r="C43" s="1122"/>
    </row>
    <row r="44" spans="2:3" ht="15" customHeight="1">
      <c r="B44" s="1122"/>
      <c r="C44" s="1122"/>
    </row>
    <row r="45" spans="2:3" ht="15" customHeight="1">
      <c r="B45" s="1122"/>
      <c r="C45" s="1122"/>
    </row>
    <row r="46" spans="2:3" ht="15" customHeight="1">
      <c r="B46" s="1122"/>
      <c r="C46" s="1122"/>
    </row>
    <row r="47" spans="2:3" ht="15" customHeight="1">
      <c r="B47" s="1122"/>
      <c r="C47" s="1122"/>
    </row>
    <row r="56" spans="5:6" ht="15" customHeight="1">
      <c r="E56" s="1122"/>
      <c r="F56" s="1122"/>
    </row>
    <row r="57" spans="5:6" ht="15" customHeight="1">
      <c r="E57" s="1122"/>
      <c r="F57" s="1122"/>
    </row>
    <row r="58" spans="5:6" ht="15" customHeight="1">
      <c r="E58" s="1122"/>
      <c r="F58" s="1122"/>
    </row>
    <row r="59" spans="5:6" ht="15" customHeight="1">
      <c r="E59" s="1122"/>
      <c r="F59" s="1122"/>
    </row>
    <row r="60" spans="5:6" ht="15" customHeight="1">
      <c r="E60" s="1122"/>
      <c r="F60" s="1122"/>
    </row>
    <row r="61" spans="5:6" ht="15" customHeight="1">
      <c r="E61" s="1122"/>
      <c r="F61" s="1122"/>
    </row>
    <row r="62" spans="5:6" ht="15" customHeight="1">
      <c r="E62" s="1122"/>
      <c r="F62" s="1122"/>
    </row>
    <row r="63" spans="5:6" ht="15" customHeight="1">
      <c r="E63" s="1122"/>
      <c r="F63" s="1122"/>
    </row>
    <row r="64" spans="5:6" ht="15" customHeight="1">
      <c r="E64" s="1122"/>
      <c r="F64" s="1122"/>
    </row>
    <row r="65" spans="5:6" ht="15" customHeight="1">
      <c r="E65" s="1122"/>
      <c r="F65" s="1122"/>
    </row>
    <row r="66" spans="5:6" ht="15" customHeight="1">
      <c r="E66" s="1122"/>
      <c r="F66" s="1122"/>
    </row>
    <row r="67" spans="5:6" ht="15" customHeight="1">
      <c r="E67" s="1122"/>
      <c r="F67" s="1122"/>
    </row>
    <row r="68" spans="5:6" ht="15" customHeight="1">
      <c r="E68" s="1122"/>
      <c r="F68" s="1122"/>
    </row>
    <row r="69" spans="5:6" ht="15" customHeight="1">
      <c r="E69" s="1122"/>
      <c r="F69" s="1122"/>
    </row>
    <row r="70" spans="5:6" ht="15" customHeight="1">
      <c r="E70" s="1122"/>
      <c r="F70" s="1122"/>
    </row>
    <row r="71" spans="5:6" ht="15" customHeight="1">
      <c r="E71" s="1122"/>
      <c r="F71" s="1122"/>
    </row>
    <row r="72" spans="5:6" ht="15" customHeight="1">
      <c r="E72" s="1122"/>
      <c r="F72" s="1122"/>
    </row>
    <row r="73" spans="5:6" ht="15" customHeight="1">
      <c r="E73" s="1122"/>
      <c r="F73" s="1122"/>
    </row>
    <row r="74" spans="5:6" ht="15" customHeight="1">
      <c r="E74" s="1122"/>
      <c r="F74" s="1122"/>
    </row>
    <row r="75" spans="5:6" ht="15" customHeight="1">
      <c r="E75" s="1122"/>
      <c r="F75" s="1122"/>
    </row>
    <row r="76" spans="5:6" ht="15" customHeight="1">
      <c r="E76" s="1122"/>
      <c r="F76" s="1122"/>
    </row>
    <row r="77" spans="5:6" ht="15" customHeight="1">
      <c r="E77" s="1122"/>
      <c r="F77" s="1122"/>
    </row>
    <row r="78" spans="5:6" ht="15" customHeight="1">
      <c r="E78" s="1122"/>
      <c r="F78" s="1122"/>
    </row>
    <row r="79" spans="5:6" ht="15" customHeight="1">
      <c r="E79" s="1122"/>
      <c r="F79" s="1122"/>
    </row>
    <row r="80" spans="5:6" ht="15" customHeight="1">
      <c r="E80" s="1122"/>
      <c r="F80" s="1122"/>
    </row>
    <row r="81" spans="5:6" ht="15" customHeight="1">
      <c r="E81" s="1122"/>
      <c r="F81" s="1122"/>
    </row>
    <row r="82" spans="5:6" ht="15" customHeight="1">
      <c r="E82" s="1122"/>
      <c r="F82" s="1122"/>
    </row>
    <row r="83" spans="5:6" ht="15" customHeight="1">
      <c r="E83" s="1122"/>
      <c r="F83" s="1122"/>
    </row>
    <row r="84" spans="5:6" ht="15" customHeight="1">
      <c r="E84" s="1122"/>
      <c r="F84" s="1122"/>
    </row>
    <row r="85" spans="5:6" ht="15" customHeight="1">
      <c r="E85" s="1122"/>
      <c r="F85" s="1122"/>
    </row>
    <row r="86" spans="5:6" ht="15" customHeight="1">
      <c r="E86" s="1122"/>
      <c r="F86" s="1122"/>
    </row>
    <row r="87" spans="5:6" ht="15" customHeight="1">
      <c r="E87" s="1122"/>
      <c r="F87" s="1122"/>
    </row>
    <row r="88" spans="5:6" ht="15" customHeight="1">
      <c r="E88" s="1122"/>
      <c r="F88" s="1122"/>
    </row>
    <row r="89" spans="5:6" ht="15" customHeight="1">
      <c r="E89" s="1122"/>
      <c r="F89" s="1122"/>
    </row>
    <row r="90" spans="5:6" ht="15" customHeight="1">
      <c r="E90" s="1122"/>
      <c r="F90" s="1122"/>
    </row>
    <row r="91" spans="5:6" ht="15" customHeight="1">
      <c r="E91" s="1122"/>
      <c r="F91" s="1122"/>
    </row>
    <row r="92" spans="5:6" ht="15" customHeight="1">
      <c r="E92" s="1122"/>
      <c r="F92" s="1122"/>
    </row>
    <row r="93" spans="5:6" ht="15" customHeight="1">
      <c r="E93" s="1122"/>
      <c r="F93" s="1122"/>
    </row>
    <row r="94" spans="5:6" ht="15" customHeight="1">
      <c r="E94" s="1122"/>
      <c r="F94" s="1122"/>
    </row>
    <row r="95" spans="5:6" ht="15" customHeight="1">
      <c r="E95" s="1122"/>
      <c r="F95" s="1122"/>
    </row>
    <row r="96" spans="5:6" ht="15" customHeight="1">
      <c r="E96" s="1122"/>
      <c r="F96" s="1122"/>
    </row>
    <row r="97" spans="5:6" ht="15" customHeight="1">
      <c r="E97" s="1122"/>
      <c r="F97" s="1122"/>
    </row>
    <row r="98" spans="5:6" ht="15" customHeight="1">
      <c r="E98" s="1122"/>
      <c r="F98" s="1122"/>
    </row>
    <row r="99" spans="5:6" ht="15" customHeight="1">
      <c r="E99" s="1122"/>
      <c r="F99" s="1122"/>
    </row>
    <row r="100" spans="5:6" ht="15" customHeight="1">
      <c r="E100" s="1122"/>
      <c r="F100" s="1122"/>
    </row>
    <row r="101" spans="5:6" ht="15" customHeight="1">
      <c r="E101" s="1122"/>
      <c r="F101" s="1122"/>
    </row>
    <row r="102" spans="5:6" ht="15" customHeight="1">
      <c r="E102" s="1122"/>
      <c r="F102" s="1122"/>
    </row>
    <row r="103" spans="5:6" ht="15" customHeight="1">
      <c r="E103" s="1122"/>
      <c r="F103" s="1122"/>
    </row>
    <row r="104" spans="5:6" ht="15" customHeight="1">
      <c r="E104" s="1122"/>
      <c r="F104" s="1122"/>
    </row>
    <row r="105" spans="5:6" ht="15" customHeight="1">
      <c r="E105" s="1122"/>
      <c r="F105" s="1122"/>
    </row>
    <row r="106" spans="5:6" ht="15" customHeight="1">
      <c r="E106" s="1122"/>
      <c r="F106" s="1122"/>
    </row>
    <row r="107" spans="5:6" ht="15" customHeight="1">
      <c r="E107" s="1122"/>
      <c r="F107" s="1122"/>
    </row>
    <row r="108" spans="5:6" ht="15" customHeight="1">
      <c r="E108" s="1122"/>
      <c r="F108" s="1122"/>
    </row>
    <row r="109" spans="5:6" ht="15" customHeight="1">
      <c r="E109" s="1122"/>
      <c r="F109" s="1122"/>
    </row>
    <row r="110" spans="5:6" ht="15" customHeight="1">
      <c r="E110" s="1122"/>
      <c r="F110" s="1122"/>
    </row>
    <row r="111" spans="5:6" ht="15" customHeight="1">
      <c r="E111" s="1122"/>
      <c r="F111" s="1122"/>
    </row>
    <row r="112" spans="5:6" ht="15" customHeight="1">
      <c r="E112" s="1122"/>
      <c r="F112" s="1122"/>
    </row>
    <row r="113" spans="5:6" ht="15" customHeight="1">
      <c r="E113" s="1122"/>
      <c r="F113" s="1122"/>
    </row>
    <row r="114" spans="5:6" ht="15" customHeight="1">
      <c r="E114" s="1122"/>
      <c r="F114" s="1122"/>
    </row>
    <row r="115" spans="5:6" ht="15" customHeight="1">
      <c r="E115" s="1122"/>
      <c r="F115" s="1122"/>
    </row>
    <row r="116" spans="5:6" ht="15" customHeight="1">
      <c r="E116" s="1122"/>
      <c r="F116" s="1122"/>
    </row>
    <row r="117" spans="5:6" ht="15" customHeight="1">
      <c r="E117" s="1122"/>
      <c r="F117" s="1122"/>
    </row>
    <row r="118" spans="5:6" ht="15" customHeight="1">
      <c r="E118" s="1122"/>
      <c r="F118" s="1122"/>
    </row>
    <row r="119" spans="5:6" ht="15" customHeight="1">
      <c r="E119" s="1122"/>
      <c r="F119" s="1122"/>
    </row>
    <row r="120" spans="5:6" ht="15" customHeight="1">
      <c r="E120" s="1122"/>
      <c r="F120" s="1122"/>
    </row>
    <row r="121" spans="5:6" ht="15" customHeight="1">
      <c r="E121" s="1122"/>
      <c r="F121" s="1122"/>
    </row>
    <row r="122" spans="5:6" ht="15" customHeight="1">
      <c r="E122" s="1122"/>
      <c r="F122" s="1122"/>
    </row>
    <row r="123" spans="5:6" ht="15" customHeight="1">
      <c r="E123" s="1122"/>
      <c r="F123" s="1122"/>
    </row>
    <row r="124" spans="5:6" ht="15" customHeight="1">
      <c r="E124" s="1122"/>
      <c r="F124" s="1122"/>
    </row>
    <row r="125" spans="5:6" ht="15" customHeight="1">
      <c r="E125" s="1122"/>
      <c r="F125" s="1122"/>
    </row>
    <row r="126" spans="5:6" ht="15" customHeight="1">
      <c r="E126" s="1122"/>
      <c r="F126" s="1122"/>
    </row>
    <row r="127" spans="5:6" ht="15" customHeight="1">
      <c r="E127" s="1122"/>
      <c r="F127" s="1122"/>
    </row>
    <row r="128" spans="5:6" ht="15" customHeight="1">
      <c r="E128" s="1122"/>
      <c r="F128" s="1122"/>
    </row>
    <row r="129" spans="5:6" ht="15" customHeight="1">
      <c r="E129" s="1122"/>
      <c r="F129" s="1122"/>
    </row>
    <row r="130" spans="5:6" ht="15" customHeight="1">
      <c r="E130" s="1122"/>
      <c r="F130" s="1122"/>
    </row>
    <row r="131" spans="5:6" ht="15" customHeight="1">
      <c r="E131" s="1122"/>
      <c r="F131" s="1122"/>
    </row>
    <row r="132" spans="5:6" ht="15" customHeight="1">
      <c r="E132" s="1122"/>
      <c r="F132" s="1122"/>
    </row>
    <row r="133" spans="5:6" ht="15" customHeight="1">
      <c r="E133" s="1122"/>
      <c r="F133" s="1122"/>
    </row>
    <row r="134" spans="5:6" ht="15" customHeight="1">
      <c r="E134" s="1122"/>
      <c r="F134" s="1122"/>
    </row>
    <row r="135" spans="5:6" ht="15" customHeight="1">
      <c r="E135" s="1122"/>
      <c r="F135" s="1122"/>
    </row>
    <row r="136" spans="5:6" ht="15" customHeight="1">
      <c r="E136" s="1122"/>
      <c r="F136" s="1122"/>
    </row>
    <row r="137" spans="5:6" ht="15" customHeight="1">
      <c r="E137" s="1122"/>
      <c r="F137" s="1122"/>
    </row>
    <row r="138" spans="5:6" ht="15" customHeight="1">
      <c r="E138" s="1122"/>
      <c r="F138" s="112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>
      <c r="B2" s="4" t="s">
        <v>0</v>
      </c>
      <c r="C2" s="4" t="s">
        <v>1</v>
      </c>
      <c r="D2" s="4" t="s">
        <v>3236</v>
      </c>
      <c r="E2" s="4" t="s">
        <v>3239</v>
      </c>
      <c r="F2" s="4" t="s">
        <v>72</v>
      </c>
      <c r="G2" s="4" t="s">
        <v>4022</v>
      </c>
      <c r="H2" s="4" t="s">
        <v>3271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</row>
    <row r="3" spans="2:15" ht="15" customHeight="1">
      <c r="B3" s="613">
        <v>46182</v>
      </c>
      <c r="C3" s="612" t="s">
        <v>3248</v>
      </c>
      <c r="D3" s="612" t="s">
        <v>3238</v>
      </c>
      <c r="E3" s="614">
        <v>4.09</v>
      </c>
      <c r="F3" s="944" t="s">
        <v>3628</v>
      </c>
      <c r="G3" s="1136" t="s">
        <v>3271</v>
      </c>
      <c r="H3" s="1127" t="s">
        <v>3999</v>
      </c>
      <c r="I3" s="612" t="s">
        <v>3233</v>
      </c>
      <c r="J3" s="612" t="s">
        <v>391</v>
      </c>
      <c r="K3" s="612" t="s">
        <v>3229</v>
      </c>
      <c r="L3" s="612" t="s">
        <v>3240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>
      <c r="B4" s="613">
        <v>46196</v>
      </c>
      <c r="C4" s="612" t="s">
        <v>3550</v>
      </c>
      <c r="D4" s="612" t="s">
        <v>3331</v>
      </c>
      <c r="E4" s="614">
        <v>5</v>
      </c>
      <c r="F4" s="944" t="s">
        <v>3630</v>
      </c>
      <c r="G4" s="1136" t="s">
        <v>3271</v>
      </c>
      <c r="H4" s="1127" t="s">
        <v>4000</v>
      </c>
      <c r="I4" s="612" t="s">
        <v>3233</v>
      </c>
      <c r="J4" s="917" t="s">
        <v>3393</v>
      </c>
      <c r="K4" s="917" t="s">
        <v>3230</v>
      </c>
      <c r="L4" s="917" t="s">
        <v>3232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>
      <c r="B5" s="613">
        <v>46197</v>
      </c>
      <c r="C5" s="612" t="s">
        <v>3564</v>
      </c>
      <c r="D5" s="612" t="s">
        <v>3331</v>
      </c>
      <c r="E5" s="614">
        <v>5.4</v>
      </c>
      <c r="F5" s="944" t="s">
        <v>3629</v>
      </c>
      <c r="G5" s="1136" t="s">
        <v>3271</v>
      </c>
      <c r="H5" s="1127" t="s">
        <v>4000</v>
      </c>
      <c r="I5" s="612" t="s">
        <v>3233</v>
      </c>
      <c r="J5" s="917" t="s">
        <v>3393</v>
      </c>
      <c r="K5" s="612" t="s">
        <v>3229</v>
      </c>
      <c r="L5" s="917" t="s">
        <v>3232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>
      <c r="B6" s="613">
        <v>46197</v>
      </c>
      <c r="C6" s="612" t="s">
        <v>3557</v>
      </c>
      <c r="D6" s="612" t="s">
        <v>3331</v>
      </c>
      <c r="E6" s="614">
        <v>3.8</v>
      </c>
      <c r="F6" s="944" t="s">
        <v>3630</v>
      </c>
      <c r="G6" s="1136" t="s">
        <v>3271</v>
      </c>
      <c r="H6" s="1127" t="s">
        <v>4000</v>
      </c>
      <c r="I6" s="612" t="s">
        <v>3233</v>
      </c>
      <c r="J6" s="917" t="s">
        <v>3393</v>
      </c>
      <c r="K6" s="612" t="s">
        <v>3230</v>
      </c>
      <c r="L6" s="917" t="s">
        <v>3232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>
      <c r="B7" s="613">
        <v>46198</v>
      </c>
      <c r="C7" s="612" t="s">
        <v>3574</v>
      </c>
      <c r="D7" s="612" t="s">
        <v>3237</v>
      </c>
      <c r="E7" s="614">
        <v>3.4</v>
      </c>
      <c r="F7" s="944" t="s">
        <v>3388</v>
      </c>
      <c r="G7" s="1136" t="s">
        <v>3271</v>
      </c>
      <c r="H7" s="1127" t="s">
        <v>4000</v>
      </c>
      <c r="I7" s="612" t="s">
        <v>3233</v>
      </c>
      <c r="J7" s="917" t="s">
        <v>391</v>
      </c>
      <c r="K7" s="612" t="s">
        <v>3230</v>
      </c>
      <c r="L7" s="917" t="s">
        <v>3232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>
      <c r="B8" s="613">
        <v>46199</v>
      </c>
      <c r="C8" s="612" t="s">
        <v>3601</v>
      </c>
      <c r="D8" s="612" t="s">
        <v>3327</v>
      </c>
      <c r="E8" s="614">
        <v>5</v>
      </c>
      <c r="F8" s="944" t="s">
        <v>3629</v>
      </c>
      <c r="G8" s="1136" t="s">
        <v>3271</v>
      </c>
      <c r="H8" s="1127" t="s">
        <v>4000</v>
      </c>
      <c r="I8" s="612" t="s">
        <v>3233</v>
      </c>
      <c r="J8" s="917" t="s">
        <v>391</v>
      </c>
      <c r="K8" s="612" t="s">
        <v>3229</v>
      </c>
      <c r="L8" s="917" t="s">
        <v>3240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>
      <c r="B9" s="613">
        <v>46200</v>
      </c>
      <c r="C9" s="612" t="s">
        <v>3596</v>
      </c>
      <c r="D9" s="612" t="s">
        <v>3633</v>
      </c>
      <c r="E9" s="614">
        <v>4.5999999999999996</v>
      </c>
      <c r="F9" s="944" t="s">
        <v>3628</v>
      </c>
      <c r="G9" s="1136" t="s">
        <v>3271</v>
      </c>
      <c r="H9" s="1127" t="s">
        <v>3999</v>
      </c>
      <c r="I9" s="612" t="s">
        <v>3233</v>
      </c>
      <c r="J9" s="917" t="s">
        <v>391</v>
      </c>
      <c r="K9" s="612" t="s">
        <v>3229</v>
      </c>
      <c r="L9" s="917" t="s">
        <v>3240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>
      <c r="B10" s="613">
        <v>46200</v>
      </c>
      <c r="C10" s="612" t="s">
        <v>3594</v>
      </c>
      <c r="D10" s="612" t="s">
        <v>3237</v>
      </c>
      <c r="E10" s="614">
        <v>3.6</v>
      </c>
      <c r="F10" s="944" t="s">
        <v>3630</v>
      </c>
      <c r="G10" s="1136" t="s">
        <v>3271</v>
      </c>
      <c r="H10" s="1127" t="s">
        <v>4000</v>
      </c>
      <c r="I10" s="612" t="s">
        <v>3233</v>
      </c>
      <c r="J10" s="917" t="s">
        <v>391</v>
      </c>
      <c r="K10" s="612" t="s">
        <v>3230</v>
      </c>
      <c r="L10" s="917" t="s">
        <v>3232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>
      <c r="B11" s="613">
        <v>46200</v>
      </c>
      <c r="C11" s="612" t="s">
        <v>3592</v>
      </c>
      <c r="D11" s="612" t="s">
        <v>3634</v>
      </c>
      <c r="E11" s="614">
        <v>3.75</v>
      </c>
      <c r="F11" s="944" t="s">
        <v>3635</v>
      </c>
      <c r="G11" s="1136" t="s">
        <v>3271</v>
      </c>
      <c r="H11" s="1127" t="s">
        <v>3999</v>
      </c>
      <c r="I11" s="612" t="s">
        <v>3233</v>
      </c>
      <c r="J11" s="917" t="s">
        <v>391</v>
      </c>
      <c r="K11" s="612" t="s">
        <v>3229</v>
      </c>
      <c r="L11" s="917" t="s">
        <v>3240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>
      <c r="B12" s="613">
        <v>46200</v>
      </c>
      <c r="C12" s="612" t="s">
        <v>3590</v>
      </c>
      <c r="D12" s="612" t="s">
        <v>3634</v>
      </c>
      <c r="E12" s="614">
        <v>3.84</v>
      </c>
      <c r="F12" s="944" t="s">
        <v>75</v>
      </c>
      <c r="G12" s="1136" t="s">
        <v>3271</v>
      </c>
      <c r="H12" s="1127" t="s">
        <v>3999</v>
      </c>
      <c r="I12" s="612" t="s">
        <v>3233</v>
      </c>
      <c r="J12" s="917" t="s">
        <v>391</v>
      </c>
      <c r="K12" s="612" t="s">
        <v>3229</v>
      </c>
      <c r="L12" s="917" t="s">
        <v>3240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>
      <c r="B13" s="613">
        <v>46201</v>
      </c>
      <c r="C13" s="612" t="s">
        <v>3582</v>
      </c>
      <c r="D13" s="612" t="s">
        <v>3238</v>
      </c>
      <c r="E13" s="614">
        <v>5.2</v>
      </c>
      <c r="F13" s="944" t="s">
        <v>3630</v>
      </c>
      <c r="G13" s="1136" t="s">
        <v>3271</v>
      </c>
      <c r="H13" s="1127" t="s">
        <v>4000</v>
      </c>
      <c r="I13" s="612" t="s">
        <v>3233</v>
      </c>
      <c r="J13" s="917" t="s">
        <v>391</v>
      </c>
      <c r="K13" s="612" t="s">
        <v>3229</v>
      </c>
      <c r="L13" s="917" t="s">
        <v>3240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>
      <c r="B14" s="613">
        <v>46201</v>
      </c>
      <c r="C14" s="612" t="s">
        <v>3588</v>
      </c>
      <c r="D14" s="612" t="s">
        <v>3237</v>
      </c>
      <c r="E14" s="614">
        <v>3.3</v>
      </c>
      <c r="F14" s="944" t="s">
        <v>3629</v>
      </c>
      <c r="G14" s="1136" t="s">
        <v>3271</v>
      </c>
      <c r="H14" s="1127" t="s">
        <v>3999</v>
      </c>
      <c r="I14" s="612" t="s">
        <v>3233</v>
      </c>
      <c r="J14" s="917" t="s">
        <v>391</v>
      </c>
      <c r="K14" s="612" t="s">
        <v>3230</v>
      </c>
      <c r="L14" s="917" t="s">
        <v>3232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>
      <c r="B15" s="613">
        <v>46201</v>
      </c>
      <c r="C15" s="612" t="s">
        <v>3585</v>
      </c>
      <c r="D15" s="612" t="s">
        <v>3237</v>
      </c>
      <c r="E15" s="614">
        <v>5</v>
      </c>
      <c r="F15" s="944" t="s">
        <v>3629</v>
      </c>
      <c r="G15" s="1136" t="s">
        <v>3271</v>
      </c>
      <c r="H15" s="1127" t="s">
        <v>4000</v>
      </c>
      <c r="I15" s="612" t="s">
        <v>3233</v>
      </c>
      <c r="J15" s="917" t="s">
        <v>391</v>
      </c>
      <c r="K15" s="612" t="s">
        <v>3230</v>
      </c>
      <c r="L15" s="917" t="s">
        <v>3232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>
      <c r="B16" s="613">
        <v>46201</v>
      </c>
      <c r="C16" s="612" t="s">
        <v>3584</v>
      </c>
      <c r="D16" s="612" t="s">
        <v>3237</v>
      </c>
      <c r="E16" s="614">
        <v>3.45</v>
      </c>
      <c r="F16" s="944" t="s">
        <v>75</v>
      </c>
      <c r="G16" s="1136" t="s">
        <v>3271</v>
      </c>
      <c r="H16" s="1127" t="s">
        <v>3999</v>
      </c>
      <c r="I16" s="612" t="s">
        <v>3233</v>
      </c>
      <c r="J16" s="917" t="s">
        <v>391</v>
      </c>
      <c r="K16" s="612" t="s">
        <v>3230</v>
      </c>
      <c r="L16" s="917" t="s">
        <v>3232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>
      <c r="B17" s="613">
        <v>46202</v>
      </c>
      <c r="C17" s="612" t="s">
        <v>3638</v>
      </c>
      <c r="D17" s="612" t="s">
        <v>3331</v>
      </c>
      <c r="E17" s="614">
        <v>5.5</v>
      </c>
      <c r="F17" s="944" t="s">
        <v>3254</v>
      </c>
      <c r="G17" s="1136" t="s">
        <v>3271</v>
      </c>
      <c r="H17" s="1127" t="s">
        <v>4000</v>
      </c>
      <c r="I17" s="612" t="s">
        <v>3328</v>
      </c>
      <c r="J17" s="917" t="s">
        <v>3393</v>
      </c>
      <c r="K17" s="612" t="s">
        <v>3229</v>
      </c>
      <c r="L17" s="917" t="s">
        <v>3232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>
      <c r="B18" s="613">
        <v>46203</v>
      </c>
      <c r="C18" s="612" t="s">
        <v>3646</v>
      </c>
      <c r="D18" s="612" t="s">
        <v>3331</v>
      </c>
      <c r="E18" s="614">
        <v>2.96</v>
      </c>
      <c r="F18" s="944" t="s">
        <v>3629</v>
      </c>
      <c r="G18" s="1136" t="s">
        <v>3271</v>
      </c>
      <c r="H18" s="1127" t="s">
        <v>3999</v>
      </c>
      <c r="I18" s="612" t="s">
        <v>3233</v>
      </c>
      <c r="J18" s="917" t="s">
        <v>3393</v>
      </c>
      <c r="K18" s="612" t="s">
        <v>3230</v>
      </c>
      <c r="L18" s="917" t="s">
        <v>3232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>
      <c r="B19" s="613">
        <v>46204</v>
      </c>
      <c r="C19" s="612" t="s">
        <v>3654</v>
      </c>
      <c r="D19" s="612" t="s">
        <v>3331</v>
      </c>
      <c r="E19" s="614">
        <v>5.4</v>
      </c>
      <c r="F19" s="944" t="s">
        <v>3629</v>
      </c>
      <c r="G19" s="1136" t="s">
        <v>3271</v>
      </c>
      <c r="H19" s="1127" t="s">
        <v>4000</v>
      </c>
      <c r="I19" s="612" t="s">
        <v>3328</v>
      </c>
      <c r="J19" s="917" t="s">
        <v>3393</v>
      </c>
      <c r="K19" s="612" t="s">
        <v>3229</v>
      </c>
      <c r="L19" s="917" t="s">
        <v>3240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>
      <c r="B20" s="613">
        <v>46205</v>
      </c>
      <c r="C20" s="612" t="s">
        <v>3672</v>
      </c>
      <c r="D20" s="612" t="s">
        <v>3237</v>
      </c>
      <c r="E20" s="614">
        <v>3.55</v>
      </c>
      <c r="F20" s="944" t="s">
        <v>75</v>
      </c>
      <c r="G20" s="1136" t="s">
        <v>3271</v>
      </c>
      <c r="H20" s="1127" t="s">
        <v>4000</v>
      </c>
      <c r="I20" s="612" t="s">
        <v>3233</v>
      </c>
      <c r="J20" s="917" t="s">
        <v>391</v>
      </c>
      <c r="K20" s="612" t="s">
        <v>3230</v>
      </c>
      <c r="L20" s="917" t="s">
        <v>3232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>
      <c r="B21" s="613">
        <v>46205</v>
      </c>
      <c r="C21" s="612" t="s">
        <v>3670</v>
      </c>
      <c r="D21" s="612" t="s">
        <v>3331</v>
      </c>
      <c r="E21" s="614">
        <v>3.8</v>
      </c>
      <c r="F21" s="944" t="s">
        <v>3682</v>
      </c>
      <c r="G21" s="1136" t="s">
        <v>3271</v>
      </c>
      <c r="H21" s="1127" t="s">
        <v>3999</v>
      </c>
      <c r="I21" s="612" t="s">
        <v>3233</v>
      </c>
      <c r="J21" s="917" t="s">
        <v>3393</v>
      </c>
      <c r="K21" s="612" t="s">
        <v>3230</v>
      </c>
      <c r="L21" s="917" t="s">
        <v>3232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>
      <c r="B22" s="613">
        <v>46205</v>
      </c>
      <c r="C22" s="612" t="s">
        <v>3669</v>
      </c>
      <c r="D22" s="612" t="s">
        <v>3237</v>
      </c>
      <c r="E22" s="614">
        <v>6.8</v>
      </c>
      <c r="F22" s="944" t="s">
        <v>3630</v>
      </c>
      <c r="G22" s="1136" t="s">
        <v>3271</v>
      </c>
      <c r="H22" s="1127" t="s">
        <v>4000</v>
      </c>
      <c r="I22" s="612" t="s">
        <v>3328</v>
      </c>
      <c r="J22" s="917" t="s">
        <v>391</v>
      </c>
      <c r="K22" s="612" t="s">
        <v>3229</v>
      </c>
      <c r="L22" s="917" t="s">
        <v>3232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>
      <c r="B23" s="613">
        <v>46206</v>
      </c>
      <c r="C23" s="612" t="s">
        <v>3692</v>
      </c>
      <c r="D23" s="612" t="s">
        <v>3633</v>
      </c>
      <c r="E23" s="614">
        <v>5.87</v>
      </c>
      <c r="F23" s="944" t="s">
        <v>3629</v>
      </c>
      <c r="G23" s="1136" t="s">
        <v>3271</v>
      </c>
      <c r="H23" s="1127" t="s">
        <v>3999</v>
      </c>
      <c r="I23" s="612" t="s">
        <v>3233</v>
      </c>
      <c r="J23" s="917" t="s">
        <v>391</v>
      </c>
      <c r="K23" s="612" t="s">
        <v>3229</v>
      </c>
      <c r="L23" s="917" t="s">
        <v>3240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>
      <c r="B24" s="613">
        <v>46206</v>
      </c>
      <c r="C24" s="612" t="s">
        <v>3716</v>
      </c>
      <c r="D24" s="612" t="s">
        <v>3331</v>
      </c>
      <c r="E24" s="614">
        <v>4.5</v>
      </c>
      <c r="F24" s="944" t="s">
        <v>3630</v>
      </c>
      <c r="G24" s="1136" t="s">
        <v>3271</v>
      </c>
      <c r="H24" s="1127" t="s">
        <v>4000</v>
      </c>
      <c r="I24" s="612" t="s">
        <v>3233</v>
      </c>
      <c r="J24" s="1121" t="s">
        <v>3393</v>
      </c>
      <c r="K24" s="1121" t="s">
        <v>3230</v>
      </c>
      <c r="L24" s="1121" t="s">
        <v>3232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>
      <c r="B25" s="613">
        <v>46207</v>
      </c>
      <c r="C25" s="612" t="s">
        <v>3708</v>
      </c>
      <c r="D25" s="612" t="s">
        <v>3331</v>
      </c>
      <c r="E25" s="614">
        <v>3.45</v>
      </c>
      <c r="F25" s="944" t="s">
        <v>3388</v>
      </c>
      <c r="G25" s="1136" t="s">
        <v>3271</v>
      </c>
      <c r="H25" s="1127" t="s">
        <v>3999</v>
      </c>
      <c r="I25" s="612" t="s">
        <v>3233</v>
      </c>
      <c r="J25" s="917" t="s">
        <v>3393</v>
      </c>
      <c r="K25" s="612" t="s">
        <v>3230</v>
      </c>
      <c r="L25" s="917" t="s">
        <v>3232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>
      <c r="B26" s="613">
        <v>46207</v>
      </c>
      <c r="C26" s="612" t="s">
        <v>3707</v>
      </c>
      <c r="D26" s="612" t="s">
        <v>3237</v>
      </c>
      <c r="E26" s="614">
        <v>3.45</v>
      </c>
      <c r="F26" s="944" t="s">
        <v>3629</v>
      </c>
      <c r="G26" s="1136" t="s">
        <v>3271</v>
      </c>
      <c r="H26" s="1127" t="s">
        <v>3999</v>
      </c>
      <c r="I26" s="612" t="s">
        <v>3233</v>
      </c>
      <c r="J26" s="917" t="s">
        <v>391</v>
      </c>
      <c r="K26" s="612" t="s">
        <v>3230</v>
      </c>
      <c r="L26" s="917" t="s">
        <v>3240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>
      <c r="B27" s="613">
        <v>46207</v>
      </c>
      <c r="C27" s="612" t="s">
        <v>3711</v>
      </c>
      <c r="D27" s="612" t="s">
        <v>3634</v>
      </c>
      <c r="E27" s="614">
        <v>6.8</v>
      </c>
      <c r="F27" s="987" t="s">
        <v>3629</v>
      </c>
      <c r="G27" s="1136" t="s">
        <v>3271</v>
      </c>
      <c r="H27" s="1127" t="s">
        <v>4000</v>
      </c>
      <c r="I27" s="612" t="s">
        <v>3328</v>
      </c>
      <c r="J27" s="917" t="s">
        <v>391</v>
      </c>
      <c r="K27" s="612" t="s">
        <v>3229</v>
      </c>
      <c r="L27" s="917" t="s">
        <v>3232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>
      <c r="B28" s="613">
        <v>46207</v>
      </c>
      <c r="C28" s="612" t="s">
        <v>3706</v>
      </c>
      <c r="D28" s="612" t="s">
        <v>3237</v>
      </c>
      <c r="E28" s="614">
        <v>3.45</v>
      </c>
      <c r="F28" s="987" t="s">
        <v>3630</v>
      </c>
      <c r="G28" s="1136" t="s">
        <v>3271</v>
      </c>
      <c r="H28" s="1127" t="s">
        <v>3999</v>
      </c>
      <c r="I28" s="612" t="s">
        <v>3233</v>
      </c>
      <c r="J28" s="917" t="s">
        <v>391</v>
      </c>
      <c r="K28" s="612" t="s">
        <v>3230</v>
      </c>
      <c r="L28" s="917" t="s">
        <v>3232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>
      <c r="B29" s="613">
        <v>46209</v>
      </c>
      <c r="C29" s="612" t="s">
        <v>3725</v>
      </c>
      <c r="D29" s="612" t="s">
        <v>3237</v>
      </c>
      <c r="E29" s="614">
        <v>3.65</v>
      </c>
      <c r="F29" s="987" t="s">
        <v>3629</v>
      </c>
      <c r="G29" s="1136" t="s">
        <v>3271</v>
      </c>
      <c r="H29" s="1127" t="s">
        <v>3999</v>
      </c>
      <c r="I29" s="612" t="s">
        <v>3233</v>
      </c>
      <c r="J29" s="917" t="s">
        <v>391</v>
      </c>
      <c r="K29" s="612" t="s">
        <v>3230</v>
      </c>
      <c r="L29" s="917" t="s">
        <v>3232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>
      <c r="B30" s="613">
        <v>46210</v>
      </c>
      <c r="C30" s="612" t="s">
        <v>3728</v>
      </c>
      <c r="D30" s="612" t="s">
        <v>3331</v>
      </c>
      <c r="E30" s="614">
        <v>5.0999999999999996</v>
      </c>
      <c r="F30" s="987" t="s">
        <v>3388</v>
      </c>
      <c r="G30" s="1136" t="s">
        <v>3271</v>
      </c>
      <c r="H30" s="1127" t="s">
        <v>4000</v>
      </c>
      <c r="I30" s="612" t="s">
        <v>3328</v>
      </c>
      <c r="J30" s="917" t="s">
        <v>3393</v>
      </c>
      <c r="K30" s="612" t="s">
        <v>3230</v>
      </c>
      <c r="L30" s="917" t="s">
        <v>3232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>
      <c r="B31" s="613">
        <v>46212</v>
      </c>
      <c r="C31" s="612" t="s">
        <v>3736</v>
      </c>
      <c r="D31" s="612" t="s">
        <v>3331</v>
      </c>
      <c r="E31" s="614">
        <v>4</v>
      </c>
      <c r="F31" s="987" t="s">
        <v>3629</v>
      </c>
      <c r="G31" s="1136" t="s">
        <v>3271</v>
      </c>
      <c r="H31" s="1127" t="s">
        <v>4000</v>
      </c>
      <c r="I31" s="612" t="s">
        <v>3233</v>
      </c>
      <c r="J31" s="917" t="s">
        <v>3393</v>
      </c>
      <c r="K31" s="612" t="s">
        <v>3230</v>
      </c>
      <c r="L31" s="917" t="s">
        <v>3232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>
      <c r="B32" s="613">
        <v>46213</v>
      </c>
      <c r="C32" s="612" t="s">
        <v>3762</v>
      </c>
      <c r="D32" s="612" t="s">
        <v>3634</v>
      </c>
      <c r="E32" s="614">
        <v>4.3</v>
      </c>
      <c r="F32" s="987" t="s">
        <v>3630</v>
      </c>
      <c r="G32" s="1136" t="s">
        <v>3271</v>
      </c>
      <c r="H32" s="1127" t="s">
        <v>3999</v>
      </c>
      <c r="I32" s="612" t="s">
        <v>3233</v>
      </c>
      <c r="J32" s="917" t="s">
        <v>391</v>
      </c>
      <c r="K32" s="612" t="s">
        <v>3229</v>
      </c>
      <c r="L32" s="917" t="s">
        <v>3240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>
      <c r="B33" s="613">
        <v>46213</v>
      </c>
      <c r="C33" s="612" t="s">
        <v>3759</v>
      </c>
      <c r="D33" s="612" t="s">
        <v>3327</v>
      </c>
      <c r="E33" s="614">
        <v>4.0999999999999996</v>
      </c>
      <c r="F33" s="987" t="s">
        <v>3635</v>
      </c>
      <c r="G33" s="1136" t="s">
        <v>3271</v>
      </c>
      <c r="H33" s="1127" t="s">
        <v>3999</v>
      </c>
      <c r="I33" s="612" t="s">
        <v>3233</v>
      </c>
      <c r="J33" s="917" t="s">
        <v>391</v>
      </c>
      <c r="K33" s="612" t="s">
        <v>3229</v>
      </c>
      <c r="L33" s="917" t="s">
        <v>3240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>
      <c r="B34" s="613">
        <v>46213</v>
      </c>
      <c r="C34" s="612" t="s">
        <v>3752</v>
      </c>
      <c r="D34" s="612" t="s">
        <v>3237</v>
      </c>
      <c r="E34" s="614">
        <v>3.35</v>
      </c>
      <c r="F34" s="987" t="s">
        <v>3388</v>
      </c>
      <c r="G34" s="1136" t="s">
        <v>3271</v>
      </c>
      <c r="H34" s="1127" t="s">
        <v>3999</v>
      </c>
      <c r="I34" s="612" t="s">
        <v>3233</v>
      </c>
      <c r="J34" s="917" t="s">
        <v>391</v>
      </c>
      <c r="K34" s="612" t="s">
        <v>3230</v>
      </c>
      <c r="L34" s="917" t="s">
        <v>3232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>
      <c r="B35" s="613">
        <v>46214</v>
      </c>
      <c r="C35" s="612" t="s">
        <v>3747</v>
      </c>
      <c r="D35" s="612" t="s">
        <v>3634</v>
      </c>
      <c r="E35" s="614">
        <v>6.2</v>
      </c>
      <c r="F35" s="987" t="s">
        <v>3682</v>
      </c>
      <c r="G35" s="1136" t="s">
        <v>3271</v>
      </c>
      <c r="H35" s="1127" t="s">
        <v>4000</v>
      </c>
      <c r="I35" s="612" t="s">
        <v>3328</v>
      </c>
      <c r="J35" s="917" t="s">
        <v>391</v>
      </c>
      <c r="K35" s="612" t="s">
        <v>3229</v>
      </c>
      <c r="L35" s="917" t="s">
        <v>3240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>
      <c r="B36" s="613">
        <v>46214</v>
      </c>
      <c r="C36" s="612" t="s">
        <v>3745</v>
      </c>
      <c r="D36" s="612" t="s">
        <v>3768</v>
      </c>
      <c r="E36" s="614">
        <v>4.2</v>
      </c>
      <c r="F36" s="987" t="s">
        <v>3629</v>
      </c>
      <c r="G36" s="1136" t="s">
        <v>3271</v>
      </c>
      <c r="H36" s="1127" t="s">
        <v>3999</v>
      </c>
      <c r="I36" s="612" t="s">
        <v>3233</v>
      </c>
      <c r="J36" s="917" t="s">
        <v>391</v>
      </c>
      <c r="K36" s="612" t="s">
        <v>3229</v>
      </c>
      <c r="L36" s="917" t="s">
        <v>3240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>
      <c r="B37" s="613">
        <v>46214</v>
      </c>
      <c r="C37" s="612" t="s">
        <v>3740</v>
      </c>
      <c r="D37" s="612" t="s">
        <v>3331</v>
      </c>
      <c r="E37" s="614">
        <v>4.0999999999999996</v>
      </c>
      <c r="F37" s="987" t="s">
        <v>3254</v>
      </c>
      <c r="G37" s="1136" t="s">
        <v>3271</v>
      </c>
      <c r="H37" s="1127" t="s">
        <v>4000</v>
      </c>
      <c r="I37" s="612" t="s">
        <v>3233</v>
      </c>
      <c r="J37" s="917" t="s">
        <v>3393</v>
      </c>
      <c r="K37" s="612" t="s">
        <v>3229</v>
      </c>
      <c r="L37" s="917" t="s">
        <v>3240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>
      <c r="B38" s="613">
        <v>46215</v>
      </c>
      <c r="C38" s="612" t="s">
        <v>3780</v>
      </c>
      <c r="D38" s="612" t="s">
        <v>3331</v>
      </c>
      <c r="E38" s="614">
        <v>3.61</v>
      </c>
      <c r="F38" s="987" t="s">
        <v>3254</v>
      </c>
      <c r="G38" s="1136" t="s">
        <v>3271</v>
      </c>
      <c r="H38" s="1127" t="s">
        <v>4000</v>
      </c>
      <c r="I38" s="612" t="s">
        <v>3233</v>
      </c>
      <c r="J38" s="917" t="s">
        <v>3393</v>
      </c>
      <c r="K38" s="612" t="s">
        <v>3230</v>
      </c>
      <c r="L38" s="917" t="s">
        <v>3232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>
      <c r="B39" s="613">
        <v>46215</v>
      </c>
      <c r="C39" s="612" t="s">
        <v>3778</v>
      </c>
      <c r="D39" s="612" t="s">
        <v>3795</v>
      </c>
      <c r="E39" s="614">
        <v>5.6</v>
      </c>
      <c r="F39" s="987" t="s">
        <v>3629</v>
      </c>
      <c r="G39" s="1136" t="s">
        <v>3271</v>
      </c>
      <c r="H39" s="1127" t="s">
        <v>4000</v>
      </c>
      <c r="I39" s="612" t="s">
        <v>3328</v>
      </c>
      <c r="J39" s="917" t="s">
        <v>391</v>
      </c>
      <c r="K39" s="612" t="s">
        <v>3229</v>
      </c>
      <c r="L39" s="917" t="s">
        <v>3240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>
      <c r="B40" s="613">
        <v>46215</v>
      </c>
      <c r="C40" s="612" t="s">
        <v>3776</v>
      </c>
      <c r="D40" s="612" t="s">
        <v>3795</v>
      </c>
      <c r="E40" s="614">
        <v>4.2</v>
      </c>
      <c r="F40" s="987" t="s">
        <v>3629</v>
      </c>
      <c r="G40" s="1136" t="s">
        <v>3271</v>
      </c>
      <c r="H40" s="1127" t="s">
        <v>3999</v>
      </c>
      <c r="I40" s="612" t="s">
        <v>3233</v>
      </c>
      <c r="J40" s="917" t="s">
        <v>391</v>
      </c>
      <c r="K40" s="612" t="s">
        <v>3229</v>
      </c>
      <c r="L40" s="917" t="s">
        <v>3240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>
      <c r="B41" s="613">
        <v>46215</v>
      </c>
      <c r="C41" s="612" t="s">
        <v>3771</v>
      </c>
      <c r="D41" s="612" t="s">
        <v>3793</v>
      </c>
      <c r="E41" s="614">
        <v>5.8</v>
      </c>
      <c r="F41" s="987" t="s">
        <v>3682</v>
      </c>
      <c r="G41" s="1136" t="s">
        <v>3271</v>
      </c>
      <c r="H41" s="1127" t="s">
        <v>3999</v>
      </c>
      <c r="I41" s="612" t="s">
        <v>3328</v>
      </c>
      <c r="J41" s="917" t="s">
        <v>391</v>
      </c>
      <c r="K41" s="612" t="s">
        <v>3229</v>
      </c>
      <c r="L41" s="917" t="s">
        <v>3240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>
      <c r="B42" s="613">
        <v>46216</v>
      </c>
      <c r="C42" s="612" t="s">
        <v>3799</v>
      </c>
      <c r="D42" s="612" t="s">
        <v>3793</v>
      </c>
      <c r="E42" s="614">
        <v>7.8</v>
      </c>
      <c r="F42" s="987" t="s">
        <v>3629</v>
      </c>
      <c r="G42" s="1136" t="s">
        <v>3271</v>
      </c>
      <c r="H42" s="1127" t="s">
        <v>4000</v>
      </c>
      <c r="I42" s="612" t="s">
        <v>3328</v>
      </c>
      <c r="J42" s="917" t="s">
        <v>391</v>
      </c>
      <c r="K42" s="612" t="s">
        <v>3229</v>
      </c>
      <c r="L42" s="917" t="s">
        <v>3232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>
      <c r="B43" s="613">
        <v>46217</v>
      </c>
      <c r="C43" s="612" t="s">
        <v>3805</v>
      </c>
      <c r="D43" s="612" t="s">
        <v>3816</v>
      </c>
      <c r="E43" s="614">
        <v>5.5</v>
      </c>
      <c r="F43" s="987" t="s">
        <v>3629</v>
      </c>
      <c r="G43" s="1136" t="s">
        <v>3271</v>
      </c>
      <c r="H43" s="1127" t="s">
        <v>4000</v>
      </c>
      <c r="I43" s="612" t="s">
        <v>3233</v>
      </c>
      <c r="J43" s="917" t="s">
        <v>391</v>
      </c>
      <c r="K43" s="612" t="s">
        <v>3230</v>
      </c>
      <c r="L43" s="917" t="s">
        <v>3232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>
      <c r="B44" s="613">
        <v>46217</v>
      </c>
      <c r="C44" s="612" t="s">
        <v>3804</v>
      </c>
      <c r="D44" s="612" t="s">
        <v>3816</v>
      </c>
      <c r="E44" s="614">
        <v>6.4</v>
      </c>
      <c r="F44" s="987" t="s">
        <v>3682</v>
      </c>
      <c r="G44" s="1136" t="s">
        <v>3271</v>
      </c>
      <c r="H44" s="1127" t="s">
        <v>4000</v>
      </c>
      <c r="I44" s="612" t="s">
        <v>3328</v>
      </c>
      <c r="J44" s="917" t="s">
        <v>391</v>
      </c>
      <c r="K44" s="612" t="s">
        <v>3229</v>
      </c>
      <c r="L44" s="917" t="s">
        <v>3232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>
      <c r="B45" s="613">
        <v>46218</v>
      </c>
      <c r="C45" s="612" t="s">
        <v>3824</v>
      </c>
      <c r="D45" s="612" t="s">
        <v>3816</v>
      </c>
      <c r="E45" s="614">
        <v>6.4</v>
      </c>
      <c r="F45" s="987" t="s">
        <v>75</v>
      </c>
      <c r="G45" s="1136" t="s">
        <v>3271</v>
      </c>
      <c r="H45" s="1127" t="s">
        <v>4000</v>
      </c>
      <c r="I45" s="612" t="s">
        <v>3328</v>
      </c>
      <c r="J45" s="917" t="s">
        <v>391</v>
      </c>
      <c r="K45" s="612" t="s">
        <v>3229</v>
      </c>
      <c r="L45" s="917" t="s">
        <v>3232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>
      <c r="B46" s="613">
        <v>46218</v>
      </c>
      <c r="C46" s="612" t="s">
        <v>3819</v>
      </c>
      <c r="D46" s="612" t="s">
        <v>3829</v>
      </c>
      <c r="E46" s="614">
        <v>4.2</v>
      </c>
      <c r="F46" s="987" t="s">
        <v>3254</v>
      </c>
      <c r="G46" s="1136" t="s">
        <v>3271</v>
      </c>
      <c r="H46" s="1127" t="s">
        <v>4000</v>
      </c>
      <c r="I46" s="612" t="s">
        <v>3233</v>
      </c>
      <c r="J46" s="917" t="s">
        <v>391</v>
      </c>
      <c r="K46" s="612" t="s">
        <v>3230</v>
      </c>
      <c r="L46" s="917" t="s">
        <v>3232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>
      <c r="B47" s="613">
        <v>46219</v>
      </c>
      <c r="C47" s="612" t="s">
        <v>3841</v>
      </c>
      <c r="D47" s="612" t="s">
        <v>3846</v>
      </c>
      <c r="E47" s="614">
        <v>5</v>
      </c>
      <c r="F47" s="987" t="s">
        <v>3629</v>
      </c>
      <c r="G47" s="1136" t="s">
        <v>3271</v>
      </c>
      <c r="H47" s="1127" t="s">
        <v>4000</v>
      </c>
      <c r="I47" s="612" t="s">
        <v>3328</v>
      </c>
      <c r="J47" s="917" t="s">
        <v>391</v>
      </c>
      <c r="K47" s="612" t="s">
        <v>3229</v>
      </c>
      <c r="L47" s="917" t="s">
        <v>3232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>
      <c r="B48" s="613">
        <v>46219</v>
      </c>
      <c r="C48" s="612" t="s">
        <v>3838</v>
      </c>
      <c r="D48" s="612" t="s">
        <v>1218</v>
      </c>
      <c r="E48" s="614">
        <v>6</v>
      </c>
      <c r="F48" s="987" t="s">
        <v>3629</v>
      </c>
      <c r="G48" s="1136" t="s">
        <v>3271</v>
      </c>
      <c r="H48" s="1127" t="s">
        <v>4000</v>
      </c>
      <c r="I48" s="612" t="s">
        <v>3233</v>
      </c>
      <c r="J48" s="917" t="s">
        <v>391</v>
      </c>
      <c r="K48" s="612" t="s">
        <v>3229</v>
      </c>
      <c r="L48" s="917" t="s">
        <v>3240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>
      <c r="B49" s="613">
        <v>46220</v>
      </c>
      <c r="C49" s="612" t="s">
        <v>3859</v>
      </c>
      <c r="D49" s="612" t="s">
        <v>3867</v>
      </c>
      <c r="E49" s="614">
        <v>6</v>
      </c>
      <c r="F49" s="987" t="s">
        <v>3254</v>
      </c>
      <c r="G49" s="1136" t="s">
        <v>3271</v>
      </c>
      <c r="H49" s="1127" t="s">
        <v>4000</v>
      </c>
      <c r="I49" s="612" t="s">
        <v>3328</v>
      </c>
      <c r="J49" s="917" t="s">
        <v>391</v>
      </c>
      <c r="K49" s="612" t="s">
        <v>3229</v>
      </c>
      <c r="L49" s="917" t="s">
        <v>3240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>
      <c r="B50" s="613">
        <v>46220</v>
      </c>
      <c r="C50" s="612" t="s">
        <v>3852</v>
      </c>
      <c r="D50" s="612" t="s">
        <v>3237</v>
      </c>
      <c r="E50" s="614">
        <v>3.05</v>
      </c>
      <c r="F50" s="987" t="s">
        <v>3629</v>
      </c>
      <c r="G50" s="1136" t="s">
        <v>3271</v>
      </c>
      <c r="H50" s="1127" t="s">
        <v>3999</v>
      </c>
      <c r="I50" s="612" t="s">
        <v>3233</v>
      </c>
      <c r="J50" s="917" t="s">
        <v>391</v>
      </c>
      <c r="K50" s="612" t="s">
        <v>3230</v>
      </c>
      <c r="L50" s="917" t="s">
        <v>3232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>
      <c r="B51" s="613">
        <v>46220</v>
      </c>
      <c r="C51" s="612" t="s">
        <v>3848</v>
      </c>
      <c r="D51" s="612" t="s">
        <v>3890</v>
      </c>
      <c r="E51" s="614">
        <v>3.65</v>
      </c>
      <c r="F51" s="987" t="s">
        <v>3254</v>
      </c>
      <c r="G51" s="1136" t="s">
        <v>3271</v>
      </c>
      <c r="H51" s="1127" t="s">
        <v>3999</v>
      </c>
      <c r="I51" s="612" t="s">
        <v>3233</v>
      </c>
      <c r="J51" s="917" t="s">
        <v>391</v>
      </c>
      <c r="K51" s="612" t="s">
        <v>3230</v>
      </c>
      <c r="L51" s="917" t="s">
        <v>3240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>
      <c r="B52" s="613">
        <v>46221</v>
      </c>
      <c r="C52" s="612" t="s">
        <v>3885</v>
      </c>
      <c r="D52" s="612" t="s">
        <v>3867</v>
      </c>
      <c r="E52" s="614">
        <v>5.4</v>
      </c>
      <c r="F52" s="987" t="s">
        <v>75</v>
      </c>
      <c r="G52" s="1136" t="s">
        <v>3271</v>
      </c>
      <c r="H52" s="1127" t="s">
        <v>4000</v>
      </c>
      <c r="I52" s="612" t="s">
        <v>3328</v>
      </c>
      <c r="J52" s="917" t="s">
        <v>391</v>
      </c>
      <c r="K52" s="612" t="s">
        <v>3229</v>
      </c>
      <c r="L52" s="917" t="s">
        <v>3240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>
      <c r="B53" s="613">
        <v>46221</v>
      </c>
      <c r="C53" s="612" t="s">
        <v>3882</v>
      </c>
      <c r="D53" s="612" t="s">
        <v>3795</v>
      </c>
      <c r="E53" s="614">
        <v>4.4000000000000004</v>
      </c>
      <c r="F53" s="987" t="s">
        <v>3682</v>
      </c>
      <c r="G53" s="1136" t="s">
        <v>3271</v>
      </c>
      <c r="H53" s="1127" t="s">
        <v>3999</v>
      </c>
      <c r="I53" s="612" t="s">
        <v>3233</v>
      </c>
      <c r="J53" s="917" t="s">
        <v>391</v>
      </c>
      <c r="K53" s="612" t="s">
        <v>3229</v>
      </c>
      <c r="L53" s="917" t="s">
        <v>3240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>
      <c r="B54" s="613">
        <v>46221</v>
      </c>
      <c r="C54" s="612" t="s">
        <v>3878</v>
      </c>
      <c r="D54" s="612" t="s">
        <v>3768</v>
      </c>
      <c r="E54" s="614">
        <v>6.8</v>
      </c>
      <c r="F54" s="987" t="s">
        <v>3682</v>
      </c>
      <c r="G54" s="1136" t="s">
        <v>3271</v>
      </c>
      <c r="H54" s="1127" t="s">
        <v>4000</v>
      </c>
      <c r="I54" s="612" t="s">
        <v>3328</v>
      </c>
      <c r="J54" s="917" t="s">
        <v>391</v>
      </c>
      <c r="K54" s="612" t="s">
        <v>3229</v>
      </c>
      <c r="L54" s="917" t="s">
        <v>3240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>
      <c r="B55" s="613">
        <v>46221</v>
      </c>
      <c r="C55" s="612" t="s">
        <v>3876</v>
      </c>
      <c r="D55" s="612" t="s">
        <v>3768</v>
      </c>
      <c r="E55" s="614">
        <v>4.3</v>
      </c>
      <c r="F55" s="987" t="s">
        <v>3388</v>
      </c>
      <c r="G55" s="1136" t="s">
        <v>3271</v>
      </c>
      <c r="H55" s="1127" t="s">
        <v>3999</v>
      </c>
      <c r="I55" s="612" t="s">
        <v>3233</v>
      </c>
      <c r="J55" s="917" t="s">
        <v>391</v>
      </c>
      <c r="K55" s="612" t="s">
        <v>3229</v>
      </c>
      <c r="L55" s="917" t="s">
        <v>3240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>
      <c r="B56" s="613">
        <v>46221</v>
      </c>
      <c r="C56" s="612" t="s">
        <v>3873</v>
      </c>
      <c r="D56" s="612" t="s">
        <v>3237</v>
      </c>
      <c r="E56" s="614">
        <v>3.4</v>
      </c>
      <c r="F56" s="987" t="s">
        <v>3629</v>
      </c>
      <c r="G56" s="1136" t="s">
        <v>3271</v>
      </c>
      <c r="H56" s="1127" t="s">
        <v>4000</v>
      </c>
      <c r="I56" s="612" t="s">
        <v>3233</v>
      </c>
      <c r="J56" s="917" t="s">
        <v>391</v>
      </c>
      <c r="K56" s="612" t="s">
        <v>3230</v>
      </c>
      <c r="L56" s="917" t="s">
        <v>3232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>
      <c r="B57" s="613">
        <v>46221</v>
      </c>
      <c r="C57" s="612" t="s">
        <v>3871</v>
      </c>
      <c r="D57" s="612" t="s">
        <v>3237</v>
      </c>
      <c r="E57" s="614">
        <v>3.25</v>
      </c>
      <c r="F57" s="987" t="s">
        <v>75</v>
      </c>
      <c r="G57" s="1136" t="s">
        <v>3271</v>
      </c>
      <c r="H57" s="1127" t="s">
        <v>3999</v>
      </c>
      <c r="I57" s="612" t="s">
        <v>3233</v>
      </c>
      <c r="J57" s="917" t="s">
        <v>391</v>
      </c>
      <c r="K57" s="612" t="s">
        <v>3230</v>
      </c>
      <c r="L57" s="917" t="s">
        <v>3232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>
      <c r="B58" s="613">
        <v>46222</v>
      </c>
      <c r="C58" s="612" t="s">
        <v>3892</v>
      </c>
      <c r="D58" s="612" t="s">
        <v>3795</v>
      </c>
      <c r="E58" s="614">
        <v>7.8</v>
      </c>
      <c r="F58" s="987" t="s">
        <v>3629</v>
      </c>
      <c r="G58" s="1136" t="s">
        <v>3271</v>
      </c>
      <c r="H58" s="1127" t="s">
        <v>4000</v>
      </c>
      <c r="I58" s="612" t="s">
        <v>3328</v>
      </c>
      <c r="J58" s="917" t="s">
        <v>391</v>
      </c>
      <c r="K58" s="612" t="s">
        <v>3229</v>
      </c>
      <c r="L58" s="917" t="s">
        <v>3232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>
      <c r="B59" s="613">
        <v>46222</v>
      </c>
      <c r="C59" s="612" t="s">
        <v>3891</v>
      </c>
      <c r="D59" s="612" t="s">
        <v>3911</v>
      </c>
      <c r="E59" s="614">
        <v>5.2</v>
      </c>
      <c r="F59" s="987" t="s">
        <v>3682</v>
      </c>
      <c r="G59" s="1136" t="s">
        <v>3271</v>
      </c>
      <c r="H59" s="1127" t="s">
        <v>4000</v>
      </c>
      <c r="I59" s="612" t="s">
        <v>3233</v>
      </c>
      <c r="J59" s="917" t="s">
        <v>391</v>
      </c>
      <c r="K59" s="612" t="s">
        <v>3229</v>
      </c>
      <c r="L59" s="917" t="s">
        <v>3232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>
      <c r="B60" s="613">
        <v>46222</v>
      </c>
      <c r="C60" s="612" t="s">
        <v>3893</v>
      </c>
      <c r="D60" s="612" t="s">
        <v>3912</v>
      </c>
      <c r="E60" s="614">
        <v>5.7</v>
      </c>
      <c r="F60" s="987" t="s">
        <v>16</v>
      </c>
      <c r="G60" s="1136" t="s">
        <v>3271</v>
      </c>
      <c r="H60" s="1127" t="s">
        <v>4000</v>
      </c>
      <c r="I60" s="612" t="s">
        <v>3328</v>
      </c>
      <c r="J60" s="917" t="s">
        <v>391</v>
      </c>
      <c r="K60" s="612" t="s">
        <v>3229</v>
      </c>
      <c r="L60" s="917" t="s">
        <v>3240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>
      <c r="B61" s="613">
        <v>46222</v>
      </c>
      <c r="C61" s="612" t="s">
        <v>3898</v>
      </c>
      <c r="D61" s="612" t="s">
        <v>3913</v>
      </c>
      <c r="E61" s="614">
        <v>3.9</v>
      </c>
      <c r="F61" s="987" t="s">
        <v>3254</v>
      </c>
      <c r="G61" s="1136" t="s">
        <v>3271</v>
      </c>
      <c r="H61" s="1127" t="s">
        <v>4000</v>
      </c>
      <c r="I61" s="612" t="s">
        <v>3233</v>
      </c>
      <c r="J61" s="917" t="s">
        <v>391</v>
      </c>
      <c r="K61" s="612" t="s">
        <v>3230</v>
      </c>
      <c r="L61" s="917" t="s">
        <v>3232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>
      <c r="B62" s="613">
        <v>46222</v>
      </c>
      <c r="C62" s="612" t="s">
        <v>3897</v>
      </c>
      <c r="D62" s="612" t="s">
        <v>3795</v>
      </c>
      <c r="E62" s="614">
        <v>5</v>
      </c>
      <c r="F62" s="987" t="s">
        <v>3629</v>
      </c>
      <c r="G62" s="1136" t="s">
        <v>3271</v>
      </c>
      <c r="H62" s="1127" t="s">
        <v>4000</v>
      </c>
      <c r="I62" s="612" t="s">
        <v>3233</v>
      </c>
      <c r="J62" s="917" t="s">
        <v>391</v>
      </c>
      <c r="K62" s="612" t="s">
        <v>3229</v>
      </c>
      <c r="L62" s="917" t="s">
        <v>3240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>
      <c r="B63" s="613">
        <v>46222</v>
      </c>
      <c r="C63" s="612" t="s">
        <v>3907</v>
      </c>
      <c r="D63" s="612" t="s">
        <v>3795</v>
      </c>
      <c r="E63" s="614">
        <v>3.6</v>
      </c>
      <c r="F63" s="987" t="s">
        <v>3629</v>
      </c>
      <c r="G63" s="1136" t="s">
        <v>3271</v>
      </c>
      <c r="H63" s="1127" t="s">
        <v>3999</v>
      </c>
      <c r="I63" s="612" t="s">
        <v>3233</v>
      </c>
      <c r="J63" s="917" t="s">
        <v>391</v>
      </c>
      <c r="K63" s="612" t="s">
        <v>3229</v>
      </c>
      <c r="L63" s="917" t="s">
        <v>3240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>
      <c r="B64" s="613">
        <v>46224</v>
      </c>
      <c r="C64" s="612" t="s">
        <v>3955</v>
      </c>
      <c r="D64" s="612" t="s">
        <v>3956</v>
      </c>
      <c r="E64" s="614">
        <v>6.2</v>
      </c>
      <c r="F64" s="987" t="s">
        <v>3682</v>
      </c>
      <c r="G64" s="1136" t="s">
        <v>3271</v>
      </c>
      <c r="H64" s="1127" t="s">
        <v>4000</v>
      </c>
      <c r="I64" s="612" t="s">
        <v>3328</v>
      </c>
      <c r="J64" s="917" t="s">
        <v>391</v>
      </c>
      <c r="K64" s="612" t="s">
        <v>3229</v>
      </c>
      <c r="L64" s="917" t="s">
        <v>3240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>
      <c r="B65" s="613">
        <v>46225</v>
      </c>
      <c r="C65" s="612" t="s">
        <v>3972</v>
      </c>
      <c r="D65" s="612" t="s">
        <v>3237</v>
      </c>
      <c r="E65" s="614">
        <v>5.5</v>
      </c>
      <c r="F65" s="987" t="s">
        <v>3635</v>
      </c>
      <c r="G65" s="1136" t="s">
        <v>3271</v>
      </c>
      <c r="H65" s="1127" t="s">
        <v>4000</v>
      </c>
      <c r="I65" s="612" t="s">
        <v>3328</v>
      </c>
      <c r="J65" s="917" t="s">
        <v>391</v>
      </c>
      <c r="K65" s="612" t="s">
        <v>3230</v>
      </c>
      <c r="L65" s="917" t="s">
        <v>3232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>
      <c r="B66" s="613">
        <v>46225</v>
      </c>
      <c r="C66" s="612" t="s">
        <v>3970</v>
      </c>
      <c r="D66" s="612" t="s">
        <v>3977</v>
      </c>
      <c r="E66" s="614">
        <v>3.95</v>
      </c>
      <c r="F66" s="987" t="s">
        <v>75</v>
      </c>
      <c r="G66" s="1136" t="s">
        <v>3271</v>
      </c>
      <c r="H66" s="1127" t="s">
        <v>3999</v>
      </c>
      <c r="I66" s="612" t="s">
        <v>3233</v>
      </c>
      <c r="J66" s="917" t="s">
        <v>391</v>
      </c>
      <c r="K66" s="612" t="s">
        <v>3229</v>
      </c>
      <c r="L66" s="917" t="s">
        <v>3240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>
      <c r="B67" s="613">
        <v>46225</v>
      </c>
      <c r="C67" s="612" t="s">
        <v>3961</v>
      </c>
      <c r="D67" s="612" t="s">
        <v>3977</v>
      </c>
      <c r="E67" s="614">
        <v>3.75</v>
      </c>
      <c r="F67" s="987" t="s">
        <v>3629</v>
      </c>
      <c r="G67" s="1136" t="s">
        <v>3271</v>
      </c>
      <c r="H67" s="1127" t="s">
        <v>3999</v>
      </c>
      <c r="I67" s="612" t="s">
        <v>3233</v>
      </c>
      <c r="J67" s="917" t="s">
        <v>391</v>
      </c>
      <c r="K67" s="612" t="s">
        <v>3229</v>
      </c>
      <c r="L67" s="917" t="s">
        <v>3240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>
      <c r="B68" s="613">
        <v>46226</v>
      </c>
      <c r="C68" s="612" t="s">
        <v>4017</v>
      </c>
      <c r="D68" s="612" t="s">
        <v>3977</v>
      </c>
      <c r="E68" s="614">
        <v>4.9000000000000004</v>
      </c>
      <c r="F68" s="987" t="s">
        <v>3388</v>
      </c>
      <c r="G68" s="1136" t="s">
        <v>3271</v>
      </c>
      <c r="H68" s="1127" t="s">
        <v>4000</v>
      </c>
      <c r="I68" s="612" t="s">
        <v>3233</v>
      </c>
      <c r="J68" s="917" t="s">
        <v>391</v>
      </c>
      <c r="K68" s="612" t="s">
        <v>3229</v>
      </c>
      <c r="L68" s="917" t="s">
        <v>3240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>
      <c r="B69" s="613">
        <v>46226</v>
      </c>
      <c r="C69" s="612" t="s">
        <v>4014</v>
      </c>
      <c r="D69" s="612" t="s">
        <v>3890</v>
      </c>
      <c r="E69" s="614">
        <v>4.4000000000000004</v>
      </c>
      <c r="F69" s="987" t="s">
        <v>3629</v>
      </c>
      <c r="G69" s="1136" t="s">
        <v>3271</v>
      </c>
      <c r="H69" s="1127" t="s">
        <v>4000</v>
      </c>
      <c r="I69" s="612" t="s">
        <v>3233</v>
      </c>
      <c r="J69" s="917" t="s">
        <v>391</v>
      </c>
      <c r="K69" s="612" t="s">
        <v>3230</v>
      </c>
      <c r="L69" s="917" t="s">
        <v>3232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>
      <c r="B70" s="613">
        <v>46226</v>
      </c>
      <c r="C70" s="612" t="s">
        <v>4010</v>
      </c>
      <c r="D70" s="612" t="s">
        <v>3890</v>
      </c>
      <c r="E70" s="614">
        <v>3.9</v>
      </c>
      <c r="F70" s="987" t="s">
        <v>75</v>
      </c>
      <c r="G70" s="1137" t="s">
        <v>4025</v>
      </c>
      <c r="H70" s="1127" t="s">
        <v>3999</v>
      </c>
      <c r="I70" s="612" t="s">
        <v>3233</v>
      </c>
      <c r="J70" s="917" t="s">
        <v>391</v>
      </c>
      <c r="K70" s="612" t="s">
        <v>3229</v>
      </c>
      <c r="L70" s="917" t="s">
        <v>3240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>
      <c r="B71" s="613">
        <v>46226</v>
      </c>
      <c r="C71" s="612" t="s">
        <v>4005</v>
      </c>
      <c r="D71" s="612" t="s">
        <v>3829</v>
      </c>
      <c r="E71" s="614">
        <v>3.7</v>
      </c>
      <c r="F71" s="987" t="s">
        <v>3254</v>
      </c>
      <c r="G71" s="1136" t="s">
        <v>4023</v>
      </c>
      <c r="H71" s="1127"/>
      <c r="I71" s="612" t="s">
        <v>3233</v>
      </c>
      <c r="J71" s="917" t="s">
        <v>391</v>
      </c>
      <c r="K71" s="612" t="s">
        <v>3230</v>
      </c>
      <c r="L71" s="917" t="s">
        <v>3240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>
      <c r="B72" s="613">
        <v>46227</v>
      </c>
      <c r="C72" s="612" t="s">
        <v>4031</v>
      </c>
      <c r="D72" s="612" t="s">
        <v>4043</v>
      </c>
      <c r="E72" s="614">
        <v>3.1</v>
      </c>
      <c r="F72" s="987" t="s">
        <v>16</v>
      </c>
      <c r="G72" s="1136" t="s">
        <v>4023</v>
      </c>
      <c r="H72" s="1127"/>
      <c r="I72" s="612" t="s">
        <v>3233</v>
      </c>
      <c r="J72" s="917" t="s">
        <v>391</v>
      </c>
      <c r="K72" s="612" t="s">
        <v>3230</v>
      </c>
      <c r="L72" s="917" t="s">
        <v>3232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>
      <c r="B73" s="613">
        <v>46227</v>
      </c>
      <c r="C73" s="612" t="s">
        <v>4042</v>
      </c>
      <c r="D73" s="612" t="s">
        <v>3329</v>
      </c>
      <c r="E73" s="614">
        <v>4.8</v>
      </c>
      <c r="F73" s="987" t="s">
        <v>3629</v>
      </c>
      <c r="G73" s="1136" t="s">
        <v>4023</v>
      </c>
      <c r="H73" s="1127"/>
      <c r="I73" s="612" t="s">
        <v>3233</v>
      </c>
      <c r="J73" s="917" t="s">
        <v>391</v>
      </c>
      <c r="K73" s="612" t="s">
        <v>3229</v>
      </c>
      <c r="L73" s="917" t="s">
        <v>3240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>
      <c r="D2" s="546" t="s">
        <v>3032</v>
      </c>
      <c r="E2" s="549">
        <v>1500</v>
      </c>
      <c r="G2" s="546" t="s">
        <v>3034</v>
      </c>
      <c r="H2" s="445">
        <f>E2*E3</f>
        <v>22.5</v>
      </c>
      <c r="J2" s="546" t="s">
        <v>3039</v>
      </c>
      <c r="K2" s="443">
        <f>COUNTA(betflow[Data])</f>
        <v>241</v>
      </c>
    </row>
    <row r="3" spans="2:16" ht="19.95" customHeight="1">
      <c r="D3" s="546" t="s">
        <v>3033</v>
      </c>
      <c r="E3" s="547">
        <v>1.4999999999999999E-2</v>
      </c>
      <c r="G3" s="546" t="s">
        <v>3035</v>
      </c>
      <c r="H3" s="445">
        <f>H2*E5</f>
        <v>13.684329984249661</v>
      </c>
      <c r="J3" s="546" t="s">
        <v>3038</v>
      </c>
      <c r="K3" s="443">
        <f ca="1">_xlfn.DAYS(TODAY()-1,B8)</f>
        <v>103</v>
      </c>
    </row>
    <row r="4" spans="2:16" ht="19.95" customHeight="1">
      <c r="D4" s="546" t="s">
        <v>81</v>
      </c>
      <c r="E4" s="550">
        <v>0.01</v>
      </c>
      <c r="G4" s="546" t="s">
        <v>3037</v>
      </c>
      <c r="H4" s="445">
        <f>SUM(H2:H3)</f>
        <v>36.184329984249658</v>
      </c>
      <c r="J4" s="546" t="s">
        <v>3040</v>
      </c>
      <c r="K4" s="445">
        <f ca="1">K2/K3</f>
        <v>2.3398058252427183</v>
      </c>
    </row>
    <row r="5" spans="2:16" ht="19.95" customHeight="1">
      <c r="D5" s="546" t="s">
        <v>3036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3041</v>
      </c>
      <c r="K5" s="445">
        <f ca="1">K4*30*H5</f>
        <v>25.399291823895631</v>
      </c>
    </row>
    <row r="7" spans="2:16" ht="30" customHeight="1">
      <c r="B7" s="448" t="s">
        <v>0</v>
      </c>
      <c r="C7" s="448" t="s">
        <v>1</v>
      </c>
      <c r="D7" s="448" t="s">
        <v>1819</v>
      </c>
      <c r="E7" s="448" t="s">
        <v>1820</v>
      </c>
      <c r="F7" s="448" t="s">
        <v>79</v>
      </c>
      <c r="G7" s="448" t="s">
        <v>1817</v>
      </c>
      <c r="H7" s="448" t="s">
        <v>1822</v>
      </c>
      <c r="I7" s="448" t="s">
        <v>1818</v>
      </c>
      <c r="J7" s="448" t="s">
        <v>1823</v>
      </c>
      <c r="K7" s="448" t="s">
        <v>1824</v>
      </c>
      <c r="L7" s="448" t="s">
        <v>1825</v>
      </c>
      <c r="M7" s="448" t="s">
        <v>1827</v>
      </c>
      <c r="N7" s="448" t="s">
        <v>262</v>
      </c>
      <c r="O7" s="448" t="s">
        <v>81</v>
      </c>
      <c r="P7" s="448" t="s">
        <v>1826</v>
      </c>
    </row>
    <row r="8" spans="2:16" ht="19.95" customHeight="1">
      <c r="B8" s="444">
        <v>46140</v>
      </c>
      <c r="C8" s="443" t="s">
        <v>1815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1816</v>
      </c>
      <c r="I8" s="443" t="s">
        <v>1821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444">
        <v>46141</v>
      </c>
      <c r="C9" s="443" t="s">
        <v>1813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1814</v>
      </c>
      <c r="I9" s="443" t="s">
        <v>1821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444">
        <v>46142</v>
      </c>
      <c r="C10" s="443" t="s">
        <v>1845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1816</v>
      </c>
      <c r="I10" s="443" t="s">
        <v>1821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444">
        <v>46142</v>
      </c>
      <c r="C11" s="443" t="s">
        <v>1846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1816</v>
      </c>
      <c r="I11" s="443" t="s">
        <v>1821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444">
        <v>46142</v>
      </c>
      <c r="C12" s="443" t="s">
        <v>1847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1814</v>
      </c>
      <c r="I12" s="443" t="s">
        <v>1821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444">
        <v>46143</v>
      </c>
      <c r="C13" s="443" t="s">
        <v>1848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1816</v>
      </c>
      <c r="I13" s="443" t="s">
        <v>1821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444">
        <v>46143</v>
      </c>
      <c r="C14" s="443" t="s">
        <v>1849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1814</v>
      </c>
      <c r="I14" s="443" t="s">
        <v>1821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444">
        <v>46143</v>
      </c>
      <c r="C15" s="443" t="s">
        <v>1850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1816</v>
      </c>
      <c r="I15" s="443" t="s">
        <v>1821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444">
        <v>46143</v>
      </c>
      <c r="C16" s="443" t="s">
        <v>1849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1816</v>
      </c>
      <c r="I16" s="443" t="s">
        <v>1821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444">
        <v>46143</v>
      </c>
      <c r="C17" s="443" t="s">
        <v>1851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1816</v>
      </c>
      <c r="I17" s="443" t="s">
        <v>1821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444">
        <v>46143</v>
      </c>
      <c r="C18" s="443" t="s">
        <v>1852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1816</v>
      </c>
      <c r="I18" s="443" t="s">
        <v>1821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444">
        <v>46143</v>
      </c>
      <c r="C19" s="443" t="s">
        <v>1853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1814</v>
      </c>
      <c r="I19" s="443" t="s">
        <v>1821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444">
        <v>46144</v>
      </c>
      <c r="C20" s="443" t="s">
        <v>1854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1816</v>
      </c>
      <c r="I20" s="443" t="s">
        <v>1821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444">
        <v>46144</v>
      </c>
      <c r="C21" s="443" t="s">
        <v>1855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1816</v>
      </c>
      <c r="I21" s="443" t="s">
        <v>1821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444">
        <v>46144</v>
      </c>
      <c r="C22" s="443" t="s">
        <v>1856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1816</v>
      </c>
      <c r="I22" s="443" t="s">
        <v>1821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444">
        <v>46144</v>
      </c>
      <c r="C23" s="443" t="s">
        <v>1854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1816</v>
      </c>
      <c r="I23" s="443" t="s">
        <v>1821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444">
        <v>46144</v>
      </c>
      <c r="C24" s="443" t="s">
        <v>1857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1814</v>
      </c>
      <c r="I24" s="443" t="s">
        <v>1821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444">
        <v>46144</v>
      </c>
      <c r="C25" s="443" t="s">
        <v>1857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1816</v>
      </c>
      <c r="I25" s="443" t="s">
        <v>1821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444">
        <v>46144</v>
      </c>
      <c r="C26" s="443" t="s">
        <v>1858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1814</v>
      </c>
      <c r="I26" s="443" t="s">
        <v>1821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444">
        <v>46144</v>
      </c>
      <c r="C27" s="443" t="s">
        <v>1859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1816</v>
      </c>
      <c r="I27" s="443" t="s">
        <v>1821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444">
        <v>46144</v>
      </c>
      <c r="C28" s="443" t="s">
        <v>1860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1814</v>
      </c>
      <c r="I28" s="443" t="s">
        <v>1821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444">
        <v>46144</v>
      </c>
      <c r="C29" s="443" t="s">
        <v>1861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1814</v>
      </c>
      <c r="I29" s="443" t="s">
        <v>1821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444">
        <v>46144</v>
      </c>
      <c r="C30" s="443" t="s">
        <v>1860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1816</v>
      </c>
      <c r="I30" s="443" t="s">
        <v>1821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444">
        <v>46144</v>
      </c>
      <c r="C31" s="443" t="s">
        <v>1862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1814</v>
      </c>
      <c r="I31" s="443" t="s">
        <v>1821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444">
        <v>46144</v>
      </c>
      <c r="C32" s="443" t="s">
        <v>1863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1814</v>
      </c>
      <c r="I32" s="443" t="s">
        <v>1821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444">
        <v>46144</v>
      </c>
      <c r="C33" s="443" t="s">
        <v>1864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1814</v>
      </c>
      <c r="I33" s="443" t="s">
        <v>1821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444">
        <v>46145</v>
      </c>
      <c r="C34" s="443" t="s">
        <v>1865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1814</v>
      </c>
      <c r="I34" s="443" t="s">
        <v>1821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444">
        <v>46145</v>
      </c>
      <c r="C35" s="443" t="s">
        <v>1866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1816</v>
      </c>
      <c r="I35" s="443" t="s">
        <v>1821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444">
        <v>46145</v>
      </c>
      <c r="C36" s="443" t="s">
        <v>1867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1816</v>
      </c>
      <c r="I36" s="443" t="s">
        <v>1821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444">
        <v>46145</v>
      </c>
      <c r="C37" s="443" t="s">
        <v>1868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1814</v>
      </c>
      <c r="I37" s="443" t="s">
        <v>1821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444">
        <v>46145</v>
      </c>
      <c r="C38" s="443" t="s">
        <v>1869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1814</v>
      </c>
      <c r="I38" s="443" t="s">
        <v>1821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444">
        <v>46145</v>
      </c>
      <c r="C39" s="443" t="s">
        <v>1870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1814</v>
      </c>
      <c r="I39" s="443" t="s">
        <v>1821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444">
        <v>46145</v>
      </c>
      <c r="C40" s="443" t="s">
        <v>1871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1816</v>
      </c>
      <c r="I40" s="443" t="s">
        <v>1821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444">
        <v>46145</v>
      </c>
      <c r="C41" s="443" t="s">
        <v>1872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1816</v>
      </c>
      <c r="I41" s="443" t="s">
        <v>1821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444">
        <v>46146</v>
      </c>
      <c r="C42" s="443" t="s">
        <v>1873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1814</v>
      </c>
      <c r="I42" s="443" t="s">
        <v>1821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444">
        <v>46146</v>
      </c>
      <c r="C43" s="443" t="s">
        <v>1874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1816</v>
      </c>
      <c r="I43" s="443" t="s">
        <v>1821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444">
        <v>46146</v>
      </c>
      <c r="C44" s="443" t="s">
        <v>1929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1816</v>
      </c>
      <c r="I44" s="443" t="s">
        <v>1821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444">
        <v>46146</v>
      </c>
      <c r="C45" s="443" t="s">
        <v>1928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1814</v>
      </c>
      <c r="I45" s="443" t="s">
        <v>1821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444">
        <v>46146</v>
      </c>
      <c r="C46" s="443" t="s">
        <v>1927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1816</v>
      </c>
      <c r="I46" s="443" t="s">
        <v>1821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444">
        <v>46147</v>
      </c>
      <c r="C47" s="443" t="s">
        <v>1926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1814</v>
      </c>
      <c r="I47" s="443" t="s">
        <v>1821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444">
        <v>46147</v>
      </c>
      <c r="C48" s="443" t="s">
        <v>1925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1814</v>
      </c>
      <c r="I48" s="443" t="s">
        <v>1821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444">
        <v>46147</v>
      </c>
      <c r="C49" s="443" t="s">
        <v>1924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1814</v>
      </c>
      <c r="I49" s="443" t="s">
        <v>1821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444">
        <v>46147</v>
      </c>
      <c r="C50" s="443" t="s">
        <v>1923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1816</v>
      </c>
      <c r="I50" s="443" t="s">
        <v>1821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444">
        <v>46147</v>
      </c>
      <c r="C51" s="443" t="s">
        <v>1922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1816</v>
      </c>
      <c r="I51" s="443" t="s">
        <v>1821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444">
        <v>46147</v>
      </c>
      <c r="C52" s="443" t="s">
        <v>1921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1816</v>
      </c>
      <c r="I52" s="443" t="s">
        <v>1821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444">
        <v>46148</v>
      </c>
      <c r="C53" s="443" t="s">
        <v>1920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1814</v>
      </c>
      <c r="I53" s="443" t="s">
        <v>1821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444">
        <v>46148</v>
      </c>
      <c r="C54" s="443" t="s">
        <v>1919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1816</v>
      </c>
      <c r="I54" s="443" t="s">
        <v>1821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444">
        <v>46148</v>
      </c>
      <c r="C55" s="443" t="s">
        <v>1918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1816</v>
      </c>
      <c r="I55" s="443" t="s">
        <v>1821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444">
        <v>46148</v>
      </c>
      <c r="C56" s="443" t="s">
        <v>1917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1816</v>
      </c>
      <c r="I56" s="443" t="s">
        <v>1821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444">
        <v>46148</v>
      </c>
      <c r="C57" s="443" t="s">
        <v>1916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1816</v>
      </c>
      <c r="I57" s="443" t="s">
        <v>1821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444">
        <v>46148</v>
      </c>
      <c r="C58" s="443" t="s">
        <v>1915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1816</v>
      </c>
      <c r="I58" s="443" t="s">
        <v>1821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444">
        <v>46149</v>
      </c>
      <c r="C59" s="443" t="s">
        <v>1914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1816</v>
      </c>
      <c r="I59" s="443" t="s">
        <v>1821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444">
        <v>46149</v>
      </c>
      <c r="C60" s="443" t="s">
        <v>1913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1816</v>
      </c>
      <c r="I60" s="443" t="s">
        <v>1821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444">
        <v>46149</v>
      </c>
      <c r="C61" s="443" t="s">
        <v>1912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1816</v>
      </c>
      <c r="I61" s="443" t="s">
        <v>1821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444">
        <v>46149</v>
      </c>
      <c r="C62" s="443" t="s">
        <v>1911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1814</v>
      </c>
      <c r="I62" s="443" t="s">
        <v>1821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444">
        <v>46150</v>
      </c>
      <c r="C63" s="443" t="s">
        <v>1910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1814</v>
      </c>
      <c r="I63" s="443" t="s">
        <v>1821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444">
        <v>46150</v>
      </c>
      <c r="C64" s="443" t="s">
        <v>1909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1816</v>
      </c>
      <c r="I64" s="443" t="s">
        <v>1821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444">
        <v>46150</v>
      </c>
      <c r="C65" s="443" t="s">
        <v>1873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1814</v>
      </c>
      <c r="I65" s="443" t="s">
        <v>1821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444">
        <v>46150</v>
      </c>
      <c r="C66" s="443" t="s">
        <v>1908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1816</v>
      </c>
      <c r="I66" s="443" t="s">
        <v>1821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444">
        <v>46150</v>
      </c>
      <c r="C67" s="443" t="s">
        <v>1907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1816</v>
      </c>
      <c r="I67" s="443" t="s">
        <v>1821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444">
        <v>46150</v>
      </c>
      <c r="C68" s="443" t="s">
        <v>1906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1814</v>
      </c>
      <c r="I68" s="443" t="s">
        <v>1821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444">
        <v>46150</v>
      </c>
      <c r="C69" s="443" t="s">
        <v>1905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1816</v>
      </c>
      <c r="I69" s="443" t="s">
        <v>1821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444">
        <v>46150</v>
      </c>
      <c r="C70" s="443" t="s">
        <v>1904</v>
      </c>
      <c r="D70" s="446"/>
      <c r="E70" s="445"/>
      <c r="F70" s="445"/>
      <c r="H70" s="455"/>
      <c r="I70" s="443" t="s">
        <v>1821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444">
        <v>46150</v>
      </c>
      <c r="C71" s="443" t="s">
        <v>1903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1816</v>
      </c>
      <c r="I71" s="443" t="s">
        <v>1821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444">
        <v>46150</v>
      </c>
      <c r="C72" s="443" t="s">
        <v>1902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1816</v>
      </c>
      <c r="I72" s="443" t="s">
        <v>1821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444">
        <v>46150</v>
      </c>
      <c r="C73" s="443" t="s">
        <v>1901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1816</v>
      </c>
      <c r="I73" s="443" t="s">
        <v>1821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444">
        <v>46150</v>
      </c>
      <c r="C74" s="443" t="s">
        <v>1900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1814</v>
      </c>
      <c r="I74" s="443" t="s">
        <v>1821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444">
        <v>46150</v>
      </c>
      <c r="C75" s="443" t="s">
        <v>1899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1816</v>
      </c>
      <c r="I75" s="443" t="s">
        <v>1821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444">
        <v>46150</v>
      </c>
      <c r="C76" s="443" t="s">
        <v>1898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1816</v>
      </c>
      <c r="I76" s="443" t="s">
        <v>1821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444">
        <v>46150</v>
      </c>
      <c r="C77" s="443" t="s">
        <v>1897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1816</v>
      </c>
      <c r="I77" s="443" t="s">
        <v>1821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444">
        <v>46151</v>
      </c>
      <c r="C78" s="443" t="s">
        <v>1896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1814</v>
      </c>
      <c r="I78" s="443" t="s">
        <v>1821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444">
        <v>46151</v>
      </c>
      <c r="C79" s="443" t="s">
        <v>1895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1816</v>
      </c>
      <c r="I79" s="443" t="s">
        <v>1821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444">
        <v>46151</v>
      </c>
      <c r="C80" s="443" t="s">
        <v>1894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1816</v>
      </c>
      <c r="I80" s="443" t="s">
        <v>1821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444">
        <v>46151</v>
      </c>
      <c r="C81" s="443" t="s">
        <v>1893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1814</v>
      </c>
      <c r="I81" s="443" t="s">
        <v>1821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444">
        <v>46151</v>
      </c>
      <c r="C82" s="443" t="s">
        <v>1892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1816</v>
      </c>
      <c r="I82" s="443" t="s">
        <v>1821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444">
        <v>46152</v>
      </c>
      <c r="C83" s="443" t="s">
        <v>1891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1814</v>
      </c>
      <c r="I83" s="443" t="s">
        <v>1821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444">
        <v>46152</v>
      </c>
      <c r="C84" s="443" t="s">
        <v>1890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1814</v>
      </c>
      <c r="I84" s="443" t="s">
        <v>1821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444">
        <v>46152</v>
      </c>
      <c r="C85" s="443" t="s">
        <v>1889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1816</v>
      </c>
      <c r="I85" s="443" t="s">
        <v>1821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444">
        <v>46152</v>
      </c>
      <c r="C86" s="443" t="s">
        <v>1888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1814</v>
      </c>
      <c r="I86" s="443" t="s">
        <v>1821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444">
        <v>46152</v>
      </c>
      <c r="C87" s="443" t="s">
        <v>1887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1816</v>
      </c>
      <c r="I87" s="443" t="s">
        <v>1821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444">
        <v>46152</v>
      </c>
      <c r="C88" s="443" t="s">
        <v>1886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1814</v>
      </c>
      <c r="I88" s="443" t="s">
        <v>1821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444">
        <v>46152</v>
      </c>
      <c r="C89" s="443" t="s">
        <v>1885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1816</v>
      </c>
      <c r="I89" s="443" t="s">
        <v>1821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444">
        <v>46152</v>
      </c>
      <c r="C90" s="443" t="s">
        <v>1884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1816</v>
      </c>
      <c r="I90" s="443" t="s">
        <v>1821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444">
        <v>46152</v>
      </c>
      <c r="C91" s="443" t="s">
        <v>1883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1816</v>
      </c>
      <c r="I91" s="443" t="s">
        <v>1821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444">
        <v>46152</v>
      </c>
      <c r="C92" s="443" t="s">
        <v>1882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1816</v>
      </c>
      <c r="I92" s="443" t="s">
        <v>1821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444">
        <v>46152</v>
      </c>
      <c r="C93" s="443" t="s">
        <v>1881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1814</v>
      </c>
      <c r="I93" s="443" t="s">
        <v>1821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444">
        <v>46152</v>
      </c>
      <c r="C94" s="443" t="s">
        <v>1880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1814</v>
      </c>
      <c r="I94" s="443" t="s">
        <v>1821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444">
        <v>46152</v>
      </c>
      <c r="C95" s="443" t="s">
        <v>1879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1814</v>
      </c>
      <c r="I95" s="443" t="s">
        <v>1821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444">
        <v>46152</v>
      </c>
      <c r="C96" s="443" t="s">
        <v>1878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1814</v>
      </c>
      <c r="I96" s="443" t="s">
        <v>1821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444">
        <v>46152</v>
      </c>
      <c r="C97" s="443" t="s">
        <v>1877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1816</v>
      </c>
      <c r="I97" s="443" t="s">
        <v>1821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444">
        <v>46152</v>
      </c>
      <c r="C98" s="443" t="s">
        <v>1876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1814</v>
      </c>
      <c r="I98" s="443" t="s">
        <v>1821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444">
        <v>46152</v>
      </c>
      <c r="C99" s="443" t="s">
        <v>1875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1814</v>
      </c>
      <c r="I99" s="443" t="s">
        <v>1821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444">
        <v>46153</v>
      </c>
      <c r="C100" s="443" t="s">
        <v>2325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1816</v>
      </c>
      <c r="I100" s="443" t="s">
        <v>1821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444">
        <v>46153</v>
      </c>
      <c r="C101" s="443" t="s">
        <v>2308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1814</v>
      </c>
      <c r="I101" s="443" t="s">
        <v>1821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444">
        <v>46153</v>
      </c>
      <c r="C102" s="443" t="s">
        <v>2335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1814</v>
      </c>
      <c r="I102" s="443" t="s">
        <v>1821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444">
        <v>46153</v>
      </c>
      <c r="C103" s="443" t="s">
        <v>2334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1814</v>
      </c>
      <c r="I103" s="443" t="s">
        <v>1821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444">
        <v>46153</v>
      </c>
      <c r="C104" s="443" t="s">
        <v>2303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1814</v>
      </c>
      <c r="I104" s="443" t="s">
        <v>1821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444">
        <v>46153</v>
      </c>
      <c r="C105" s="443" t="s">
        <v>2333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1816</v>
      </c>
      <c r="I105" s="443" t="s">
        <v>1821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444">
        <v>46154</v>
      </c>
      <c r="C106" s="443" t="s">
        <v>2370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1816</v>
      </c>
      <c r="I106" s="443" t="s">
        <v>1821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444">
        <v>46154</v>
      </c>
      <c r="C107" s="443" t="s">
        <v>2361</v>
      </c>
      <c r="D107" s="446"/>
      <c r="E107" s="445"/>
      <c r="F107" s="445"/>
      <c r="G107" s="445"/>
      <c r="H107" s="462" t="s">
        <v>1816</v>
      </c>
      <c r="I107" s="443" t="s">
        <v>1821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444">
        <v>46154</v>
      </c>
      <c r="C108" s="443" t="s">
        <v>2369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1816</v>
      </c>
      <c r="I108" s="443" t="s">
        <v>1821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444">
        <v>46154</v>
      </c>
      <c r="C109" s="443" t="s">
        <v>2368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1814</v>
      </c>
      <c r="I109" s="443" t="s">
        <v>1821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444">
        <v>46154</v>
      </c>
      <c r="C110" s="443" t="s">
        <v>2367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1816</v>
      </c>
      <c r="I110" s="443" t="s">
        <v>1821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444">
        <v>46154</v>
      </c>
      <c r="C111" s="443" t="s">
        <v>2366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1814</v>
      </c>
      <c r="I111" s="443" t="s">
        <v>1821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444">
        <v>46154</v>
      </c>
      <c r="C112" s="443" t="s">
        <v>2365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1814</v>
      </c>
      <c r="I112" s="443" t="s">
        <v>1821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444">
        <v>46154</v>
      </c>
      <c r="C113" s="443" t="s">
        <v>2364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1814</v>
      </c>
      <c r="I113" s="443" t="s">
        <v>1821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444">
        <v>46155</v>
      </c>
      <c r="C114" s="443" t="s">
        <v>2433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1816</v>
      </c>
      <c r="I114" s="443" t="s">
        <v>1821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444">
        <v>46155</v>
      </c>
      <c r="C115" s="443" t="s">
        <v>2432</v>
      </c>
      <c r="D115" s="446"/>
      <c r="E115" s="445"/>
      <c r="F115" s="445"/>
      <c r="G115" s="445"/>
      <c r="H115" s="471" t="s">
        <v>1814</v>
      </c>
      <c r="I115" s="443" t="s">
        <v>1821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444">
        <v>46155</v>
      </c>
      <c r="C116" s="443" t="s">
        <v>2406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1814</v>
      </c>
      <c r="I116" s="443" t="s">
        <v>1821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444">
        <v>46155</v>
      </c>
      <c r="C117" s="443" t="s">
        <v>2431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1814</v>
      </c>
      <c r="I117" s="443" t="s">
        <v>1821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444">
        <v>46155</v>
      </c>
      <c r="C118" s="443" t="s">
        <v>2430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1814</v>
      </c>
      <c r="I118" s="443" t="s">
        <v>1821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444">
        <v>46155</v>
      </c>
      <c r="C119" s="443" t="s">
        <v>2429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1816</v>
      </c>
      <c r="I119" s="443" t="s">
        <v>1821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444">
        <v>46155</v>
      </c>
      <c r="C120" s="443" t="s">
        <v>2428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1814</v>
      </c>
      <c r="I120" s="443" t="s">
        <v>1821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444">
        <v>46155</v>
      </c>
      <c r="C121" s="443" t="s">
        <v>2427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1814</v>
      </c>
      <c r="I121" s="443" t="s">
        <v>1821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444">
        <v>46155</v>
      </c>
      <c r="C122" s="443" t="s">
        <v>2426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1816</v>
      </c>
      <c r="I122" s="443" t="s">
        <v>1821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444">
        <v>46156</v>
      </c>
      <c r="C123" s="443" t="s">
        <v>2454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1816</v>
      </c>
      <c r="I123" s="443" t="s">
        <v>1821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444">
        <v>46156</v>
      </c>
      <c r="C124" s="443" t="s">
        <v>2453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1814</v>
      </c>
      <c r="I124" s="443" t="s">
        <v>1821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444">
        <v>46156</v>
      </c>
      <c r="C125" s="443" t="s">
        <v>2452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1814</v>
      </c>
      <c r="I125" s="443" t="s">
        <v>1821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444">
        <v>46157</v>
      </c>
      <c r="C126" s="443" t="s">
        <v>2482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1816</v>
      </c>
      <c r="I126" s="443" t="s">
        <v>1821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444">
        <v>46157</v>
      </c>
      <c r="C127" s="443" t="s">
        <v>2481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1814</v>
      </c>
      <c r="I127" s="443" t="s">
        <v>1821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444">
        <v>46157</v>
      </c>
      <c r="C128" s="443" t="s">
        <v>2480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1814</v>
      </c>
      <c r="I128" s="443" t="s">
        <v>1821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444">
        <v>46157</v>
      </c>
      <c r="C129" s="443" t="s">
        <v>2479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1816</v>
      </c>
      <c r="I129" s="443" t="s">
        <v>1821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444">
        <v>46158</v>
      </c>
      <c r="C130" s="443" t="s">
        <v>2585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1814</v>
      </c>
      <c r="I130" s="443" t="s">
        <v>1821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444">
        <v>46158</v>
      </c>
      <c r="C131" s="443" t="s">
        <v>2584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1814</v>
      </c>
      <c r="I131" s="443" t="s">
        <v>1821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444">
        <v>46158</v>
      </c>
      <c r="C132" s="443" t="s">
        <v>2583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1814</v>
      </c>
      <c r="I132" s="443" t="s">
        <v>1821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444">
        <v>46158</v>
      </c>
      <c r="C133" s="443" t="s">
        <v>2541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1814</v>
      </c>
      <c r="I133" s="443" t="s">
        <v>1821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444">
        <v>46158</v>
      </c>
      <c r="C134" s="443" t="s">
        <v>2582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1814</v>
      </c>
      <c r="I134" s="443" t="s">
        <v>1821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444">
        <v>46158</v>
      </c>
      <c r="C135" s="443" t="s">
        <v>2581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1814</v>
      </c>
      <c r="I135" s="443" t="s">
        <v>1821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444">
        <v>46158</v>
      </c>
      <c r="C136" s="443" t="s">
        <v>2580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1816</v>
      </c>
      <c r="I136" s="443" t="s">
        <v>1821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444">
        <v>46158</v>
      </c>
      <c r="C137" s="443" t="s">
        <v>2579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1816</v>
      </c>
      <c r="I137" s="443" t="s">
        <v>1821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444">
        <v>46158</v>
      </c>
      <c r="C138" s="443" t="s">
        <v>2578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1816</v>
      </c>
      <c r="I138" s="443" t="s">
        <v>1821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444">
        <v>46158</v>
      </c>
      <c r="C139" s="443" t="s">
        <v>2577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1814</v>
      </c>
      <c r="I139" s="443" t="s">
        <v>1821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444">
        <v>46158</v>
      </c>
      <c r="C140" s="443" t="s">
        <v>2576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1814</v>
      </c>
      <c r="I140" s="443" t="s">
        <v>1821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444">
        <v>46158</v>
      </c>
      <c r="C141" s="443" t="s">
        <v>2575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1814</v>
      </c>
      <c r="I141" s="443" t="s">
        <v>1821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444">
        <v>46158</v>
      </c>
      <c r="C142" s="443" t="s">
        <v>2574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1816</v>
      </c>
      <c r="I142" s="443" t="s">
        <v>1821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444">
        <v>46158</v>
      </c>
      <c r="C143" s="443" t="s">
        <v>2573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1816</v>
      </c>
      <c r="I143" s="443" t="s">
        <v>1821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444">
        <v>46158</v>
      </c>
      <c r="C144" s="443" t="s">
        <v>2572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1816</v>
      </c>
      <c r="I144" s="443" t="s">
        <v>1821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444">
        <v>46158</v>
      </c>
      <c r="C145" s="443" t="s">
        <v>2571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1816</v>
      </c>
      <c r="I145" s="443" t="s">
        <v>1821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444">
        <v>46158</v>
      </c>
      <c r="C146" s="443" t="s">
        <v>2570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1814</v>
      </c>
      <c r="I146" s="443" t="s">
        <v>1821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444">
        <v>46158</v>
      </c>
      <c r="C147" s="443" t="s">
        <v>2569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1814</v>
      </c>
      <c r="I147" s="443" t="s">
        <v>1821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444">
        <v>46158</v>
      </c>
      <c r="C148" s="443" t="s">
        <v>2568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1816</v>
      </c>
      <c r="I148" s="443" t="s">
        <v>1821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444">
        <v>46158</v>
      </c>
      <c r="C149" s="443" t="s">
        <v>2567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1814</v>
      </c>
      <c r="I149" s="443" t="s">
        <v>1821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444">
        <v>46158</v>
      </c>
      <c r="C150" s="443" t="s">
        <v>2566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1814</v>
      </c>
      <c r="I150" s="443" t="s">
        <v>1821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444">
        <v>46158</v>
      </c>
      <c r="C151" s="443" t="s">
        <v>2505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1814</v>
      </c>
      <c r="I151" s="443" t="s">
        <v>1821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444">
        <v>46159</v>
      </c>
      <c r="C152" s="443" t="s">
        <v>2656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1816</v>
      </c>
      <c r="I152" s="443" t="s">
        <v>1821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444">
        <v>46159</v>
      </c>
      <c r="C153" s="443" t="s">
        <v>2655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1814</v>
      </c>
      <c r="I153" s="443" t="s">
        <v>1821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444">
        <v>46159</v>
      </c>
      <c r="C154" s="443" t="s">
        <v>2654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1816</v>
      </c>
      <c r="I154" s="443" t="s">
        <v>1821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444">
        <v>46161</v>
      </c>
      <c r="C155" s="443" t="s">
        <v>2730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1814</v>
      </c>
      <c r="I155" s="443" t="s">
        <v>1821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444">
        <v>46161</v>
      </c>
      <c r="C156" s="443" t="s">
        <v>2729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1814</v>
      </c>
      <c r="I156" s="443" t="s">
        <v>1821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444">
        <v>46161</v>
      </c>
      <c r="C157" s="443" t="s">
        <v>2728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1814</v>
      </c>
      <c r="I157" s="443" t="s">
        <v>1821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444">
        <v>46161</v>
      </c>
      <c r="C158" s="443" t="s">
        <v>2727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1816</v>
      </c>
      <c r="I158" s="443" t="s">
        <v>1821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444">
        <v>46161</v>
      </c>
      <c r="C159" s="443" t="s">
        <v>2726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1814</v>
      </c>
      <c r="I159" s="443" t="s">
        <v>1821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444">
        <v>46162</v>
      </c>
      <c r="C160" s="443" t="s">
        <v>2820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1814</v>
      </c>
      <c r="I160" s="443" t="s">
        <v>1821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444">
        <v>46164</v>
      </c>
      <c r="C161" s="443" t="s">
        <v>2888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1816</v>
      </c>
      <c r="I161" s="443" t="s">
        <v>1821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444">
        <v>46164</v>
      </c>
      <c r="C162" s="443" t="s">
        <v>2887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1816</v>
      </c>
      <c r="I162" s="443" t="s">
        <v>1821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444">
        <v>46164</v>
      </c>
      <c r="C163" s="443" t="s">
        <v>2886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1816</v>
      </c>
      <c r="I163" s="443" t="s">
        <v>1821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444">
        <v>46164</v>
      </c>
      <c r="C164" s="443" t="s">
        <v>2885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1816</v>
      </c>
      <c r="I164" s="443" t="s">
        <v>1821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444">
        <v>46164</v>
      </c>
      <c r="C165" s="443" t="s">
        <v>2884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1816</v>
      </c>
      <c r="I165" s="443" t="s">
        <v>1821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444">
        <v>46164</v>
      </c>
      <c r="C166" s="443" t="s">
        <v>2875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1816</v>
      </c>
      <c r="I166" s="443" t="s">
        <v>1821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444">
        <v>46165</v>
      </c>
      <c r="C167" s="443" t="s">
        <v>2963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1814</v>
      </c>
      <c r="I167" s="443" t="s">
        <v>1821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444">
        <v>46165</v>
      </c>
      <c r="C168" s="443" t="s">
        <v>2962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1814</v>
      </c>
      <c r="I168" s="443" t="s">
        <v>1821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444">
        <v>46165</v>
      </c>
      <c r="C169" s="443" t="s">
        <v>2961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1816</v>
      </c>
      <c r="I169" s="443" t="s">
        <v>1821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444">
        <v>46165</v>
      </c>
      <c r="C170" s="443" t="s">
        <v>2960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1814</v>
      </c>
      <c r="I170" s="443" t="s">
        <v>1821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444">
        <v>46165</v>
      </c>
      <c r="C171" s="443" t="s">
        <v>2932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1816</v>
      </c>
      <c r="I171" s="443" t="s">
        <v>1821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444">
        <v>46165</v>
      </c>
      <c r="C172" s="443" t="s">
        <v>2959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1816</v>
      </c>
      <c r="I172" s="443" t="s">
        <v>1821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444">
        <v>46165</v>
      </c>
      <c r="C173" s="443" t="s">
        <v>2958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1816</v>
      </c>
      <c r="I173" s="443" t="s">
        <v>1821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444">
        <v>46165</v>
      </c>
      <c r="C174" s="443" t="s">
        <v>2957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1816</v>
      </c>
      <c r="I174" s="443" t="s">
        <v>1821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444">
        <v>46165</v>
      </c>
      <c r="C175" s="443" t="s">
        <v>2956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1816</v>
      </c>
      <c r="I175" s="443" t="s">
        <v>1821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444">
        <v>46166</v>
      </c>
      <c r="C176" s="443" t="s">
        <v>3023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1816</v>
      </c>
      <c r="I176" s="443" t="s">
        <v>1821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444">
        <v>46166</v>
      </c>
      <c r="C177" s="443" t="s">
        <v>3022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1816</v>
      </c>
      <c r="I177" s="443" t="s">
        <v>1821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444">
        <v>46166</v>
      </c>
      <c r="C178" s="443" t="s">
        <v>2997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1816</v>
      </c>
      <c r="I178" s="443" t="s">
        <v>1821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444">
        <v>46166</v>
      </c>
      <c r="C179" s="443" t="s">
        <v>3021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1816</v>
      </c>
      <c r="I179" s="443" t="s">
        <v>1821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555">
        <v>46167</v>
      </c>
      <c r="C180" s="556" t="s">
        <v>3061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1816</v>
      </c>
      <c r="I180" s="443" t="s">
        <v>1821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555">
        <v>46167</v>
      </c>
      <c r="C181" s="556" t="s">
        <v>3060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1816</v>
      </c>
      <c r="I181" s="443" t="s">
        <v>1821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63">
        <v>46168</v>
      </c>
      <c r="C182" s="564" t="s">
        <v>3069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1816</v>
      </c>
      <c r="I182" s="443" t="s">
        <v>1821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63">
        <v>46168</v>
      </c>
      <c r="C183" s="564" t="s">
        <v>3068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1816</v>
      </c>
      <c r="I183" s="443" t="s">
        <v>1821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71">
        <v>46169</v>
      </c>
      <c r="C184" s="572" t="s">
        <v>3077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1816</v>
      </c>
      <c r="I184" s="443" t="s">
        <v>1821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71">
        <v>46169</v>
      </c>
      <c r="C185" s="572" t="s">
        <v>3076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1816</v>
      </c>
      <c r="I185" s="443" t="s">
        <v>1821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71">
        <v>46169</v>
      </c>
      <c r="C186" s="572" t="s">
        <v>3075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1816</v>
      </c>
      <c r="I186" s="443" t="s">
        <v>1821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71">
        <v>46170</v>
      </c>
      <c r="C187" s="572" t="s">
        <v>3074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1816</v>
      </c>
      <c r="I187" s="443" t="s">
        <v>1821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71">
        <v>46170</v>
      </c>
      <c r="C188" s="572" t="s">
        <v>3073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1814</v>
      </c>
      <c r="I188" s="443" t="s">
        <v>1821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71">
        <v>46170</v>
      </c>
      <c r="C189" s="572" t="s">
        <v>3072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1816</v>
      </c>
      <c r="I189" s="443" t="s">
        <v>1821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81">
        <v>46171</v>
      </c>
      <c r="C190" s="582" t="s">
        <v>3087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1814</v>
      </c>
      <c r="I190" s="443" t="s">
        <v>1821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81">
        <v>46171</v>
      </c>
      <c r="C191" s="582" t="s">
        <v>3082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1816</v>
      </c>
      <c r="I191" s="443" t="s">
        <v>1821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81">
        <v>46171</v>
      </c>
      <c r="C192" s="582" t="s">
        <v>3086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1816</v>
      </c>
      <c r="I192" s="443" t="s">
        <v>1821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81">
        <v>46172</v>
      </c>
      <c r="C193" s="582" t="s">
        <v>3128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1816</v>
      </c>
      <c r="I193" s="443" t="s">
        <v>1821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81">
        <v>46172</v>
      </c>
      <c r="C194" s="582" t="s">
        <v>3127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1816</v>
      </c>
      <c r="I194" s="443" t="s">
        <v>1821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81">
        <v>46172</v>
      </c>
      <c r="C195" s="582" t="s">
        <v>3126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1816</v>
      </c>
      <c r="I195" s="443" t="s">
        <v>1821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81">
        <v>46172</v>
      </c>
      <c r="C196" s="582" t="s">
        <v>3114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1816</v>
      </c>
      <c r="I196" s="443" t="s">
        <v>1821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81">
        <v>46172</v>
      </c>
      <c r="C197" s="582" t="s">
        <v>3125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1814</v>
      </c>
      <c r="I197" s="443" t="s">
        <v>1821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81">
        <v>46172</v>
      </c>
      <c r="C198" s="582" t="s">
        <v>3124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1816</v>
      </c>
      <c r="I198" s="443" t="s">
        <v>1821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81">
        <v>46173</v>
      </c>
      <c r="C199" s="582" t="s">
        <v>3174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1816</v>
      </c>
      <c r="I199" s="443" t="s">
        <v>1821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81">
        <v>46173</v>
      </c>
      <c r="C200" s="582" t="s">
        <v>3173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1816</v>
      </c>
      <c r="I200" s="443" t="s">
        <v>1821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81">
        <v>46173</v>
      </c>
      <c r="C201" s="582" t="s">
        <v>3172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1814</v>
      </c>
      <c r="I201" s="443" t="s">
        <v>1821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81">
        <v>46173</v>
      </c>
      <c r="C202" s="582" t="s">
        <v>3171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1816</v>
      </c>
      <c r="I202" s="443" t="s">
        <v>1821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81">
        <v>46173</v>
      </c>
      <c r="C203" s="582" t="s">
        <v>3170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1816</v>
      </c>
      <c r="I203" s="443" t="s">
        <v>1821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81">
        <v>46173</v>
      </c>
      <c r="C204" s="582" t="s">
        <v>3169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1816</v>
      </c>
      <c r="I204" s="443" t="s">
        <v>1821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81">
        <v>46173</v>
      </c>
      <c r="C205" s="582" t="s">
        <v>3168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1814</v>
      </c>
      <c r="I205" s="443" t="s">
        <v>1821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81">
        <v>46173</v>
      </c>
      <c r="C206" s="582" t="s">
        <v>3167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1816</v>
      </c>
      <c r="I206" s="443" t="s">
        <v>1821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90">
        <v>46174</v>
      </c>
      <c r="C207" s="591" t="s">
        <v>3184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1816</v>
      </c>
      <c r="I207" s="443" t="s">
        <v>1821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90">
        <v>46174</v>
      </c>
      <c r="C208" s="591" t="s">
        <v>3183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1814</v>
      </c>
      <c r="I208" s="443" t="s">
        <v>1821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90">
        <v>46174</v>
      </c>
      <c r="C209" s="591" t="s">
        <v>3182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1814</v>
      </c>
      <c r="I209" s="443" t="s">
        <v>1821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603">
        <v>46176</v>
      </c>
      <c r="C210" s="604" t="s">
        <v>3222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1814</v>
      </c>
      <c r="I210" s="443" t="s">
        <v>1821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603">
        <v>46178</v>
      </c>
      <c r="C211" s="604" t="s">
        <v>3221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1816</v>
      </c>
      <c r="I211" s="443" t="s">
        <v>1821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603">
        <v>46178</v>
      </c>
      <c r="C212" s="604" t="s">
        <v>3220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1816</v>
      </c>
      <c r="I212" s="443" t="s">
        <v>1821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603">
        <v>46179</v>
      </c>
      <c r="C213" s="604" t="s">
        <v>3219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1814</v>
      </c>
      <c r="I213" s="443" t="s">
        <v>1821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603">
        <v>46179</v>
      </c>
      <c r="C214" s="604" t="s">
        <v>3218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1814</v>
      </c>
      <c r="I214" s="443" t="s">
        <v>1821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603">
        <v>46179</v>
      </c>
      <c r="C215" s="604" t="s">
        <v>3217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1816</v>
      </c>
      <c r="I215" s="443" t="s">
        <v>1821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603">
        <v>46180</v>
      </c>
      <c r="C216" s="604" t="s">
        <v>3216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1816</v>
      </c>
      <c r="I216" s="443" t="s">
        <v>1821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603">
        <v>46180</v>
      </c>
      <c r="C217" s="604" t="s">
        <v>3215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1816</v>
      </c>
      <c r="I217" s="443" t="s">
        <v>1821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603">
        <v>46180</v>
      </c>
      <c r="C218" s="604" t="s">
        <v>3214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1816</v>
      </c>
      <c r="I218" s="443" t="s">
        <v>1821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603">
        <v>46180</v>
      </c>
      <c r="C219" s="604" t="s">
        <v>3213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1816</v>
      </c>
      <c r="I219" s="443" t="s">
        <v>1821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603">
        <v>46180</v>
      </c>
      <c r="C220" s="604" t="s">
        <v>3212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1816</v>
      </c>
      <c r="I220" s="443" t="s">
        <v>1821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603">
        <v>46182</v>
      </c>
      <c r="C221" s="604" t="s">
        <v>3255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1816</v>
      </c>
      <c r="I221" s="443" t="s">
        <v>1821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624">
        <v>46183</v>
      </c>
      <c r="C222" s="625" t="s">
        <v>3270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1814</v>
      </c>
      <c r="I222" s="443" t="s">
        <v>1821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624">
        <v>46183</v>
      </c>
      <c r="C223" s="625" t="s">
        <v>3267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1816</v>
      </c>
      <c r="I223" s="443" t="s">
        <v>1821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624">
        <v>46183</v>
      </c>
      <c r="C224" s="625" t="s">
        <v>3264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1816</v>
      </c>
      <c r="I224" s="443" t="s">
        <v>1821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624">
        <v>46183</v>
      </c>
      <c r="C225" s="625" t="s">
        <v>3269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1816</v>
      </c>
      <c r="I225" s="443" t="s">
        <v>1821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637">
        <v>46187</v>
      </c>
      <c r="C226" s="638" t="s">
        <v>3337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1816</v>
      </c>
      <c r="I226" s="443" t="s">
        <v>1821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637">
        <v>46187</v>
      </c>
      <c r="C227" s="638" t="s">
        <v>3336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1816</v>
      </c>
      <c r="I227" s="443" t="s">
        <v>1821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637">
        <v>46188</v>
      </c>
      <c r="C228" s="638" t="s">
        <v>3349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1816</v>
      </c>
      <c r="I228" s="443" t="s">
        <v>1821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663">
        <v>46191</v>
      </c>
      <c r="C229" s="664" t="s">
        <v>3409</v>
      </c>
      <c r="D229" s="665">
        <v>1.28</v>
      </c>
      <c r="E229" s="666">
        <v>23.97</v>
      </c>
      <c r="F229" s="666">
        <v>4.9000000000000004</v>
      </c>
      <c r="G229" s="666">
        <v>6.22</v>
      </c>
      <c r="H229" s="604" t="s">
        <v>1816</v>
      </c>
      <c r="I229" s="443" t="s">
        <v>1821</v>
      </c>
      <c r="J229" s="666">
        <f t="shared" ref="J229:J231" si="104">IF(H229="Ganhou",(F229-1)*G229,-G229)</f>
        <v>-6.22</v>
      </c>
      <c r="K229" s="666">
        <f t="shared" ref="K229:K231" si="105">IF(H229="Perdeu",(D229-1)*E229,-E229)</f>
        <v>6.7116000000000007</v>
      </c>
      <c r="L229" s="666">
        <f t="shared" ref="L229:L231" si="106">IF(H229="Perdeu",-K229*0.028,0)</f>
        <v>-0.18792480000000003</v>
      </c>
      <c r="M229" s="666">
        <f t="shared" ref="M229:M231" si="107">SUM(K229:L229)</f>
        <v>6.5236752000000005</v>
      </c>
      <c r="N229" s="666">
        <f t="shared" ref="N229:N231" si="108">SUM(J229:L229)</f>
        <v>0.30367520000000092</v>
      </c>
      <c r="O229" s="667">
        <f t="shared" ref="O229:O231" si="109">IFERROR(N229/SUM(G229,E229),"")</f>
        <v>1.0058800927459454E-2</v>
      </c>
      <c r="P229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663">
        <v>46191</v>
      </c>
      <c r="C230" s="664" t="s">
        <v>3408</v>
      </c>
      <c r="D230" s="665">
        <v>1.8196699999999999</v>
      </c>
      <c r="E230" s="666">
        <v>23.25</v>
      </c>
      <c r="F230" s="666">
        <v>2.31</v>
      </c>
      <c r="G230" s="666">
        <v>18.11</v>
      </c>
      <c r="H230" s="604" t="s">
        <v>1816</v>
      </c>
      <c r="I230" s="443" t="s">
        <v>1821</v>
      </c>
      <c r="J230" s="666">
        <f t="shared" si="104"/>
        <v>-18.11</v>
      </c>
      <c r="K230" s="666">
        <f t="shared" si="105"/>
        <v>19.057327499999996</v>
      </c>
      <c r="L230" s="666">
        <f t="shared" si="106"/>
        <v>-0.53360516999999985</v>
      </c>
      <c r="M230" s="666">
        <f t="shared" si="107"/>
        <v>18.523722329999995</v>
      </c>
      <c r="N230" s="666">
        <f t="shared" si="108"/>
        <v>0.4137223299999967</v>
      </c>
      <c r="O230" s="667">
        <f t="shared" si="109"/>
        <v>1.0002957688587928E-2</v>
      </c>
      <c r="P230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663">
        <v>46191</v>
      </c>
      <c r="C231" s="664" t="s">
        <v>3399</v>
      </c>
      <c r="D231" s="665">
        <v>1.2384088524797401</v>
      </c>
      <c r="E231" s="666">
        <v>23.97</v>
      </c>
      <c r="F231" s="666">
        <v>5.61</v>
      </c>
      <c r="G231" s="666">
        <v>5.26</v>
      </c>
      <c r="H231" s="604" t="s">
        <v>1816</v>
      </c>
      <c r="I231" s="443" t="s">
        <v>1821</v>
      </c>
      <c r="J231" s="666">
        <f t="shared" si="104"/>
        <v>-5.26</v>
      </c>
      <c r="K231" s="666">
        <f t="shared" si="105"/>
        <v>5.7146601939393697</v>
      </c>
      <c r="L231" s="666">
        <f t="shared" si="106"/>
        <v>-0.16001048543030236</v>
      </c>
      <c r="M231" s="666">
        <f t="shared" si="107"/>
        <v>5.5546497085090678</v>
      </c>
      <c r="N231" s="666">
        <f t="shared" si="108"/>
        <v>0.29464970850906758</v>
      </c>
      <c r="O231" s="667">
        <f t="shared" si="109"/>
        <v>1.0080386880228108E-2</v>
      </c>
      <c r="P231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941">
        <v>46199</v>
      </c>
      <c r="C232" s="942" t="s">
        <v>3603</v>
      </c>
      <c r="D232" s="943">
        <v>1.5</v>
      </c>
      <c r="E232" s="944">
        <v>13.33</v>
      </c>
      <c r="F232" s="944">
        <v>3.15</v>
      </c>
      <c r="G232" s="944">
        <v>6.28</v>
      </c>
      <c r="H232" s="604" t="s">
        <v>1816</v>
      </c>
      <c r="I232" s="443" t="s">
        <v>1821</v>
      </c>
      <c r="J232" s="944">
        <f t="shared" ref="J232:J238" si="110">IF(H232="Ganhou",(F232-1)*G232,-G232)</f>
        <v>-6.28</v>
      </c>
      <c r="K232" s="944">
        <f t="shared" ref="K232:K238" si="111">IF(H232="Perdeu",(D232-1)*E232,-E232)</f>
        <v>6.665</v>
      </c>
      <c r="L232" s="944">
        <f t="shared" ref="L232:L238" si="112">IF(H232="Perdeu",-K232*0.028,0)</f>
        <v>-0.18662000000000001</v>
      </c>
      <c r="M232" s="944">
        <f t="shared" ref="M232:M238" si="113">SUM(K232:L232)</f>
        <v>6.4783799999999996</v>
      </c>
      <c r="N232" s="944">
        <f t="shared" ref="N232:N238" si="114">SUM(J232:L232)</f>
        <v>0.19837999999999978</v>
      </c>
      <c r="O232" s="945">
        <f t="shared" ref="O232:O238" si="115">IFERROR(N232/SUM(G232,E232),"")</f>
        <v>1.0116267210606822E-2</v>
      </c>
      <c r="P232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1012">
        <v>46212</v>
      </c>
      <c r="C233" s="1011" t="s">
        <v>3739</v>
      </c>
      <c r="D233" s="1013">
        <v>1.43</v>
      </c>
      <c r="E233" s="1014">
        <v>17.29</v>
      </c>
      <c r="F233" s="1014">
        <v>3.51</v>
      </c>
      <c r="G233" s="1014">
        <v>6.98</v>
      </c>
      <c r="H233" s="604" t="s">
        <v>1816</v>
      </c>
      <c r="I233" s="443" t="s">
        <v>1821</v>
      </c>
      <c r="J233" s="1014">
        <f t="shared" si="110"/>
        <v>-6.98</v>
      </c>
      <c r="K233" s="1014">
        <f t="shared" si="111"/>
        <v>7.4346999999999985</v>
      </c>
      <c r="L233" s="1014">
        <f t="shared" si="112"/>
        <v>-0.20817159999999996</v>
      </c>
      <c r="M233" s="1014">
        <f t="shared" si="113"/>
        <v>7.2265283999999985</v>
      </c>
      <c r="N233" s="1014">
        <f t="shared" si="114"/>
        <v>0.24652839999999815</v>
      </c>
      <c r="O233" s="1015">
        <f t="shared" si="115"/>
        <v>1.0157742068397122E-2</v>
      </c>
      <c r="P233" s="101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1030">
        <v>46214</v>
      </c>
      <c r="C234" s="1028" t="s">
        <v>3767</v>
      </c>
      <c r="D234" s="1031">
        <v>1.24</v>
      </c>
      <c r="E234" s="1029">
        <v>18.82</v>
      </c>
      <c r="F234" s="1029">
        <v>5.58</v>
      </c>
      <c r="G234" s="1029">
        <v>4.16</v>
      </c>
      <c r="H234" s="604" t="s">
        <v>1816</v>
      </c>
      <c r="I234" s="443" t="s">
        <v>1821</v>
      </c>
      <c r="J234" s="1029">
        <f t="shared" si="110"/>
        <v>-4.16</v>
      </c>
      <c r="K234" s="1029">
        <f t="shared" si="111"/>
        <v>4.5167999999999999</v>
      </c>
      <c r="L234" s="1029">
        <f t="shared" si="112"/>
        <v>-0.12647040000000001</v>
      </c>
      <c r="M234" s="1029">
        <f t="shared" si="113"/>
        <v>4.3903296000000003</v>
      </c>
      <c r="N234" s="1029">
        <f t="shared" si="114"/>
        <v>0.23032959999999977</v>
      </c>
      <c r="O234" s="1032">
        <f t="shared" si="115"/>
        <v>1.0023046127067005E-2</v>
      </c>
      <c r="P234" s="103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1039">
        <v>46215</v>
      </c>
      <c r="C235" s="1040" t="s">
        <v>3775</v>
      </c>
      <c r="D235" s="1041">
        <v>1.2439</v>
      </c>
      <c r="E235" s="1042">
        <v>19.36</v>
      </c>
      <c r="F235" s="1042">
        <v>5.5</v>
      </c>
      <c r="G235" s="1042">
        <v>4.3499999999999996</v>
      </c>
      <c r="H235" s="604" t="s">
        <v>1816</v>
      </c>
      <c r="I235" s="443" t="s">
        <v>1821</v>
      </c>
      <c r="J235" s="1042">
        <f t="shared" si="110"/>
        <v>-4.3499999999999996</v>
      </c>
      <c r="K235" s="1042">
        <f t="shared" si="111"/>
        <v>4.7219040000000003</v>
      </c>
      <c r="L235" s="1042">
        <f t="shared" si="112"/>
        <v>-0.132213312</v>
      </c>
      <c r="M235" s="1042">
        <f t="shared" si="113"/>
        <v>4.5896906880000001</v>
      </c>
      <c r="N235" s="1042">
        <f t="shared" si="114"/>
        <v>0.23969068800000068</v>
      </c>
      <c r="O235" s="1043">
        <f t="shared" si="115"/>
        <v>1.0109265626318038E-2</v>
      </c>
      <c r="P235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1039">
        <v>46215</v>
      </c>
      <c r="C236" s="1040" t="s">
        <v>3773</v>
      </c>
      <c r="D236" s="1041">
        <v>1.1851799999999999</v>
      </c>
      <c r="E236" s="1042">
        <v>19.43</v>
      </c>
      <c r="F236" s="1042">
        <v>7.01</v>
      </c>
      <c r="G236" s="1042">
        <v>3.27</v>
      </c>
      <c r="H236" s="1040" t="s">
        <v>1814</v>
      </c>
      <c r="I236" s="443" t="s">
        <v>1821</v>
      </c>
      <c r="J236" s="1042">
        <f t="shared" si="110"/>
        <v>19.652699999999999</v>
      </c>
      <c r="K236" s="1042">
        <f t="shared" si="111"/>
        <v>-19.43</v>
      </c>
      <c r="L236" s="1042">
        <f t="shared" si="112"/>
        <v>0</v>
      </c>
      <c r="M236" s="1042">
        <f t="shared" si="113"/>
        <v>-19.43</v>
      </c>
      <c r="N236" s="1042">
        <f t="shared" si="114"/>
        <v>0.22269999999999968</v>
      </c>
      <c r="O236" s="1043">
        <f t="shared" si="115"/>
        <v>9.8105726872246557E-3</v>
      </c>
      <c r="P236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1039">
        <v>46215</v>
      </c>
      <c r="C237" s="1040" t="s">
        <v>3774</v>
      </c>
      <c r="D237" s="1041">
        <v>1.1922999999999999</v>
      </c>
      <c r="E237" s="1042">
        <v>14.34</v>
      </c>
      <c r="F237" s="1042">
        <v>6.78</v>
      </c>
      <c r="G237" s="1042">
        <v>2.5099999999999998</v>
      </c>
      <c r="H237" s="604" t="s">
        <v>1816</v>
      </c>
      <c r="I237" s="443" t="s">
        <v>1821</v>
      </c>
      <c r="J237" s="1042">
        <f t="shared" si="110"/>
        <v>-2.5099999999999998</v>
      </c>
      <c r="K237" s="1042">
        <f t="shared" si="111"/>
        <v>2.7575819999999989</v>
      </c>
      <c r="L237" s="1042">
        <f t="shared" si="112"/>
        <v>-7.7212295999999972E-2</v>
      </c>
      <c r="M237" s="1042">
        <f t="shared" si="113"/>
        <v>2.680369703999999</v>
      </c>
      <c r="N237" s="1042">
        <f t="shared" si="114"/>
        <v>0.17036970399999912</v>
      </c>
      <c r="O237" s="1043">
        <f t="shared" si="115"/>
        <v>1.0110961661721015E-2</v>
      </c>
      <c r="P237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1039">
        <v>46215</v>
      </c>
      <c r="C238" s="1040" t="s">
        <v>3770</v>
      </c>
      <c r="D238" s="1041">
        <v>1.20408</v>
      </c>
      <c r="E238" s="1042">
        <v>18.96</v>
      </c>
      <c r="F238" s="1042">
        <v>6.43</v>
      </c>
      <c r="G238" s="1042">
        <v>3.54</v>
      </c>
      <c r="H238" s="604" t="s">
        <v>1816</v>
      </c>
      <c r="I238" s="443" t="s">
        <v>1821</v>
      </c>
      <c r="J238" s="1042">
        <f t="shared" si="110"/>
        <v>-3.54</v>
      </c>
      <c r="K238" s="1042">
        <f t="shared" si="111"/>
        <v>3.8693568000000007</v>
      </c>
      <c r="L238" s="1042">
        <f t="shared" si="112"/>
        <v>-0.10834199040000002</v>
      </c>
      <c r="M238" s="1042">
        <f t="shared" si="113"/>
        <v>3.7610148096000007</v>
      </c>
      <c r="N238" s="1042">
        <f t="shared" si="114"/>
        <v>0.22101480960000064</v>
      </c>
      <c r="O238" s="1043">
        <f t="shared" si="115"/>
        <v>9.8228804266666959E-3</v>
      </c>
      <c r="P238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1056">
        <v>46217</v>
      </c>
      <c r="C239" s="1057" t="s">
        <v>3814</v>
      </c>
      <c r="D239" s="1058">
        <v>1.5319100000000001</v>
      </c>
      <c r="E239" s="1059">
        <v>14.53</v>
      </c>
      <c r="F239" s="1059">
        <v>3.02</v>
      </c>
      <c r="G239" s="1059">
        <v>7.29</v>
      </c>
      <c r="H239" s="604" t="s">
        <v>1816</v>
      </c>
      <c r="I239" s="443" t="s">
        <v>1821</v>
      </c>
      <c r="J239" s="1059">
        <f t="shared" ref="J239:J245" si="116">IF(H239="Ganhou",(F239-1)*G239,-G239)</f>
        <v>-7.29</v>
      </c>
      <c r="K239" s="1059">
        <f t="shared" ref="K239:K245" si="117">IF(H239="Perdeu",(D239-1)*E239,-E239)</f>
        <v>7.7286523000000011</v>
      </c>
      <c r="L239" s="1059">
        <f t="shared" ref="L239:L245" si="118">IF(H239="Perdeu",-K239*0.028,0)</f>
        <v>-0.21640226440000004</v>
      </c>
      <c r="M239" s="1059">
        <f t="shared" ref="M239:M245" si="119">SUM(K239:L239)</f>
        <v>7.512250035600001</v>
      </c>
      <c r="N239" s="1059">
        <f t="shared" ref="N239:N245" si="120">SUM(J239:L239)</f>
        <v>0.22225003560000106</v>
      </c>
      <c r="O239" s="1060">
        <f t="shared" ref="O239:O245" si="121">IFERROR(N239/SUM(G239,E239),"")</f>
        <v>1.018561116406971E-2</v>
      </c>
      <c r="P239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1056">
        <v>46217</v>
      </c>
      <c r="C240" s="1057" t="s">
        <v>3815</v>
      </c>
      <c r="D240" s="1058">
        <v>1.2083299999999999</v>
      </c>
      <c r="E240" s="1059">
        <v>14.31</v>
      </c>
      <c r="F240" s="1059">
        <v>6.31</v>
      </c>
      <c r="G240" s="1059">
        <v>2.73</v>
      </c>
      <c r="H240" s="604" t="s">
        <v>1816</v>
      </c>
      <c r="I240" s="443" t="s">
        <v>1821</v>
      </c>
      <c r="J240" s="1059">
        <f t="shared" si="116"/>
        <v>-2.73</v>
      </c>
      <c r="K240" s="1059">
        <f t="shared" si="117"/>
        <v>2.9812022999999988</v>
      </c>
      <c r="L240" s="1059">
        <f t="shared" si="118"/>
        <v>-8.3473664399999967E-2</v>
      </c>
      <c r="M240" s="1059">
        <f t="shared" si="119"/>
        <v>2.8977286355999987</v>
      </c>
      <c r="N240" s="1059">
        <f t="shared" si="120"/>
        <v>0.16772863559999879</v>
      </c>
      <c r="O240" s="1060">
        <f t="shared" si="121"/>
        <v>9.8432297887323245E-3</v>
      </c>
      <c r="P240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1056">
        <v>46217</v>
      </c>
      <c r="C241" s="1057" t="s">
        <v>3813</v>
      </c>
      <c r="D241" s="1058">
        <v>1.16666</v>
      </c>
      <c r="E241" s="1059">
        <v>14.1</v>
      </c>
      <c r="F241" s="1059">
        <v>7.72</v>
      </c>
      <c r="G241" s="1059">
        <v>2.12</v>
      </c>
      <c r="H241" s="604" t="s">
        <v>1816</v>
      </c>
      <c r="I241" s="443" t="s">
        <v>1821</v>
      </c>
      <c r="J241" s="1059">
        <f t="shared" si="116"/>
        <v>-2.12</v>
      </c>
      <c r="K241" s="1059">
        <f t="shared" si="117"/>
        <v>2.3499060000000003</v>
      </c>
      <c r="L241" s="1059">
        <f t="shared" si="118"/>
        <v>-6.5797368000000009E-2</v>
      </c>
      <c r="M241" s="1059">
        <f t="shared" si="119"/>
        <v>2.2841086320000001</v>
      </c>
      <c r="N241" s="1059">
        <f t="shared" si="120"/>
        <v>0.16410863200000014</v>
      </c>
      <c r="O241" s="1060">
        <f t="shared" si="121"/>
        <v>1.0117671516646125E-2</v>
      </c>
      <c r="P241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1056">
        <v>46217</v>
      </c>
      <c r="C242" s="1057" t="s">
        <v>3810</v>
      </c>
      <c r="D242" s="1058">
        <v>1.1922999999999999</v>
      </c>
      <c r="E242" s="1059">
        <v>14.35</v>
      </c>
      <c r="F242" s="1059">
        <v>6.78</v>
      </c>
      <c r="G242" s="1059">
        <v>2.5099999999999998</v>
      </c>
      <c r="H242" s="604" t="s">
        <v>1816</v>
      </c>
      <c r="I242" s="443" t="s">
        <v>1821</v>
      </c>
      <c r="J242" s="1059">
        <f t="shared" si="116"/>
        <v>-2.5099999999999998</v>
      </c>
      <c r="K242" s="1059">
        <f t="shared" si="117"/>
        <v>2.7595049999999985</v>
      </c>
      <c r="L242" s="1059">
        <f t="shared" si="118"/>
        <v>-7.7266139999999955E-2</v>
      </c>
      <c r="M242" s="1059">
        <f t="shared" si="119"/>
        <v>2.6822388599999987</v>
      </c>
      <c r="N242" s="1059">
        <f t="shared" si="120"/>
        <v>0.1722388599999988</v>
      </c>
      <c r="O242" s="1060">
        <f t="shared" si="121"/>
        <v>1.0215827995254971E-2</v>
      </c>
      <c r="P242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1056">
        <v>46217</v>
      </c>
      <c r="C243" s="1057" t="s">
        <v>3812</v>
      </c>
      <c r="D243" s="1058">
        <v>1.4444399999999999</v>
      </c>
      <c r="E243" s="1059">
        <v>14.13</v>
      </c>
      <c r="F243" s="1059">
        <v>3.43</v>
      </c>
      <c r="G243" s="1059">
        <v>5.9</v>
      </c>
      <c r="H243" s="604" t="s">
        <v>1816</v>
      </c>
      <c r="I243" s="443" t="s">
        <v>1821</v>
      </c>
      <c r="J243" s="1059">
        <f t="shared" si="116"/>
        <v>-5.9</v>
      </c>
      <c r="K243" s="1059">
        <f t="shared" si="117"/>
        <v>6.2799372</v>
      </c>
      <c r="L243" s="1059">
        <f t="shared" si="118"/>
        <v>-0.1758382416</v>
      </c>
      <c r="M243" s="1059">
        <f t="shared" si="119"/>
        <v>6.1040989583999998</v>
      </c>
      <c r="N243" s="1059">
        <f t="shared" si="120"/>
        <v>0.20409895839999964</v>
      </c>
      <c r="O243" s="1060">
        <f t="shared" si="121"/>
        <v>1.0189663424862688E-2</v>
      </c>
      <c r="P243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1056">
        <v>46217</v>
      </c>
      <c r="C244" s="1057" t="s">
        <v>3809</v>
      </c>
      <c r="D244" s="1058">
        <v>1.4347799999999999</v>
      </c>
      <c r="E244" s="1059">
        <v>13.92</v>
      </c>
      <c r="F244" s="1059">
        <v>3.48</v>
      </c>
      <c r="G244" s="1059">
        <v>5.69</v>
      </c>
      <c r="H244" s="604" t="s">
        <v>1816</v>
      </c>
      <c r="I244" s="443" t="s">
        <v>1821</v>
      </c>
      <c r="J244" s="1059">
        <f t="shared" si="116"/>
        <v>-5.69</v>
      </c>
      <c r="K244" s="1059">
        <f t="shared" si="117"/>
        <v>6.0521375999999991</v>
      </c>
      <c r="L244" s="1059">
        <f t="shared" si="118"/>
        <v>-0.16945985279999998</v>
      </c>
      <c r="M244" s="1059">
        <f t="shared" si="119"/>
        <v>5.8826777471999989</v>
      </c>
      <c r="N244" s="1059">
        <f t="shared" si="120"/>
        <v>0.19267774719999875</v>
      </c>
      <c r="O244" s="1060">
        <f t="shared" si="121"/>
        <v>9.8254843039265044E-3</v>
      </c>
      <c r="P244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1056">
        <v>46217</v>
      </c>
      <c r="C245" s="1057" t="s">
        <v>3808</v>
      </c>
      <c r="D245" s="1058">
        <v>1.46</v>
      </c>
      <c r="E245" s="1059">
        <v>13.71</v>
      </c>
      <c r="F245" s="1059">
        <v>3.34</v>
      </c>
      <c r="G245" s="1059">
        <v>5.93</v>
      </c>
      <c r="H245" s="1040" t="s">
        <v>1814</v>
      </c>
      <c r="I245" s="443" t="s">
        <v>1821</v>
      </c>
      <c r="J245" s="1059">
        <f t="shared" si="116"/>
        <v>13.876199999999999</v>
      </c>
      <c r="K245" s="1059">
        <f t="shared" si="117"/>
        <v>-13.71</v>
      </c>
      <c r="L245" s="1059">
        <f t="shared" si="118"/>
        <v>0</v>
      </c>
      <c r="M245" s="1059">
        <f t="shared" si="119"/>
        <v>-13.71</v>
      </c>
      <c r="N245" s="1059">
        <f t="shared" si="120"/>
        <v>0.16619999999999813</v>
      </c>
      <c r="O245" s="1060">
        <f t="shared" si="121"/>
        <v>8.4623217922605975E-3</v>
      </c>
      <c r="P245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1061">
        <v>46218</v>
      </c>
      <c r="C246" s="1065" t="s">
        <v>3822</v>
      </c>
      <c r="D246" s="1062">
        <v>1.22</v>
      </c>
      <c r="E246" s="1063">
        <v>18.760000000000002</v>
      </c>
      <c r="F246" s="1063">
        <v>6.01</v>
      </c>
      <c r="G246" s="1063">
        <v>3.79</v>
      </c>
      <c r="H246" s="604" t="s">
        <v>1816</v>
      </c>
      <c r="I246" s="443" t="s">
        <v>1821</v>
      </c>
      <c r="J246" s="1063">
        <f>IF(H246="Ganhou",(F246-1)*G246,-G246)</f>
        <v>-3.79</v>
      </c>
      <c r="K246" s="1063">
        <f>IF(H246="Perdeu",(D246-1)*E246,-E246)</f>
        <v>4.1272000000000002</v>
      </c>
      <c r="L246" s="1063">
        <f>IF(H246="Perdeu",-K246*0.028,0)</f>
        <v>-0.11556160000000001</v>
      </c>
      <c r="M246" s="1063">
        <f>SUM(K246:L246)</f>
        <v>4.0116383999999998</v>
      </c>
      <c r="N246" s="1063">
        <f>SUM(J246:L246)</f>
        <v>0.22163840000000015</v>
      </c>
      <c r="O246" s="1064">
        <f>IFERROR(N246/SUM(G246,E246),"")</f>
        <v>9.8287538802660813E-3</v>
      </c>
      <c r="P246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1061">
        <v>46218</v>
      </c>
      <c r="C247" s="1065" t="s">
        <v>3821</v>
      </c>
      <c r="D247" s="1062">
        <v>1.24</v>
      </c>
      <c r="E247" s="1063">
        <v>18.82</v>
      </c>
      <c r="F247" s="1063">
        <v>5.58</v>
      </c>
      <c r="G247" s="1063">
        <v>4.16</v>
      </c>
      <c r="H247" s="604" t="s">
        <v>1816</v>
      </c>
      <c r="I247" s="443" t="s">
        <v>1821</v>
      </c>
      <c r="J247" s="1063">
        <f>IF(H247="Ganhou",(F247-1)*G247,-G247)</f>
        <v>-4.16</v>
      </c>
      <c r="K247" s="1063">
        <f>IF(H247="Perdeu",(D247-1)*E247,-E247)</f>
        <v>4.5167999999999999</v>
      </c>
      <c r="L247" s="1063">
        <f>IF(H247="Perdeu",-K247*0.028,0)</f>
        <v>-0.12647040000000001</v>
      </c>
      <c r="M247" s="1063">
        <f>SUM(K247:L247)</f>
        <v>4.3903296000000003</v>
      </c>
      <c r="N247" s="1063">
        <f>SUM(J247:L247)</f>
        <v>0.23032959999999977</v>
      </c>
      <c r="O247" s="1064">
        <f>IFERROR(N247/SUM(G247,E247),"")</f>
        <v>1.0023046127067005E-2</v>
      </c>
      <c r="P247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1061">
        <v>46218</v>
      </c>
      <c r="C248" s="1065" t="s">
        <v>3820</v>
      </c>
      <c r="D248" s="1062">
        <v>1.6024</v>
      </c>
      <c r="E248" s="1063">
        <v>18.54</v>
      </c>
      <c r="F248" s="1063">
        <v>2.78</v>
      </c>
      <c r="G248" s="1063">
        <v>10.56</v>
      </c>
      <c r="H248" s="604" t="s">
        <v>1816</v>
      </c>
      <c r="I248" s="443" t="s">
        <v>1821</v>
      </c>
      <c r="J248" s="1063">
        <f>IF(H248="Ganhou",(F248-1)*G248,-G248)</f>
        <v>-10.56</v>
      </c>
      <c r="K248" s="1063">
        <f>IF(H248="Perdeu",(D248-1)*E248,-E248)</f>
        <v>11.168496000000001</v>
      </c>
      <c r="L248" s="1063">
        <f>IF(H248="Perdeu",-K248*0.028,0)</f>
        <v>-0.31271788800000005</v>
      </c>
      <c r="M248" s="1063">
        <f>SUM(K248:L248)</f>
        <v>10.855778112000001</v>
      </c>
      <c r="N248" s="1063">
        <f>SUM(J248:L248)</f>
        <v>0.29577811200000054</v>
      </c>
      <c r="O248" s="1064">
        <f>IFERROR(N248/SUM(G248,E248),"")</f>
        <v>1.0164196288659812E-2</v>
      </c>
      <c r="P248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384" width="8.796875" style="672"/>
  </cols>
  <sheetData>
    <row r="2" spans="2:15">
      <c r="B2" s="672" t="s">
        <v>3418</v>
      </c>
      <c r="C2" s="673">
        <v>5000</v>
      </c>
      <c r="E2" s="694" t="s">
        <v>3457</v>
      </c>
      <c r="F2" s="675">
        <f>SUM(C21,F21,I21,L21,O21,C39,F39,I39,L39,O39)</f>
        <v>3134.9206349206352</v>
      </c>
    </row>
    <row r="3" spans="2:15">
      <c r="B3" s="672" t="s">
        <v>3433</v>
      </c>
      <c r="C3" s="674">
        <v>0.2</v>
      </c>
      <c r="E3" s="694" t="s">
        <v>3458</v>
      </c>
      <c r="F3" s="701">
        <f>F2/C2</f>
        <v>0.62698412698412709</v>
      </c>
    </row>
    <row r="4" spans="2:15">
      <c r="B4" s="703" t="s">
        <v>3467</v>
      </c>
      <c r="C4" s="681">
        <f>C3*C2</f>
        <v>1000</v>
      </c>
      <c r="E4" s="694"/>
      <c r="F4" s="701"/>
    </row>
    <row r="5" spans="2:15" ht="13.8" thickBot="1">
      <c r="B5" s="703"/>
      <c r="C5" s="681"/>
      <c r="E5" s="694"/>
      <c r="F5" s="701"/>
      <c r="K5" s="672" t="s">
        <v>3449</v>
      </c>
    </row>
    <row r="6" spans="2:15" ht="13.8" thickBot="1">
      <c r="B6" s="1267" t="s">
        <v>3653</v>
      </c>
      <c r="C6" s="1268"/>
      <c r="E6" s="1267" t="s">
        <v>3543</v>
      </c>
      <c r="F6" s="1268"/>
      <c r="H6" s="1267" t="s">
        <v>3448</v>
      </c>
      <c r="I6" s="1268"/>
      <c r="K6" s="1267" t="s">
        <v>3571</v>
      </c>
      <c r="L6" s="1268"/>
      <c r="N6" s="1267" t="s">
        <v>3572</v>
      </c>
      <c r="O6" s="1268"/>
    </row>
    <row r="7" spans="2:15">
      <c r="B7" s="672" t="s">
        <v>3430</v>
      </c>
      <c r="C7" s="680">
        <v>50</v>
      </c>
      <c r="E7" s="672" t="s">
        <v>3430</v>
      </c>
      <c r="F7" s="680">
        <v>120</v>
      </c>
      <c r="H7" s="672" t="s">
        <v>3430</v>
      </c>
      <c r="I7" s="680">
        <v>120</v>
      </c>
      <c r="K7" s="672" t="s">
        <v>3430</v>
      </c>
      <c r="L7" s="680">
        <v>120</v>
      </c>
      <c r="N7" s="672" t="s">
        <v>3430</v>
      </c>
      <c r="O7" s="680">
        <v>120</v>
      </c>
    </row>
    <row r="8" spans="2:15">
      <c r="B8" s="672" t="s">
        <v>3431</v>
      </c>
      <c r="C8" s="672">
        <f>C7*12</f>
        <v>600</v>
      </c>
      <c r="E8" s="672" t="s">
        <v>3431</v>
      </c>
      <c r="F8" s="672">
        <f>F7*12</f>
        <v>1440</v>
      </c>
      <c r="H8" s="672" t="s">
        <v>3431</v>
      </c>
      <c r="I8" s="672">
        <f>I7*12</f>
        <v>1440</v>
      </c>
      <c r="K8" s="921" t="s">
        <v>3431</v>
      </c>
      <c r="L8" s="672">
        <f>L7*12</f>
        <v>1440</v>
      </c>
      <c r="N8" s="672" t="s">
        <v>3431</v>
      </c>
      <c r="O8" s="672">
        <f>O7*12</f>
        <v>1440</v>
      </c>
    </row>
    <row r="9" spans="2:15">
      <c r="B9" s="672" t="s">
        <v>156</v>
      </c>
      <c r="C9" s="674">
        <v>0.8</v>
      </c>
      <c r="E9" s="672" t="s">
        <v>156</v>
      </c>
      <c r="F9" s="674">
        <v>0.75</v>
      </c>
      <c r="H9" s="672" t="s">
        <v>156</v>
      </c>
      <c r="I9" s="674">
        <v>0.85</v>
      </c>
      <c r="K9" s="672" t="s">
        <v>156</v>
      </c>
      <c r="L9" s="708">
        <v>0.97</v>
      </c>
      <c r="N9" s="672" t="s">
        <v>156</v>
      </c>
      <c r="O9" s="708">
        <v>0.97</v>
      </c>
    </row>
    <row r="10" spans="2:15">
      <c r="B10" s="703" t="s">
        <v>3460</v>
      </c>
      <c r="C10" s="706">
        <v>7.0000000000000007E-2</v>
      </c>
      <c r="E10" s="703" t="s">
        <v>3460</v>
      </c>
      <c r="F10" s="706">
        <v>0.25</v>
      </c>
      <c r="H10" s="703" t="s">
        <v>3460</v>
      </c>
      <c r="I10" s="706">
        <v>1</v>
      </c>
      <c r="K10" s="703" t="s">
        <v>3460</v>
      </c>
      <c r="L10" s="706">
        <v>1</v>
      </c>
      <c r="N10" s="703" t="s">
        <v>3460</v>
      </c>
      <c r="O10" s="706">
        <v>1</v>
      </c>
    </row>
    <row r="11" spans="2:15">
      <c r="B11" s="703" t="s">
        <v>3461</v>
      </c>
      <c r="C11" s="706">
        <v>3.3000000000000002E-2</v>
      </c>
      <c r="E11" s="703" t="s">
        <v>3461</v>
      </c>
      <c r="F11" s="706">
        <v>0.1</v>
      </c>
      <c r="H11" s="703" t="s">
        <v>3461</v>
      </c>
      <c r="I11" s="706">
        <v>0.21</v>
      </c>
      <c r="K11" s="703" t="s">
        <v>3461</v>
      </c>
      <c r="L11" s="706">
        <f>1/19</f>
        <v>5.2631578947368418E-2</v>
      </c>
      <c r="N11" s="703" t="s">
        <v>3461</v>
      </c>
      <c r="O11" s="706">
        <f>1/25</f>
        <v>0.04</v>
      </c>
    </row>
    <row r="12" spans="2:15">
      <c r="B12" s="703" t="s">
        <v>3468</v>
      </c>
      <c r="C12" s="706">
        <v>0.5</v>
      </c>
      <c r="E12" s="703" t="s">
        <v>3468</v>
      </c>
      <c r="F12" s="706">
        <v>0.45</v>
      </c>
      <c r="H12" s="703" t="s">
        <v>3468</v>
      </c>
      <c r="I12" s="706">
        <v>1</v>
      </c>
      <c r="K12" s="703" t="s">
        <v>3468</v>
      </c>
      <c r="L12" s="706">
        <v>1</v>
      </c>
      <c r="N12" s="703" t="s">
        <v>3468</v>
      </c>
      <c r="O12" s="706">
        <v>1</v>
      </c>
    </row>
    <row r="13" spans="2:15">
      <c r="B13" s="672" t="s">
        <v>3426</v>
      </c>
      <c r="C13" s="679">
        <f>((C9*C11)-((1-C9)*C10))</f>
        <v>1.2400000000000005E-2</v>
      </c>
      <c r="E13" s="672" t="s">
        <v>3426</v>
      </c>
      <c r="F13" s="679">
        <f>((F9*F11)-((1-F9)*F10))</f>
        <v>1.2500000000000011E-2</v>
      </c>
      <c r="H13" s="672" t="s">
        <v>3426</v>
      </c>
      <c r="I13" s="679">
        <f>((I9*I11)-((1-I9)*I10))</f>
        <v>2.849999999999997E-2</v>
      </c>
      <c r="K13" s="672" t="s">
        <v>3426</v>
      </c>
      <c r="L13" s="679">
        <f>((L9*L11)-((1-L9)*L10))</f>
        <v>2.1052631578947337E-2</v>
      </c>
      <c r="N13" s="672" t="s">
        <v>3426</v>
      </c>
      <c r="O13" s="679">
        <f>((O9*O11)-((1-O9)*O10))</f>
        <v>8.7999999999999745E-3</v>
      </c>
    </row>
    <row r="14" spans="2:15">
      <c r="B14" s="672" t="s">
        <v>3447</v>
      </c>
      <c r="C14" s="680">
        <v>2</v>
      </c>
      <c r="E14" s="672" t="s">
        <v>3447</v>
      </c>
      <c r="F14" s="680">
        <v>2</v>
      </c>
      <c r="H14" s="672" t="s">
        <v>3447</v>
      </c>
      <c r="I14" s="680">
        <v>2</v>
      </c>
      <c r="K14" s="672" t="s">
        <v>3447</v>
      </c>
      <c r="L14" s="680">
        <v>0</v>
      </c>
      <c r="N14" s="672" t="s">
        <v>3447</v>
      </c>
      <c r="O14" s="680">
        <v>0</v>
      </c>
    </row>
    <row r="15" spans="2:15" ht="13.8" thickBot="1">
      <c r="B15" s="703" t="s">
        <v>3432</v>
      </c>
      <c r="C15" s="672">
        <f>ROUNDUP(LN(C8)/LN(1/(1-C9))+C14,0)</f>
        <v>6</v>
      </c>
      <c r="E15" s="703" t="s">
        <v>3432</v>
      </c>
      <c r="F15" s="672">
        <f>ROUNDUP(LN(F8)/LN(1/(1-F9))+F14,0)</f>
        <v>8</v>
      </c>
      <c r="H15" s="703" t="s">
        <v>3432</v>
      </c>
      <c r="I15" s="672">
        <f>ROUNDUP(LN(I8)/LN(1/(1-I9))+I14,0)</f>
        <v>6</v>
      </c>
      <c r="K15" s="703" t="s">
        <v>3432</v>
      </c>
      <c r="L15" s="672">
        <f>ROUNDUP(LN(L8)/LN(1/(1-L9))+L14,0)</f>
        <v>3</v>
      </c>
      <c r="N15" s="703" t="s">
        <v>3432</v>
      </c>
      <c r="O15" s="672">
        <f>ROUNDUP(LN(O8)/LN(1/(1-O9))+O14,0)</f>
        <v>3</v>
      </c>
    </row>
    <row r="16" spans="2:15" ht="13.8" thickBot="1">
      <c r="B16" s="687" t="s">
        <v>3434</v>
      </c>
      <c r="C16" s="688">
        <f>1-(1-(1-C9)^C15)^C8</f>
        <v>3.7673249836660649E-2</v>
      </c>
      <c r="E16" s="687" t="s">
        <v>3434</v>
      </c>
      <c r="F16" s="688">
        <f>1-(1-(1-F9)^F15)^F8</f>
        <v>2.1733179823088866E-2</v>
      </c>
      <c r="H16" s="687" t="s">
        <v>3434</v>
      </c>
      <c r="I16" s="688">
        <f>1-(1-(1-I9)^I15)^I8</f>
        <v>1.6268803382633146E-2</v>
      </c>
      <c r="K16" s="687" t="s">
        <v>3434</v>
      </c>
      <c r="L16" s="688">
        <f>1-(1-(1-L9)^L15)^L8</f>
        <v>3.8134378716907835E-2</v>
      </c>
      <c r="N16" s="687" t="s">
        <v>3434</v>
      </c>
      <c r="O16" s="688">
        <f>1-(1-(1-O9)^O15)^O8</f>
        <v>3.8134378716907835E-2</v>
      </c>
    </row>
    <row r="17" spans="2:15">
      <c r="B17" s="703" t="s">
        <v>3464</v>
      </c>
      <c r="C17" s="705">
        <f>$C$4/C15</f>
        <v>166.66666666666666</v>
      </c>
      <c r="E17" s="703" t="s">
        <v>3464</v>
      </c>
      <c r="F17" s="705">
        <f>$C$4/F15</f>
        <v>125</v>
      </c>
      <c r="H17" s="703" t="s">
        <v>3464</v>
      </c>
      <c r="I17" s="705">
        <f>$C$4/I15</f>
        <v>166.66666666666666</v>
      </c>
      <c r="K17" s="703" t="s">
        <v>3464</v>
      </c>
      <c r="L17" s="705">
        <f>$C$4/L15</f>
        <v>333.33333333333331</v>
      </c>
      <c r="N17" s="703" t="s">
        <v>3464</v>
      </c>
      <c r="O17" s="705">
        <f>$C$4/O15</f>
        <v>333.33333333333331</v>
      </c>
    </row>
    <row r="18" spans="2:15">
      <c r="B18" s="703" t="s">
        <v>3465</v>
      </c>
      <c r="C18" s="675">
        <f>C17/C10</f>
        <v>2380.9523809523807</v>
      </c>
      <c r="E18" s="703" t="s">
        <v>3465</v>
      </c>
      <c r="F18" s="675">
        <f>F17/F12</f>
        <v>277.77777777777777</v>
      </c>
      <c r="H18" s="703" t="s">
        <v>3465</v>
      </c>
      <c r="I18" s="675">
        <f>I17/I10</f>
        <v>166.66666666666666</v>
      </c>
      <c r="K18" s="703" t="s">
        <v>3465</v>
      </c>
      <c r="L18" s="675">
        <f>L17/L10</f>
        <v>333.33333333333331</v>
      </c>
      <c r="N18" s="703" t="s">
        <v>3465</v>
      </c>
      <c r="O18" s="675">
        <f>O17/O10</f>
        <v>333.33333333333331</v>
      </c>
    </row>
    <row r="19" spans="2:15" ht="13.8" thickBot="1">
      <c r="B19" s="703" t="s">
        <v>3466</v>
      </c>
      <c r="C19" s="701">
        <f>C18/$C$2</f>
        <v>0.47619047619047616</v>
      </c>
      <c r="E19" s="703" t="s">
        <v>3466</v>
      </c>
      <c r="F19" s="701">
        <f>F18/$C$2</f>
        <v>5.5555555555555552E-2</v>
      </c>
      <c r="H19" s="703" t="s">
        <v>3466</v>
      </c>
      <c r="I19" s="701">
        <f>I18/$C$2</f>
        <v>3.3333333333333333E-2</v>
      </c>
      <c r="K19" s="703" t="s">
        <v>3466</v>
      </c>
      <c r="L19" s="701">
        <f>L18/$C$2</f>
        <v>6.6666666666666666E-2</v>
      </c>
      <c r="N19" s="703" t="s">
        <v>3466</v>
      </c>
      <c r="O19" s="701">
        <f>O18/$C$2</f>
        <v>6.6666666666666666E-2</v>
      </c>
    </row>
    <row r="20" spans="2:15">
      <c r="B20" s="696" t="s">
        <v>3453</v>
      </c>
      <c r="C20" s="695">
        <v>0.5</v>
      </c>
      <c r="E20" s="696" t="s">
        <v>3453</v>
      </c>
      <c r="F20" s="695">
        <v>1</v>
      </c>
      <c r="H20" s="696" t="s">
        <v>3453</v>
      </c>
      <c r="I20" s="695">
        <v>1</v>
      </c>
      <c r="K20" s="696" t="s">
        <v>3453</v>
      </c>
      <c r="L20" s="695">
        <v>1</v>
      </c>
      <c r="N20" s="696" t="s">
        <v>3453</v>
      </c>
      <c r="O20" s="695">
        <v>1</v>
      </c>
    </row>
    <row r="21" spans="2:15" ht="13.8" thickBot="1">
      <c r="B21" s="697" t="s">
        <v>3454</v>
      </c>
      <c r="C21" s="700">
        <f>C20*C18</f>
        <v>1190.4761904761904</v>
      </c>
      <c r="E21" s="697" t="s">
        <v>3454</v>
      </c>
      <c r="F21" s="700">
        <f>F20*F18</f>
        <v>277.77777777777777</v>
      </c>
      <c r="H21" s="697" t="s">
        <v>3454</v>
      </c>
      <c r="I21" s="700">
        <f>I20*I18</f>
        <v>166.66666666666666</v>
      </c>
      <c r="K21" s="697" t="s">
        <v>3454</v>
      </c>
      <c r="L21" s="700">
        <f>IFERROR(L20*L18,0)</f>
        <v>333.33333333333331</v>
      </c>
      <c r="N21" s="697" t="s">
        <v>3454</v>
      </c>
      <c r="O21" s="700">
        <f>IFERROR(O20*O18,0)</f>
        <v>333.33333333333331</v>
      </c>
    </row>
    <row r="22" spans="2:15">
      <c r="B22" s="707"/>
      <c r="C22" s="702"/>
      <c r="E22" s="707"/>
      <c r="F22" s="702"/>
      <c r="H22" s="707"/>
      <c r="I22" s="702"/>
      <c r="K22" s="707"/>
      <c r="L22" s="702"/>
      <c r="N22" s="707"/>
      <c r="O22" s="702"/>
    </row>
    <row r="23" spans="2:15" ht="13.8" thickBot="1"/>
    <row r="24" spans="2:15" ht="14.4" customHeight="1" thickBot="1">
      <c r="B24" s="1267" t="s">
        <v>3456</v>
      </c>
      <c r="C24" s="1268"/>
      <c r="E24" s="1267" t="s">
        <v>3455</v>
      </c>
      <c r="F24" s="1268"/>
      <c r="H24" s="1267" t="s">
        <v>3445</v>
      </c>
      <c r="I24" s="1268"/>
      <c r="K24" s="1267" t="s">
        <v>3444</v>
      </c>
      <c r="L24" s="1268"/>
      <c r="N24" s="1267" t="s">
        <v>3573</v>
      </c>
      <c r="O24" s="1268"/>
    </row>
    <row r="25" spans="2:15">
      <c r="B25" s="672" t="s">
        <v>3430</v>
      </c>
      <c r="C25" s="680">
        <v>4</v>
      </c>
      <c r="E25" s="672" t="s">
        <v>3430</v>
      </c>
      <c r="F25" s="680">
        <v>4</v>
      </c>
      <c r="H25" s="672" t="s">
        <v>3430</v>
      </c>
      <c r="I25" s="680">
        <v>60</v>
      </c>
      <c r="K25" s="672" t="s">
        <v>3430</v>
      </c>
      <c r="L25" s="680"/>
      <c r="N25" s="672" t="s">
        <v>3430</v>
      </c>
      <c r="O25" s="680"/>
    </row>
    <row r="26" spans="2:15">
      <c r="B26" s="672" t="s">
        <v>3431</v>
      </c>
      <c r="C26" s="672">
        <f>C25*12</f>
        <v>48</v>
      </c>
      <c r="E26" s="672" t="s">
        <v>3431</v>
      </c>
      <c r="F26" s="672">
        <f>F25*12</f>
        <v>48</v>
      </c>
      <c r="H26" s="672" t="s">
        <v>3431</v>
      </c>
      <c r="I26" s="672">
        <f>I25*12</f>
        <v>720</v>
      </c>
      <c r="K26" s="672" t="s">
        <v>3431</v>
      </c>
      <c r="L26" s="672">
        <f>L25*12</f>
        <v>0</v>
      </c>
      <c r="N26" s="672" t="s">
        <v>3431</v>
      </c>
      <c r="O26" s="672">
        <f>O25*12</f>
        <v>0</v>
      </c>
    </row>
    <row r="27" spans="2:15">
      <c r="B27" s="672" t="s">
        <v>156</v>
      </c>
      <c r="C27" s="674">
        <v>0.96</v>
      </c>
      <c r="E27" s="672" t="s">
        <v>156</v>
      </c>
      <c r="F27" s="674">
        <v>0.97</v>
      </c>
      <c r="H27" s="672" t="s">
        <v>156</v>
      </c>
      <c r="I27" s="674">
        <v>0.93799999999999994</v>
      </c>
      <c r="K27" s="672" t="s">
        <v>156</v>
      </c>
      <c r="L27" s="674"/>
      <c r="N27" s="672" t="s">
        <v>156</v>
      </c>
      <c r="O27" s="708"/>
    </row>
    <row r="28" spans="2:15">
      <c r="B28" s="703" t="s">
        <v>3460</v>
      </c>
      <c r="C28" s="706">
        <v>1</v>
      </c>
      <c r="E28" s="703" t="s">
        <v>3460</v>
      </c>
      <c r="F28" s="706">
        <v>1</v>
      </c>
      <c r="H28" s="703" t="s">
        <v>3460</v>
      </c>
      <c r="I28" s="706">
        <v>1</v>
      </c>
      <c r="K28" s="703" t="s">
        <v>3460</v>
      </c>
      <c r="L28" s="706"/>
      <c r="N28" s="703" t="s">
        <v>3460</v>
      </c>
      <c r="O28" s="706"/>
    </row>
    <row r="29" spans="2:15">
      <c r="B29" s="703" t="s">
        <v>3461</v>
      </c>
      <c r="C29" s="674">
        <f>1/19</f>
        <v>5.2631578947368418E-2</v>
      </c>
      <c r="E29" s="703" t="s">
        <v>3461</v>
      </c>
      <c r="F29" s="674">
        <f>1/14</f>
        <v>7.1428571428571425E-2</v>
      </c>
      <c r="H29" s="703" t="s">
        <v>3461</v>
      </c>
      <c r="I29" s="674">
        <v>9.2999999999999999E-2</v>
      </c>
      <c r="K29" s="703" t="s">
        <v>3461</v>
      </c>
      <c r="L29" s="674"/>
      <c r="N29" s="703" t="s">
        <v>3461</v>
      </c>
      <c r="O29" s="706"/>
    </row>
    <row r="30" spans="2:15">
      <c r="B30" s="703" t="s">
        <v>3468</v>
      </c>
      <c r="C30" s="674">
        <v>1</v>
      </c>
      <c r="E30" s="703" t="s">
        <v>3468</v>
      </c>
      <c r="F30" s="674">
        <v>1</v>
      </c>
      <c r="H30" s="703" t="s">
        <v>3468</v>
      </c>
      <c r="I30" s="674">
        <v>1</v>
      </c>
      <c r="K30" s="703" t="s">
        <v>3468</v>
      </c>
      <c r="L30" s="674"/>
      <c r="N30" s="703" t="s">
        <v>3468</v>
      </c>
      <c r="O30" s="706"/>
    </row>
    <row r="31" spans="2:15">
      <c r="B31" s="672" t="s">
        <v>3426</v>
      </c>
      <c r="C31" s="679">
        <f>((C27*C29)-((1-C27)*C28))</f>
        <v>1.0526315789473641E-2</v>
      </c>
      <c r="E31" s="672" t="s">
        <v>3426</v>
      </c>
      <c r="F31" s="679">
        <f>((F27*F29)-((1-F27)*F28))</f>
        <v>3.9285714285714257E-2</v>
      </c>
      <c r="H31" s="672" t="s">
        <v>3426</v>
      </c>
      <c r="I31" s="679">
        <f>((I27*I29)-((1-I27)*I28))</f>
        <v>2.5233999999999937E-2</v>
      </c>
      <c r="K31" s="672" t="s">
        <v>3426</v>
      </c>
      <c r="L31" s="679">
        <f>((L27*L29)-((1-L27)*L28))</f>
        <v>0</v>
      </c>
      <c r="N31" s="672" t="s">
        <v>3426</v>
      </c>
      <c r="O31" s="679">
        <f>((O27*O29)-((1-O27)*O28))</f>
        <v>0</v>
      </c>
    </row>
    <row r="32" spans="2:15">
      <c r="B32" s="672" t="s">
        <v>3447</v>
      </c>
      <c r="C32" s="680">
        <v>1</v>
      </c>
      <c r="E32" s="672" t="s">
        <v>3447</v>
      </c>
      <c r="F32" s="680">
        <v>0</v>
      </c>
      <c r="H32" s="672" t="s">
        <v>3447</v>
      </c>
      <c r="I32" s="680">
        <v>1</v>
      </c>
      <c r="K32" s="672" t="s">
        <v>3447</v>
      </c>
      <c r="L32" s="680"/>
      <c r="N32" s="672" t="s">
        <v>3447</v>
      </c>
      <c r="O32" s="680"/>
    </row>
    <row r="33" spans="2:15" ht="13.8" thickBot="1">
      <c r="B33" s="703" t="s">
        <v>3432</v>
      </c>
      <c r="C33" s="672">
        <f>ROUNDUP(LN(C26)/LN(1/(1-C27))+C32,0)</f>
        <v>3</v>
      </c>
      <c r="E33" s="703" t="s">
        <v>3432</v>
      </c>
      <c r="F33" s="672">
        <f>ROUNDUP(LN(F26)/LN(1/(1-F27))+F32,0)</f>
        <v>2</v>
      </c>
      <c r="H33" s="703" t="s">
        <v>3432</v>
      </c>
      <c r="I33" s="672">
        <f>ROUNDUP(LN(I26)/LN(1/(1-I27))+I32,0)</f>
        <v>4</v>
      </c>
      <c r="K33" s="703" t="s">
        <v>3432</v>
      </c>
      <c r="L33" s="672" t="e">
        <f>ROUNDUP(LN(L26)/LN(1/(1-L27))+L32,0)</f>
        <v>#NUM!</v>
      </c>
      <c r="N33" s="703" t="s">
        <v>3432</v>
      </c>
      <c r="O33" s="672" t="e">
        <f>ROUNDUP(LN(O26)/LN(1/(1-O27))+O32,0)</f>
        <v>#NUM!</v>
      </c>
    </row>
    <row r="34" spans="2:15" ht="13.8" thickBot="1">
      <c r="B34" s="687" t="s">
        <v>3434</v>
      </c>
      <c r="C34" s="688">
        <f>1-(1-(1-C27)^C33)^C26</f>
        <v>3.0673842427780817E-3</v>
      </c>
      <c r="E34" s="687" t="s">
        <v>3434</v>
      </c>
      <c r="F34" s="688">
        <f>1-(1-(1-F27)^F33)^F26</f>
        <v>4.2298802124675072E-2</v>
      </c>
      <c r="H34" s="687" t="s">
        <v>3434</v>
      </c>
      <c r="I34" s="688">
        <f>1-(1-(1-I27)^I33)^I26</f>
        <v>1.0582646102934801E-2</v>
      </c>
      <c r="K34" s="687" t="s">
        <v>3434</v>
      </c>
      <c r="L34" s="688" t="e">
        <f>1-(1-(1-L27)^L33)^L26</f>
        <v>#NUM!</v>
      </c>
      <c r="N34" s="687" t="s">
        <v>3434</v>
      </c>
      <c r="O34" s="688" t="e">
        <f>1-(1-(1-O27)^O33)^O26</f>
        <v>#NUM!</v>
      </c>
    </row>
    <row r="35" spans="2:15">
      <c r="B35" s="703" t="s">
        <v>3464</v>
      </c>
      <c r="C35" s="705">
        <f>$C$4/C33</f>
        <v>333.33333333333331</v>
      </c>
      <c r="E35" s="703" t="s">
        <v>3464</v>
      </c>
      <c r="F35" s="705">
        <f>$C$4/F33</f>
        <v>500</v>
      </c>
      <c r="H35" s="703" t="s">
        <v>3464</v>
      </c>
      <c r="I35" s="705">
        <f>$C$4/I33</f>
        <v>250</v>
      </c>
      <c r="K35" s="703" t="s">
        <v>3464</v>
      </c>
      <c r="L35" s="705" t="e">
        <f>$C$4/L33</f>
        <v>#NUM!</v>
      </c>
      <c r="N35" s="703" t="s">
        <v>3464</v>
      </c>
      <c r="O35" s="705" t="e">
        <f>$C$4/O33</f>
        <v>#NUM!</v>
      </c>
    </row>
    <row r="36" spans="2:15">
      <c r="B36" s="703" t="s">
        <v>3465</v>
      </c>
      <c r="C36" s="675">
        <f>C35/C28</f>
        <v>333.33333333333331</v>
      </c>
      <c r="E36" s="703" t="s">
        <v>3465</v>
      </c>
      <c r="F36" s="675">
        <f>F35/F28</f>
        <v>500</v>
      </c>
      <c r="H36" s="703" t="s">
        <v>3465</v>
      </c>
      <c r="I36" s="675">
        <f>I35/I28</f>
        <v>250</v>
      </c>
      <c r="K36" s="703" t="s">
        <v>3465</v>
      </c>
      <c r="L36" s="675" t="e">
        <f>L35/L28</f>
        <v>#NUM!</v>
      </c>
      <c r="N36" s="703" t="s">
        <v>3465</v>
      </c>
      <c r="O36" s="675" t="e">
        <f>O35/O28</f>
        <v>#NUM!</v>
      </c>
    </row>
    <row r="37" spans="2:15" ht="13.8" thickBot="1">
      <c r="B37" s="703" t="s">
        <v>3466</v>
      </c>
      <c r="C37" s="701">
        <f>C36/$C$2</f>
        <v>6.6666666666666666E-2</v>
      </c>
      <c r="E37" s="703" t="s">
        <v>3466</v>
      </c>
      <c r="F37" s="701">
        <f>F36/$C$2</f>
        <v>0.1</v>
      </c>
      <c r="H37" s="703" t="s">
        <v>3466</v>
      </c>
      <c r="I37" s="701">
        <f>I36/$C$2</f>
        <v>0.05</v>
      </c>
      <c r="K37" s="703" t="s">
        <v>3466</v>
      </c>
      <c r="L37" s="701" t="e">
        <f>L36/$C$2</f>
        <v>#NUM!</v>
      </c>
      <c r="N37" s="703" t="s">
        <v>3466</v>
      </c>
      <c r="O37" s="701" t="e">
        <f>O36/$C$2</f>
        <v>#NUM!</v>
      </c>
    </row>
    <row r="38" spans="2:15">
      <c r="B38" s="696" t="s">
        <v>3453</v>
      </c>
      <c r="C38" s="695">
        <v>0.7</v>
      </c>
      <c r="E38" s="696" t="s">
        <v>3453</v>
      </c>
      <c r="F38" s="695">
        <v>0.7</v>
      </c>
      <c r="H38" s="696" t="s">
        <v>3453</v>
      </c>
      <c r="I38" s="695">
        <v>1</v>
      </c>
      <c r="K38" s="696" t="s">
        <v>3453</v>
      </c>
      <c r="L38" s="695"/>
      <c r="N38" s="696" t="s">
        <v>3453</v>
      </c>
      <c r="O38" s="695">
        <v>0</v>
      </c>
    </row>
    <row r="39" spans="2:15" ht="13.8" thickBot="1">
      <c r="B39" s="697" t="s">
        <v>3454</v>
      </c>
      <c r="C39" s="700">
        <f>C38*C36</f>
        <v>233.33333333333331</v>
      </c>
      <c r="E39" s="697" t="s">
        <v>3454</v>
      </c>
      <c r="F39" s="700">
        <f>F38*F36</f>
        <v>350</v>
      </c>
      <c r="H39" s="697" t="s">
        <v>3454</v>
      </c>
      <c r="I39" s="700">
        <f>I38*I36</f>
        <v>250</v>
      </c>
      <c r="K39" s="697" t="s">
        <v>3454</v>
      </c>
      <c r="L39" s="700">
        <f>IFERROR(L38*L36,0)</f>
        <v>0</v>
      </c>
      <c r="N39" s="697" t="s">
        <v>3454</v>
      </c>
      <c r="O39" s="700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" width="2.69921875" style="672" customWidth="1"/>
    <col min="17" max="18" width="15.69921875" style="672" customWidth="1"/>
    <col min="19" max="19" width="2.69921875" style="672" customWidth="1"/>
    <col min="20" max="21" width="15.69921875" style="672" customWidth="1"/>
    <col min="22" max="22" width="2.69921875" style="672" customWidth="1"/>
    <col min="23" max="24" width="15.69921875" style="672" customWidth="1"/>
    <col min="25" max="16384" width="8.796875" style="672"/>
  </cols>
  <sheetData>
    <row r="2" spans="2:25">
      <c r="B2" s="672" t="s">
        <v>3418</v>
      </c>
      <c r="C2" s="673">
        <v>4200</v>
      </c>
      <c r="E2" s="694" t="s">
        <v>3457</v>
      </c>
      <c r="F2" s="675">
        <f>SUM(F38:X38)</f>
        <v>2900</v>
      </c>
    </row>
    <row r="3" spans="2:25">
      <c r="B3" s="672" t="s">
        <v>3433</v>
      </c>
      <c r="C3" s="674">
        <v>0.2</v>
      </c>
      <c r="E3" s="694" t="s">
        <v>3458</v>
      </c>
      <c r="F3" s="701">
        <f>F2/C2</f>
        <v>0.69047619047619047</v>
      </c>
    </row>
    <row r="4" spans="2:25" ht="13.8" thickBot="1"/>
    <row r="5" spans="2:25" ht="13.8" thickBot="1">
      <c r="B5" s="1267" t="s">
        <v>3446</v>
      </c>
      <c r="C5" s="1268"/>
      <c r="E5" s="1267" t="s">
        <v>3450</v>
      </c>
      <c r="F5" s="1268"/>
      <c r="H5" s="1267" t="s">
        <v>3448</v>
      </c>
      <c r="I5" s="1268"/>
      <c r="K5" s="1269" t="s">
        <v>3459</v>
      </c>
      <c r="L5" s="1270"/>
      <c r="N5" s="1267" t="s">
        <v>3455</v>
      </c>
      <c r="O5" s="1268"/>
      <c r="Q5" s="1267" t="s">
        <v>3456</v>
      </c>
      <c r="R5" s="1268"/>
      <c r="T5" s="1267" t="s">
        <v>3445</v>
      </c>
      <c r="U5" s="1268"/>
      <c r="W5" s="1267" t="s">
        <v>3444</v>
      </c>
      <c r="X5" s="1268"/>
    </row>
    <row r="6" spans="2:25">
      <c r="B6" s="672" t="s">
        <v>3418</v>
      </c>
      <c r="C6" s="681">
        <f>$C$2</f>
        <v>4200</v>
      </c>
      <c r="E6" s="672" t="s">
        <v>3418</v>
      </c>
      <c r="F6" s="681">
        <f>$C$2</f>
        <v>4200</v>
      </c>
      <c r="H6" s="672" t="s">
        <v>3418</v>
      </c>
      <c r="I6" s="681">
        <f>$C$2</f>
        <v>4200</v>
      </c>
      <c r="K6" s="672" t="s">
        <v>3418</v>
      </c>
      <c r="L6" s="681">
        <f>$C$2</f>
        <v>4200</v>
      </c>
      <c r="N6" s="672" t="s">
        <v>3418</v>
      </c>
      <c r="O6" s="681">
        <f>$C$2</f>
        <v>4200</v>
      </c>
      <c r="Q6" s="672" t="s">
        <v>3418</v>
      </c>
      <c r="R6" s="681">
        <f>$C$2</f>
        <v>4200</v>
      </c>
      <c r="T6" s="672" t="s">
        <v>3418</v>
      </c>
      <c r="U6" s="681">
        <f>$C$2</f>
        <v>4200</v>
      </c>
      <c r="W6" s="672" t="s">
        <v>3418</v>
      </c>
      <c r="X6" s="681">
        <f>$C$2</f>
        <v>4200</v>
      </c>
    </row>
    <row r="7" spans="2:25">
      <c r="B7" s="672" t="s">
        <v>156</v>
      </c>
      <c r="C7" s="674">
        <v>0.83</v>
      </c>
      <c r="E7" s="672" t="s">
        <v>156</v>
      </c>
      <c r="F7" s="674">
        <v>0.8</v>
      </c>
      <c r="H7" s="672" t="s">
        <v>156</v>
      </c>
      <c r="I7" s="674">
        <v>0.85</v>
      </c>
      <c r="K7" s="672" t="s">
        <v>156</v>
      </c>
      <c r="L7" s="674">
        <v>0.75</v>
      </c>
      <c r="N7" s="672" t="s">
        <v>156</v>
      </c>
      <c r="O7" s="674">
        <v>0.98</v>
      </c>
      <c r="Q7" s="672" t="s">
        <v>156</v>
      </c>
      <c r="R7" s="674">
        <v>0.98</v>
      </c>
      <c r="T7" s="672" t="s">
        <v>156</v>
      </c>
      <c r="U7" s="674">
        <v>0.93799999999999994</v>
      </c>
      <c r="W7" s="672" t="s">
        <v>156</v>
      </c>
      <c r="X7" s="674">
        <v>0.85</v>
      </c>
    </row>
    <row r="8" spans="2:25">
      <c r="B8" s="703" t="s">
        <v>3460</v>
      </c>
      <c r="C8" s="673">
        <v>100</v>
      </c>
      <c r="E8" s="703" t="s">
        <v>3460</v>
      </c>
      <c r="F8" s="673">
        <v>15</v>
      </c>
      <c r="H8" s="703" t="s">
        <v>3460</v>
      </c>
      <c r="I8" s="673">
        <v>100</v>
      </c>
      <c r="K8" s="703" t="s">
        <v>3460</v>
      </c>
      <c r="L8" s="673">
        <v>10</v>
      </c>
    </row>
    <row r="9" spans="2:25">
      <c r="B9" s="703" t="s">
        <v>3461</v>
      </c>
      <c r="C9" s="673">
        <v>33</v>
      </c>
      <c r="E9" s="703" t="s">
        <v>3461</v>
      </c>
      <c r="F9" s="673">
        <v>8.3000000000000007</v>
      </c>
      <c r="H9" s="703" t="s">
        <v>3461</v>
      </c>
      <c r="I9" s="673">
        <v>23</v>
      </c>
      <c r="K9" s="703" t="s">
        <v>3461</v>
      </c>
      <c r="L9" s="673">
        <v>4</v>
      </c>
    </row>
    <row r="10" spans="2:25">
      <c r="B10" s="672" t="s">
        <v>3419</v>
      </c>
      <c r="C10" s="675">
        <f>C9/C8+1</f>
        <v>1.33</v>
      </c>
      <c r="E10" s="672" t="s">
        <v>3419</v>
      </c>
      <c r="F10" s="675">
        <f>F9/F8+1</f>
        <v>1.5533333333333332</v>
      </c>
      <c r="H10" s="672" t="s">
        <v>3419</v>
      </c>
      <c r="I10" s="675">
        <f>I9/I8+1</f>
        <v>1.23</v>
      </c>
      <c r="K10" s="672" t="s">
        <v>3419</v>
      </c>
      <c r="L10" s="675">
        <f>L9/L8+1</f>
        <v>1.4</v>
      </c>
      <c r="N10" s="672" t="s">
        <v>255</v>
      </c>
      <c r="O10" s="673">
        <v>14.7</v>
      </c>
      <c r="Q10" s="672" t="s">
        <v>255</v>
      </c>
      <c r="R10" s="673">
        <v>19.850000000000001</v>
      </c>
      <c r="T10" s="672" t="s">
        <v>255</v>
      </c>
      <c r="U10" s="673">
        <v>11.71</v>
      </c>
      <c r="W10" s="672" t="s">
        <v>255</v>
      </c>
      <c r="X10" s="673">
        <v>1.28</v>
      </c>
    </row>
    <row r="11" spans="2:25">
      <c r="B11" s="672" t="s">
        <v>3420</v>
      </c>
      <c r="C11" s="693">
        <v>2</v>
      </c>
      <c r="E11" s="672" t="s">
        <v>3420</v>
      </c>
      <c r="F11" s="693">
        <v>2</v>
      </c>
      <c r="H11" s="672" t="s">
        <v>3420</v>
      </c>
      <c r="I11" s="693">
        <v>2</v>
      </c>
      <c r="K11" s="672" t="s">
        <v>3420</v>
      </c>
      <c r="L11" s="693">
        <v>2.5</v>
      </c>
      <c r="N11" s="672" t="s">
        <v>3420</v>
      </c>
      <c r="O11" s="693">
        <v>1</v>
      </c>
      <c r="Q11" s="672" t="s">
        <v>3420</v>
      </c>
      <c r="R11" s="693">
        <v>1</v>
      </c>
      <c r="T11" s="672" t="s">
        <v>3420</v>
      </c>
      <c r="U11" s="693">
        <v>2.5</v>
      </c>
      <c r="W11" s="672" t="s">
        <v>3420</v>
      </c>
      <c r="X11" s="693">
        <v>5</v>
      </c>
    </row>
    <row r="12" spans="2:25">
      <c r="B12" s="672" t="s">
        <v>3421</v>
      </c>
      <c r="C12" s="675">
        <f>C10-1</f>
        <v>0.33000000000000007</v>
      </c>
      <c r="E12" s="672" t="s">
        <v>3421</v>
      </c>
      <c r="F12" s="675">
        <f>F10-1</f>
        <v>0.55333333333333323</v>
      </c>
      <c r="H12" s="672" t="s">
        <v>3421</v>
      </c>
      <c r="I12" s="675">
        <f>I10-1</f>
        <v>0.22999999999999998</v>
      </c>
      <c r="K12" s="672" t="s">
        <v>3421</v>
      </c>
      <c r="L12" s="675">
        <f>L10-1</f>
        <v>0.39999999999999991</v>
      </c>
      <c r="N12" s="672" t="s">
        <v>3421</v>
      </c>
      <c r="O12" s="675">
        <f>1/(O10-1)</f>
        <v>7.2992700729927015E-2</v>
      </c>
      <c r="Q12" s="672" t="s">
        <v>3421</v>
      </c>
      <c r="R12" s="675">
        <f>1/(R10-1)</f>
        <v>5.305039787798408E-2</v>
      </c>
      <c r="T12" s="672" t="s">
        <v>3421</v>
      </c>
      <c r="U12" s="675">
        <f>1/(U10-1)</f>
        <v>9.3370681605975711E-2</v>
      </c>
      <c r="W12" s="672" t="s">
        <v>3421</v>
      </c>
      <c r="X12" s="675">
        <f>X10-1</f>
        <v>0.28000000000000003</v>
      </c>
    </row>
    <row r="13" spans="2:25">
      <c r="B13" s="672" t="s">
        <v>3422</v>
      </c>
      <c r="C13" s="676">
        <f>1-C7</f>
        <v>0.17000000000000004</v>
      </c>
      <c r="E13" s="672" t="s">
        <v>3422</v>
      </c>
      <c r="F13" s="676">
        <f>1-F7</f>
        <v>0.19999999999999996</v>
      </c>
      <c r="H13" s="672" t="s">
        <v>3422</v>
      </c>
      <c r="I13" s="676">
        <f>1-I7</f>
        <v>0.15000000000000002</v>
      </c>
      <c r="K13" s="672" t="s">
        <v>3422</v>
      </c>
      <c r="L13" s="676">
        <f>1-L7</f>
        <v>0.25</v>
      </c>
      <c r="N13" s="672" t="s">
        <v>3422</v>
      </c>
      <c r="O13" s="677">
        <f>1-O7</f>
        <v>2.0000000000000018E-2</v>
      </c>
      <c r="Q13" s="672" t="s">
        <v>3422</v>
      </c>
      <c r="R13" s="677">
        <f>1-R7</f>
        <v>2.0000000000000018E-2</v>
      </c>
      <c r="T13" s="672" t="s">
        <v>3422</v>
      </c>
      <c r="U13" s="677">
        <f>1-U7</f>
        <v>6.2000000000000055E-2</v>
      </c>
      <c r="W13" s="672" t="s">
        <v>3422</v>
      </c>
      <c r="X13" s="676">
        <f>1-X7</f>
        <v>0.15000000000000002</v>
      </c>
    </row>
    <row r="14" spans="2:25" ht="13.8" thickBot="1">
      <c r="B14" s="672" t="s">
        <v>3423</v>
      </c>
      <c r="C14" s="675">
        <f>(C12*C7-C13)/C12</f>
        <v>0.31484848484848477</v>
      </c>
      <c r="E14" s="672" t="s">
        <v>3423</v>
      </c>
      <c r="F14" s="675">
        <f>(F12*F7-F13)/F12</f>
        <v>0.43855421686746993</v>
      </c>
      <c r="H14" s="672" t="s">
        <v>3423</v>
      </c>
      <c r="I14" s="675">
        <f>(I12*I7-I13)/I12</f>
        <v>0.19782608695652157</v>
      </c>
      <c r="K14" s="672" t="s">
        <v>3423</v>
      </c>
      <c r="L14" s="675">
        <f>(L12*L7-L13)/L12</f>
        <v>0.12499999999999986</v>
      </c>
      <c r="N14" s="672" t="s">
        <v>3423</v>
      </c>
      <c r="O14" s="675">
        <f>(O12*O7-O13)/O12</f>
        <v>0.70599999999999974</v>
      </c>
      <c r="Q14" s="672" t="s">
        <v>3423</v>
      </c>
      <c r="R14" s="675">
        <f>(R12*R7-R13)/R12</f>
        <v>0.60299999999999965</v>
      </c>
      <c r="T14" s="672" t="s">
        <v>3423</v>
      </c>
      <c r="U14" s="675">
        <f>(U12*U7-U13)/U12</f>
        <v>0.27397999999999922</v>
      </c>
      <c r="W14" s="672" t="s">
        <v>3423</v>
      </c>
      <c r="X14" s="675">
        <f>(X12*X7-X13)/X12</f>
        <v>0.31428571428571422</v>
      </c>
    </row>
    <row r="15" spans="2:25">
      <c r="B15" s="683" t="s">
        <v>3424</v>
      </c>
      <c r="C15" s="684">
        <f>C14/C11/(C8/100)</f>
        <v>0.15742424242424238</v>
      </c>
      <c r="E15" s="683" t="s">
        <v>3424</v>
      </c>
      <c r="F15" s="684">
        <f>F14/F11/(F8/100)</f>
        <v>1.4618473895582331</v>
      </c>
      <c r="H15" s="683" t="s">
        <v>3424</v>
      </c>
      <c r="I15" s="684">
        <f>I14/I11/(I8/100)</f>
        <v>9.8913043478260784E-2</v>
      </c>
      <c r="K15" s="683" t="s">
        <v>3424</v>
      </c>
      <c r="L15" s="684">
        <f>L14/L11/(L8/100)</f>
        <v>0.49999999999999944</v>
      </c>
      <c r="N15" s="683" t="s">
        <v>3424</v>
      </c>
      <c r="O15" s="684">
        <f>O14/O11</f>
        <v>0.70599999999999974</v>
      </c>
      <c r="Q15" s="683" t="s">
        <v>3424</v>
      </c>
      <c r="R15" s="684">
        <f>R14/R11</f>
        <v>0.60299999999999965</v>
      </c>
      <c r="T15" s="683" t="s">
        <v>3424</v>
      </c>
      <c r="U15" s="684">
        <f>U14/U11</f>
        <v>0.10959199999999969</v>
      </c>
      <c r="W15" s="683" t="s">
        <v>3424</v>
      </c>
      <c r="X15" s="684">
        <f>X14/X11</f>
        <v>6.2857142857142848E-2</v>
      </c>
      <c r="Y15" s="672" t="s">
        <v>3440</v>
      </c>
    </row>
    <row r="16" spans="2:25" ht="13.8" thickBot="1">
      <c r="B16" s="685" t="s">
        <v>3425</v>
      </c>
      <c r="C16" s="686">
        <f>C15*C6</f>
        <v>661.18181818181802</v>
      </c>
      <c r="E16" s="685" t="s">
        <v>3425</v>
      </c>
      <c r="F16" s="686">
        <f>F15*F6</f>
        <v>6139.7590361445791</v>
      </c>
      <c r="H16" s="685" t="s">
        <v>3425</v>
      </c>
      <c r="I16" s="686">
        <f>I15*I6</f>
        <v>415.43478260869529</v>
      </c>
      <c r="K16" s="685" t="s">
        <v>3425</v>
      </c>
      <c r="L16" s="686">
        <f>L15*L6</f>
        <v>2099.9999999999977</v>
      </c>
      <c r="N16" s="685" t="s">
        <v>3425</v>
      </c>
      <c r="O16" s="686">
        <f>O15*O6</f>
        <v>2965.1999999999989</v>
      </c>
      <c r="Q16" s="685" t="s">
        <v>3425</v>
      </c>
      <c r="R16" s="686">
        <f>R15*R6</f>
        <v>2532.5999999999985</v>
      </c>
      <c r="T16" s="685" t="s">
        <v>3425</v>
      </c>
      <c r="U16" s="686">
        <f>U15*U6</f>
        <v>460.28639999999871</v>
      </c>
      <c r="W16" s="685" t="s">
        <v>3425</v>
      </c>
      <c r="X16" s="686">
        <f>X15*X6</f>
        <v>263.99999999999994</v>
      </c>
      <c r="Y16" s="672" t="s">
        <v>3441</v>
      </c>
    </row>
    <row r="18" spans="2:25">
      <c r="B18" s="672" t="s">
        <v>3426</v>
      </c>
      <c r="C18" s="679">
        <f>((C7*C9)-(C13*C8))/C8</f>
        <v>0.10389999999999994</v>
      </c>
      <c r="E18" s="672" t="s">
        <v>3426</v>
      </c>
      <c r="F18" s="679">
        <f>((F7*F9)-(F13*F8))/F8</f>
        <v>0.24266666666666675</v>
      </c>
      <c r="H18" s="672" t="s">
        <v>3426</v>
      </c>
      <c r="I18" s="679">
        <f>((I7*I9)-(I13*I8))/I8</f>
        <v>4.5499999999999992E-2</v>
      </c>
      <c r="K18" s="672" t="s">
        <v>3426</v>
      </c>
      <c r="L18" s="679">
        <f>((L7*L9)-(L13*L8))/L8</f>
        <v>0.05</v>
      </c>
      <c r="N18" s="672" t="s">
        <v>3426</v>
      </c>
      <c r="O18" s="679">
        <f>(100/(O10-1)*O7-O13*100)/100</f>
        <v>5.1532846715328449E-2</v>
      </c>
      <c r="Q18" s="672" t="s">
        <v>3426</v>
      </c>
      <c r="R18" s="679">
        <f>(100/(R10-1)*R7-R13*100)/100</f>
        <v>3.1989389920424376E-2</v>
      </c>
      <c r="T18" s="672" t="s">
        <v>3426</v>
      </c>
      <c r="U18" s="679">
        <f>(100/(U10-1)*U7-U13*100)/100</f>
        <v>2.5581699346405164E-2</v>
      </c>
      <c r="W18" s="672" t="s">
        <v>3426</v>
      </c>
      <c r="X18" s="679">
        <f>(100*(X10-1)*X7-X13*100)/100</f>
        <v>8.7999999999999995E-2</v>
      </c>
    </row>
    <row r="19" spans="2:25" ht="13.8" thickBot="1">
      <c r="B19" s="672" t="s">
        <v>3427</v>
      </c>
      <c r="C19" s="678">
        <f>(C7*(C9/100-C18)^2)+(C13*(-C8/100-C18)^2)</f>
        <v>0.24959179000000004</v>
      </c>
      <c r="E19" s="672" t="s">
        <v>3427</v>
      </c>
      <c r="F19" s="678">
        <f>(F7*(F9/100-F18)^2)+(F13*(-F8/100-F18)^2)</f>
        <v>5.1232177777777804E-2</v>
      </c>
      <c r="H19" s="672" t="s">
        <v>3427</v>
      </c>
      <c r="I19" s="678">
        <f>(I7*(I9/100-I18)^2)+(I13*(-I8/100-I18)^2)</f>
        <v>0.19289475000000006</v>
      </c>
      <c r="K19" s="672" t="s">
        <v>3427</v>
      </c>
      <c r="L19" s="678">
        <f>(L7*(L9/100-L18)^2)+(L13*(-L8/100-L18)^2)</f>
        <v>5.7000000000000019E-3</v>
      </c>
      <c r="N19" s="672" t="s">
        <v>3427</v>
      </c>
      <c r="O19" s="678">
        <f>(O7*((100/O10-1)/100-O18)^2)+(O13*(-100/100-O18)^2)</f>
        <v>2.2155759785065589E-2</v>
      </c>
      <c r="Q19" s="672" t="s">
        <v>3427</v>
      </c>
      <c r="R19" s="678">
        <f>(R7*((100/R10-1)/100-R18)^2)+(R13*(-100/100-R18)^2)</f>
        <v>2.1369000688302688E-2</v>
      </c>
      <c r="T19" s="672" t="s">
        <v>3427</v>
      </c>
      <c r="U19" s="678">
        <f>(U7*((100/U10-1)/100-U18)^2)+(U13*(-100/100-U18)^2)</f>
        <v>6.7540421184373492E-2</v>
      </c>
      <c r="W19" s="672" t="s">
        <v>3428</v>
      </c>
      <c r="X19" s="678">
        <f>(X7*((100/X10-1)/100-X18)^2)+(X13*(-100/100-X18)^2)</f>
        <v>0.57436757812500006</v>
      </c>
    </row>
    <row r="20" spans="2:25" ht="13.8" thickBot="1">
      <c r="B20" s="687" t="s">
        <v>3429</v>
      </c>
      <c r="C20" s="688">
        <f>EXP(-2*C18/C19*1/C15)</f>
        <v>5.0486444595291965E-3</v>
      </c>
      <c r="E20" s="687" t="s">
        <v>3429</v>
      </c>
      <c r="F20" s="688">
        <f>EXP(-2*F18/F19*1/F15)</f>
        <v>1.5333470630893866E-3</v>
      </c>
      <c r="H20" s="687" t="s">
        <v>3429</v>
      </c>
      <c r="I20" s="688">
        <f>EXP(-2*I18/I19*1/I15)</f>
        <v>8.4851277069127456E-3</v>
      </c>
      <c r="K20" s="687" t="s">
        <v>3429</v>
      </c>
      <c r="L20" s="688">
        <f>EXP(-2*L18/L19*1/L15)</f>
        <v>5.7756002457180912E-16</v>
      </c>
      <c r="N20" s="687" t="s">
        <v>3429</v>
      </c>
      <c r="O20" s="688">
        <f>EXP(-2*O18/O19*1/O15)</f>
        <v>1.3753463906141096E-3</v>
      </c>
      <c r="Q20" s="687" t="s">
        <v>3429</v>
      </c>
      <c r="R20" s="688">
        <f>EXP(-2*R18/R19*1/R15)</f>
        <v>6.9767401994437518E-3</v>
      </c>
      <c r="T20" s="687" t="s">
        <v>3429</v>
      </c>
      <c r="U20" s="688">
        <f>EXP(-2*U18/U19*1/U15)</f>
        <v>9.9555764349703712E-4</v>
      </c>
      <c r="W20" s="687" t="s">
        <v>3429</v>
      </c>
      <c r="X20" s="688">
        <f>EXP(-2*X18/X19*1/X15)</f>
        <v>7.635651794193306E-3</v>
      </c>
      <c r="Y20" s="672" t="s">
        <v>3438</v>
      </c>
    </row>
    <row r="22" spans="2:25">
      <c r="B22" s="672" t="s">
        <v>3430</v>
      </c>
      <c r="C22" s="680">
        <v>300</v>
      </c>
      <c r="E22" s="672" t="s">
        <v>3430</v>
      </c>
      <c r="F22" s="680">
        <v>60</v>
      </c>
      <c r="H22" s="672" t="s">
        <v>3430</v>
      </c>
      <c r="I22" s="680">
        <v>60</v>
      </c>
      <c r="K22" s="672" t="s">
        <v>3430</v>
      </c>
      <c r="L22" s="680">
        <v>30</v>
      </c>
      <c r="N22" s="672" t="s">
        <v>3430</v>
      </c>
      <c r="O22" s="680">
        <v>30</v>
      </c>
      <c r="Q22" s="672" t="s">
        <v>3430</v>
      </c>
      <c r="R22" s="680">
        <v>30</v>
      </c>
      <c r="T22" s="672" t="s">
        <v>3430</v>
      </c>
      <c r="U22" s="680">
        <v>60</v>
      </c>
      <c r="W22" s="672" t="s">
        <v>3430</v>
      </c>
      <c r="X22" s="680">
        <v>30</v>
      </c>
    </row>
    <row r="23" spans="2:25">
      <c r="B23" s="672" t="s">
        <v>3431</v>
      </c>
      <c r="C23" s="672">
        <f>C22*12</f>
        <v>3600</v>
      </c>
      <c r="E23" s="672" t="s">
        <v>3431</v>
      </c>
      <c r="F23" s="672">
        <f>F22*12</f>
        <v>720</v>
      </c>
      <c r="H23" s="672" t="s">
        <v>3431</v>
      </c>
      <c r="I23" s="672">
        <f>I22*12</f>
        <v>720</v>
      </c>
      <c r="K23" s="672" t="s">
        <v>3431</v>
      </c>
      <c r="L23" s="672">
        <f>L22*12</f>
        <v>360</v>
      </c>
      <c r="N23" s="672" t="s">
        <v>3431</v>
      </c>
      <c r="O23" s="672">
        <f>O22*12</f>
        <v>360</v>
      </c>
      <c r="Q23" s="672" t="s">
        <v>3431</v>
      </c>
      <c r="R23" s="672">
        <f>R22*12</f>
        <v>360</v>
      </c>
      <c r="T23" s="672" t="s">
        <v>3431</v>
      </c>
      <c r="U23" s="672">
        <f>U22*12</f>
        <v>720</v>
      </c>
      <c r="W23" s="672" t="s">
        <v>3431</v>
      </c>
      <c r="X23" s="672">
        <f>X22*12</f>
        <v>360</v>
      </c>
    </row>
    <row r="24" spans="2:25">
      <c r="B24" s="672" t="s">
        <v>3447</v>
      </c>
      <c r="C24" s="680">
        <v>2</v>
      </c>
      <c r="E24" s="672" t="s">
        <v>3447</v>
      </c>
      <c r="F24" s="680">
        <v>1</v>
      </c>
      <c r="H24" s="672" t="s">
        <v>3447</v>
      </c>
      <c r="I24" s="680">
        <v>2</v>
      </c>
      <c r="K24" s="672" t="s">
        <v>3447</v>
      </c>
      <c r="L24" s="680">
        <v>2</v>
      </c>
      <c r="N24" s="672" t="s">
        <v>3447</v>
      </c>
      <c r="O24" s="680">
        <v>1</v>
      </c>
      <c r="Q24" s="672" t="s">
        <v>3447</v>
      </c>
      <c r="R24" s="680">
        <v>1</v>
      </c>
      <c r="T24" s="672" t="s">
        <v>3447</v>
      </c>
      <c r="U24" s="680">
        <v>1</v>
      </c>
      <c r="W24" s="672" t="s">
        <v>3447</v>
      </c>
      <c r="X24" s="680">
        <v>1</v>
      </c>
    </row>
    <row r="25" spans="2:25">
      <c r="B25" s="672" t="s">
        <v>3432</v>
      </c>
      <c r="C25" s="672">
        <f>ROUNDUP(LN(C23)/LN(1/C13)+C24,0)</f>
        <v>7</v>
      </c>
      <c r="E25" s="672" t="s">
        <v>3432</v>
      </c>
      <c r="F25" s="672">
        <f>ROUNDUP(LN(F23)/LN(1/F13)+F24,0)</f>
        <v>6</v>
      </c>
      <c r="H25" s="672" t="s">
        <v>3432</v>
      </c>
      <c r="I25" s="672">
        <f>ROUNDUP(LN(I23)/LN(1/I13)+I24,0)</f>
        <v>6</v>
      </c>
      <c r="K25" s="672" t="s">
        <v>3432</v>
      </c>
      <c r="L25" s="672">
        <f>ROUNDUP(LN(L23)/LN(1/L13)+L24,0)</f>
        <v>7</v>
      </c>
      <c r="N25" s="672" t="s">
        <v>3432</v>
      </c>
      <c r="O25" s="672">
        <f>ROUNDUP(LN(O23)/LN(1/O13)+O24,0)</f>
        <v>3</v>
      </c>
      <c r="Q25" s="672" t="s">
        <v>3432</v>
      </c>
      <c r="R25" s="672">
        <f>ROUNDUP(LN(R23)/LN(1/R13)+R24,0)</f>
        <v>3</v>
      </c>
      <c r="T25" s="672" t="s">
        <v>3432</v>
      </c>
      <c r="U25" s="672">
        <f>ROUNDUP(LN(U23)/LN(1/U13)+U24,0)</f>
        <v>4</v>
      </c>
      <c r="W25" s="672" t="s">
        <v>3432</v>
      </c>
      <c r="X25" s="672">
        <f>ROUNDUP(LN(X23)/LN(1/X13)+X24,0)</f>
        <v>5</v>
      </c>
      <c r="Y25" s="672" t="s">
        <v>3439</v>
      </c>
    </row>
    <row r="26" spans="2:25" ht="13.8" thickBot="1">
      <c r="B26" s="672" t="s">
        <v>3433</v>
      </c>
      <c r="C26" s="682">
        <f>$C$3</f>
        <v>0.2</v>
      </c>
      <c r="E26" s="672" t="s">
        <v>3433</v>
      </c>
      <c r="F26" s="682">
        <f>$C$3</f>
        <v>0.2</v>
      </c>
      <c r="H26" s="672" t="s">
        <v>3433</v>
      </c>
      <c r="I26" s="682">
        <f>$C$3</f>
        <v>0.2</v>
      </c>
      <c r="K26" s="672" t="s">
        <v>3433</v>
      </c>
      <c r="L26" s="682">
        <f>$C$3</f>
        <v>0.2</v>
      </c>
      <c r="N26" s="672" t="s">
        <v>3433</v>
      </c>
      <c r="O26" s="682">
        <f>$C$3</f>
        <v>0.2</v>
      </c>
      <c r="Q26" s="672" t="s">
        <v>3433</v>
      </c>
      <c r="R26" s="682">
        <f>$C$3</f>
        <v>0.2</v>
      </c>
      <c r="T26" s="672" t="s">
        <v>3433</v>
      </c>
      <c r="U26" s="682">
        <f>$C$3</f>
        <v>0.2</v>
      </c>
      <c r="W26" s="672" t="s">
        <v>3433</v>
      </c>
      <c r="X26" s="682">
        <f>$C$3</f>
        <v>0.2</v>
      </c>
    </row>
    <row r="27" spans="2:25" ht="13.8" thickBot="1">
      <c r="B27" s="687" t="s">
        <v>3434</v>
      </c>
      <c r="C27" s="688">
        <f>1-(1-C13^C25)^C23</f>
        <v>1.4663648540536367E-2</v>
      </c>
      <c r="E27" s="687" t="s">
        <v>3434</v>
      </c>
      <c r="F27" s="688">
        <f>1-(1-F13^F25)^F23</f>
        <v>4.5035846323246198E-2</v>
      </c>
      <c r="H27" s="687" t="s">
        <v>3434</v>
      </c>
      <c r="I27" s="688">
        <f>1-(1-I13^I25)^I23</f>
        <v>8.1677578252626892E-3</v>
      </c>
      <c r="K27" s="687" t="s">
        <v>3434</v>
      </c>
      <c r="L27" s="688">
        <f>1-(1-L13^L25)^L23</f>
        <v>2.1733671832260937E-2</v>
      </c>
      <c r="N27" s="687" t="s">
        <v>3434</v>
      </c>
      <c r="O27" s="688">
        <f>1-(1-O13^O25)^O23</f>
        <v>2.8758682653705625E-3</v>
      </c>
      <c r="Q27" s="687" t="s">
        <v>3434</v>
      </c>
      <c r="R27" s="688">
        <f>1-(1-R13^R25)^R23</f>
        <v>2.8758682653705625E-3</v>
      </c>
      <c r="T27" s="687" t="s">
        <v>3434</v>
      </c>
      <c r="U27" s="688">
        <f>1-(1-U13^U25)^U23</f>
        <v>1.0582646102934801E-2</v>
      </c>
      <c r="W27" s="687" t="s">
        <v>3434</v>
      </c>
      <c r="X27" s="688">
        <f>1-(1-X13^X25)^X23</f>
        <v>2.6968222495083682E-2</v>
      </c>
      <c r="Y27" s="672" t="s">
        <v>3449</v>
      </c>
    </row>
    <row r="28" spans="2:25">
      <c r="B28" s="683" t="s">
        <v>3435</v>
      </c>
      <c r="C28" s="684">
        <f>1-(1-C26)^(1/C25)</f>
        <v>3.1374914073002635E-2</v>
      </c>
      <c r="E28" s="683" t="s">
        <v>3435</v>
      </c>
      <c r="F28" s="684">
        <f>1-(1-F26)^(1/F25)</f>
        <v>3.6507516001003881E-2</v>
      </c>
      <c r="H28" s="683" t="s">
        <v>3435</v>
      </c>
      <c r="I28" s="684">
        <f>1-(1-I26)^(1/I25)</f>
        <v>3.6507516001003881E-2</v>
      </c>
      <c r="K28" s="683" t="s">
        <v>3435</v>
      </c>
      <c r="L28" s="684">
        <f>1-(1-L26)^(1/L25)</f>
        <v>3.1374914073002635E-2</v>
      </c>
      <c r="N28" s="683" t="s">
        <v>3435</v>
      </c>
      <c r="O28" s="684">
        <f>1-(1-O26)^(1/O25)</f>
        <v>7.1682233277444163E-2</v>
      </c>
      <c r="Q28" s="683" t="s">
        <v>3435</v>
      </c>
      <c r="R28" s="684">
        <f>1-(1-R26)^(1/R25)</f>
        <v>7.1682233277444163E-2</v>
      </c>
      <c r="T28" s="683" t="s">
        <v>3435</v>
      </c>
      <c r="U28" s="684">
        <f>1-(1-U26)^(1/U25)</f>
        <v>5.4258390996824168E-2</v>
      </c>
      <c r="W28" s="683" t="s">
        <v>3424</v>
      </c>
      <c r="X28" s="684">
        <f>1-(1-X26)^(1/X25)</f>
        <v>4.3647500209962997E-2</v>
      </c>
      <c r="Y28" s="672" t="s">
        <v>3442</v>
      </c>
    </row>
    <row r="29" spans="2:25" ht="13.8" thickBot="1">
      <c r="B29" s="685" t="s">
        <v>3425</v>
      </c>
      <c r="C29" s="686">
        <f>C28*C6</f>
        <v>131.77463910661106</v>
      </c>
      <c r="E29" s="685" t="s">
        <v>3425</v>
      </c>
      <c r="F29" s="686">
        <f>F28*F6</f>
        <v>153.3315672042163</v>
      </c>
      <c r="H29" s="685" t="s">
        <v>3425</v>
      </c>
      <c r="I29" s="686">
        <f>I28*I6</f>
        <v>153.3315672042163</v>
      </c>
      <c r="K29" s="685" t="s">
        <v>3425</v>
      </c>
      <c r="L29" s="686">
        <f>L28*L6</f>
        <v>131.77463910661106</v>
      </c>
      <c r="N29" s="685" t="s">
        <v>3425</v>
      </c>
      <c r="O29" s="686">
        <f>O28*O6</f>
        <v>301.0653797652655</v>
      </c>
      <c r="Q29" s="685" t="s">
        <v>3425</v>
      </c>
      <c r="R29" s="686">
        <f>R28*R6</f>
        <v>301.0653797652655</v>
      </c>
      <c r="T29" s="685" t="s">
        <v>3425</v>
      </c>
      <c r="U29" s="686">
        <f>U28*U6</f>
        <v>227.88524218666151</v>
      </c>
      <c r="W29" s="685" t="s">
        <v>3425</v>
      </c>
      <c r="X29" s="686">
        <f>X28*X6</f>
        <v>183.31950088184459</v>
      </c>
      <c r="Y29" s="672" t="s">
        <v>3443</v>
      </c>
    </row>
    <row r="30" spans="2:25" ht="13.8" thickBot="1">
      <c r="C30" s="675"/>
      <c r="F30" s="675"/>
      <c r="I30" s="675"/>
      <c r="L30" s="675"/>
      <c r="O30" s="675"/>
      <c r="R30" s="675"/>
      <c r="U30" s="675"/>
      <c r="X30" s="675"/>
    </row>
    <row r="31" spans="2:25">
      <c r="B31" s="689" t="s">
        <v>3436</v>
      </c>
      <c r="C31" s="690">
        <f>C15*C25</f>
        <v>1.1019696969696966</v>
      </c>
      <c r="E31" s="689" t="s">
        <v>3436</v>
      </c>
      <c r="F31" s="690">
        <f>F15*F25</f>
        <v>8.7710843373493983</v>
      </c>
      <c r="H31" s="689" t="s">
        <v>3436</v>
      </c>
      <c r="I31" s="690">
        <f>I15*I25</f>
        <v>0.59347826086956468</v>
      </c>
      <c r="K31" s="689" t="s">
        <v>3436</v>
      </c>
      <c r="L31" s="690">
        <f>L15*L25</f>
        <v>3.499999999999996</v>
      </c>
      <c r="N31" s="689" t="s">
        <v>3436</v>
      </c>
      <c r="O31" s="690">
        <f>O15*O25</f>
        <v>2.1179999999999994</v>
      </c>
      <c r="Q31" s="689" t="s">
        <v>3436</v>
      </c>
      <c r="R31" s="690">
        <f>R15*R25</f>
        <v>1.8089999999999988</v>
      </c>
      <c r="T31" s="689" t="s">
        <v>3436</v>
      </c>
      <c r="U31" s="690">
        <f>U15*U25</f>
        <v>0.43836799999999876</v>
      </c>
      <c r="W31" s="689" t="s">
        <v>3436</v>
      </c>
      <c r="X31" s="690">
        <f>X15*X25</f>
        <v>0.31428571428571422</v>
      </c>
    </row>
    <row r="32" spans="2:25" ht="13.8" thickBot="1">
      <c r="B32" s="691" t="s">
        <v>3437</v>
      </c>
      <c r="C32" s="692">
        <f>C28*C25</f>
        <v>0.21962439851101845</v>
      </c>
      <c r="E32" s="691" t="s">
        <v>3437</v>
      </c>
      <c r="F32" s="692">
        <f>F28*F25</f>
        <v>0.21904509600602329</v>
      </c>
      <c r="H32" s="691" t="s">
        <v>3437</v>
      </c>
      <c r="I32" s="692">
        <f>I28*I25</f>
        <v>0.21904509600602329</v>
      </c>
      <c r="K32" s="691" t="s">
        <v>3437</v>
      </c>
      <c r="L32" s="692">
        <f>L28*L25</f>
        <v>0.21962439851101845</v>
      </c>
      <c r="N32" s="691" t="s">
        <v>3437</v>
      </c>
      <c r="O32" s="692">
        <f>O28*O25</f>
        <v>0.21504669983233249</v>
      </c>
      <c r="Q32" s="691" t="s">
        <v>3437</v>
      </c>
      <c r="R32" s="692">
        <f>R28*R25</f>
        <v>0.21504669983233249</v>
      </c>
      <c r="T32" s="691" t="s">
        <v>3437</v>
      </c>
      <c r="U32" s="692">
        <f>U28*U25</f>
        <v>0.21703356398729667</v>
      </c>
      <c r="W32" s="691" t="s">
        <v>3437</v>
      </c>
      <c r="X32" s="692">
        <f>X28*X25</f>
        <v>0.21823750104981499</v>
      </c>
    </row>
    <row r="33" spans="2:27" ht="13.8" thickBot="1"/>
    <row r="34" spans="2:27">
      <c r="B34" s="696" t="s">
        <v>3451</v>
      </c>
      <c r="C34" s="699">
        <v>120</v>
      </c>
      <c r="E34" s="696" t="s">
        <v>3451</v>
      </c>
      <c r="F34" s="699">
        <v>800</v>
      </c>
      <c r="H34" s="696" t="s">
        <v>3451</v>
      </c>
      <c r="I34" s="699">
        <v>100</v>
      </c>
      <c r="K34" s="696" t="s">
        <v>3451</v>
      </c>
      <c r="L34" s="699">
        <v>100</v>
      </c>
      <c r="N34" s="696" t="s">
        <v>3451</v>
      </c>
      <c r="O34" s="699">
        <v>400</v>
      </c>
      <c r="Q34" s="696" t="s">
        <v>3451</v>
      </c>
      <c r="R34" s="699">
        <v>400</v>
      </c>
      <c r="T34" s="696" t="s">
        <v>3451</v>
      </c>
      <c r="U34" s="699">
        <v>400</v>
      </c>
      <c r="W34" s="696" t="s">
        <v>3451</v>
      </c>
      <c r="X34" s="699">
        <v>100</v>
      </c>
    </row>
    <row r="35" spans="2:27" ht="13.8" thickBot="1">
      <c r="B35" s="697" t="s">
        <v>3452</v>
      </c>
      <c r="C35" s="698">
        <f>C34/$C$2</f>
        <v>2.8571428571428571E-2</v>
      </c>
      <c r="E35" s="697" t="s">
        <v>3452</v>
      </c>
      <c r="F35" s="698">
        <f>F34/$C$2</f>
        <v>0.19047619047619047</v>
      </c>
      <c r="H35" s="697" t="s">
        <v>3452</v>
      </c>
      <c r="I35" s="698">
        <f>I34/$C$2</f>
        <v>2.3809523809523808E-2</v>
      </c>
      <c r="K35" s="697" t="s">
        <v>3452</v>
      </c>
      <c r="L35" s="698">
        <f>L34/$C$2</f>
        <v>2.3809523809523808E-2</v>
      </c>
      <c r="N35" s="697" t="s">
        <v>3452</v>
      </c>
      <c r="O35" s="698">
        <f>O34/$C$2</f>
        <v>9.5238095238095233E-2</v>
      </c>
      <c r="Q35" s="697" t="s">
        <v>3452</v>
      </c>
      <c r="R35" s="698">
        <f>R34/$C$2</f>
        <v>9.5238095238095233E-2</v>
      </c>
      <c r="T35" s="697" t="s">
        <v>3452</v>
      </c>
      <c r="U35" s="698">
        <f>U34/$C$2</f>
        <v>9.5238095238095233E-2</v>
      </c>
      <c r="W35" s="697" t="s">
        <v>3452</v>
      </c>
      <c r="X35" s="698">
        <f>X34/$C$2</f>
        <v>2.3809523809523808E-2</v>
      </c>
    </row>
    <row r="36" spans="2:27" ht="13.8" thickBot="1"/>
    <row r="37" spans="2:27">
      <c r="B37" s="696" t="s">
        <v>3453</v>
      </c>
      <c r="C37" s="695">
        <v>20</v>
      </c>
      <c r="E37" s="696" t="s">
        <v>3453</v>
      </c>
      <c r="F37" s="695">
        <v>2</v>
      </c>
      <c r="H37" s="696" t="s">
        <v>3453</v>
      </c>
      <c r="I37" s="695">
        <v>2</v>
      </c>
      <c r="K37" s="696" t="s">
        <v>3453</v>
      </c>
      <c r="L37" s="695">
        <v>2</v>
      </c>
      <c r="N37" s="696" t="s">
        <v>3453</v>
      </c>
      <c r="O37" s="695">
        <v>0.5</v>
      </c>
      <c r="Q37" s="696" t="s">
        <v>3453</v>
      </c>
      <c r="R37" s="695">
        <v>0.5</v>
      </c>
      <c r="T37" s="696" t="s">
        <v>3453</v>
      </c>
      <c r="U37" s="695">
        <v>1</v>
      </c>
      <c r="W37" s="696" t="s">
        <v>3453</v>
      </c>
      <c r="X37" s="695">
        <v>1</v>
      </c>
    </row>
    <row r="38" spans="2:27" ht="13.8" thickBot="1">
      <c r="B38" s="697" t="s">
        <v>3454</v>
      </c>
      <c r="C38" s="700">
        <f>C37*C34</f>
        <v>2400</v>
      </c>
      <c r="E38" s="697" t="s">
        <v>3454</v>
      </c>
      <c r="F38" s="700">
        <f>F37*F34</f>
        <v>1600</v>
      </c>
      <c r="H38" s="697" t="s">
        <v>3454</v>
      </c>
      <c r="I38" s="700">
        <f>I37*I34</f>
        <v>200</v>
      </c>
      <c r="K38" s="697" t="s">
        <v>3454</v>
      </c>
      <c r="L38" s="700">
        <f>L37*L34</f>
        <v>200</v>
      </c>
      <c r="N38" s="697" t="s">
        <v>3454</v>
      </c>
      <c r="O38" s="700">
        <f>O37*O34</f>
        <v>200</v>
      </c>
      <c r="Q38" s="697" t="s">
        <v>3454</v>
      </c>
      <c r="R38" s="700">
        <f>R37*R34</f>
        <v>200</v>
      </c>
      <c r="T38" s="697" t="s">
        <v>3454</v>
      </c>
      <c r="U38" s="700">
        <f>U37*U34</f>
        <v>400</v>
      </c>
      <c r="W38" s="697" t="s">
        <v>3454</v>
      </c>
      <c r="X38" s="700">
        <f>X37*X34</f>
        <v>100</v>
      </c>
      <c r="Z38" s="675"/>
      <c r="AA38" s="701"/>
    </row>
    <row r="40" spans="2:27">
      <c r="B40" s="703" t="s">
        <v>3435</v>
      </c>
      <c r="C40" s="701">
        <f>C8/100</f>
        <v>1</v>
      </c>
      <c r="E40" s="703" t="s">
        <v>3435</v>
      </c>
      <c r="F40" s="701">
        <v>0.25</v>
      </c>
      <c r="H40" s="703" t="s">
        <v>3435</v>
      </c>
      <c r="I40" s="701">
        <f>I8/100</f>
        <v>1</v>
      </c>
      <c r="K40" s="703" t="s">
        <v>3435</v>
      </c>
      <c r="L40" s="701">
        <v>0.3</v>
      </c>
      <c r="N40" s="703" t="s">
        <v>3435</v>
      </c>
      <c r="O40" s="701">
        <v>1</v>
      </c>
      <c r="Q40" s="703" t="s">
        <v>3435</v>
      </c>
      <c r="R40" s="701">
        <v>1</v>
      </c>
      <c r="T40" s="703" t="s">
        <v>3435</v>
      </c>
      <c r="U40" s="701">
        <v>1</v>
      </c>
      <c r="W40" s="703" t="s">
        <v>3435</v>
      </c>
      <c r="X40" s="701">
        <v>1</v>
      </c>
    </row>
    <row r="41" spans="2:27">
      <c r="B41" s="703" t="s">
        <v>3432</v>
      </c>
      <c r="C41" s="672">
        <f>C25</f>
        <v>7</v>
      </c>
      <c r="E41" s="703" t="s">
        <v>3432</v>
      </c>
      <c r="F41" s="672">
        <f>F25</f>
        <v>6</v>
      </c>
      <c r="H41" s="703" t="s">
        <v>3432</v>
      </c>
      <c r="I41" s="672">
        <f>I25</f>
        <v>6</v>
      </c>
      <c r="K41" s="703" t="s">
        <v>3432</v>
      </c>
      <c r="L41" s="672">
        <f>L25</f>
        <v>7</v>
      </c>
      <c r="N41" s="703" t="s">
        <v>3432</v>
      </c>
      <c r="O41" s="672">
        <f>O25</f>
        <v>3</v>
      </c>
      <c r="Q41" s="703" t="s">
        <v>3432</v>
      </c>
      <c r="R41" s="672">
        <f>R25</f>
        <v>3</v>
      </c>
      <c r="T41" s="703" t="s">
        <v>3432</v>
      </c>
      <c r="U41" s="672">
        <f>U25</f>
        <v>4</v>
      </c>
      <c r="W41" s="703" t="s">
        <v>3432</v>
      </c>
      <c r="X41" s="672">
        <f>X25</f>
        <v>5</v>
      </c>
    </row>
    <row r="42" spans="2:27">
      <c r="B42" s="703" t="s">
        <v>3462</v>
      </c>
      <c r="C42" s="677">
        <f>$C$3</f>
        <v>0.2</v>
      </c>
      <c r="E42" s="703" t="s">
        <v>3462</v>
      </c>
      <c r="F42" s="677">
        <f>$C$3</f>
        <v>0.2</v>
      </c>
      <c r="H42" s="703" t="s">
        <v>3462</v>
      </c>
      <c r="I42" s="677">
        <f>$C$3</f>
        <v>0.2</v>
      </c>
      <c r="K42" s="703" t="s">
        <v>3462</v>
      </c>
      <c r="L42" s="677">
        <f>$C$3</f>
        <v>0.2</v>
      </c>
      <c r="N42" s="703" t="s">
        <v>3462</v>
      </c>
      <c r="O42" s="677">
        <f>$C$3</f>
        <v>0.2</v>
      </c>
      <c r="Q42" s="703" t="s">
        <v>3462</v>
      </c>
      <c r="R42" s="677">
        <f>$C$3</f>
        <v>0.2</v>
      </c>
      <c r="T42" s="703" t="s">
        <v>3462</v>
      </c>
      <c r="U42" s="677">
        <f>$C$3</f>
        <v>0.2</v>
      </c>
      <c r="W42" s="703" t="s">
        <v>3462</v>
      </c>
      <c r="X42" s="677">
        <f>$C$3</f>
        <v>0.2</v>
      </c>
    </row>
    <row r="43" spans="2:27">
      <c r="B43" s="703" t="s">
        <v>3463</v>
      </c>
      <c r="C43" s="704">
        <f>C42*$C$2</f>
        <v>840</v>
      </c>
      <c r="E43" s="703" t="s">
        <v>3463</v>
      </c>
      <c r="F43" s="704">
        <f>F42*$C$2</f>
        <v>840</v>
      </c>
      <c r="H43" s="703" t="s">
        <v>3463</v>
      </c>
      <c r="I43" s="704">
        <f>I42*$C$2</f>
        <v>840</v>
      </c>
      <c r="K43" s="703" t="s">
        <v>3463</v>
      </c>
      <c r="L43" s="704">
        <f>L42*$C$2</f>
        <v>840</v>
      </c>
      <c r="N43" s="703" t="s">
        <v>3463</v>
      </c>
      <c r="O43" s="704">
        <f>O42*$C$2</f>
        <v>840</v>
      </c>
      <c r="Q43" s="703" t="s">
        <v>3463</v>
      </c>
      <c r="R43" s="704">
        <f>R42*$C$2</f>
        <v>840</v>
      </c>
      <c r="T43" s="703" t="s">
        <v>3463</v>
      </c>
      <c r="U43" s="704">
        <f>U42*$C$2</f>
        <v>840</v>
      </c>
      <c r="W43" s="703" t="s">
        <v>3463</v>
      </c>
      <c r="X43" s="704">
        <f>X42*$C$2</f>
        <v>840</v>
      </c>
    </row>
    <row r="44" spans="2:27">
      <c r="B44" s="703" t="s">
        <v>3464</v>
      </c>
      <c r="C44" s="705">
        <f>C43/C41</f>
        <v>120</v>
      </c>
      <c r="E44" s="703" t="s">
        <v>3464</v>
      </c>
      <c r="F44" s="705">
        <f>F43/F41</f>
        <v>140</v>
      </c>
      <c r="H44" s="703" t="s">
        <v>3464</v>
      </c>
      <c r="I44" s="705">
        <f>I43/I41</f>
        <v>140</v>
      </c>
      <c r="K44" s="703" t="s">
        <v>3464</v>
      </c>
      <c r="L44" s="705">
        <f>L43/L41</f>
        <v>120</v>
      </c>
      <c r="N44" s="703" t="s">
        <v>3464</v>
      </c>
      <c r="O44" s="705">
        <f>O43/O41</f>
        <v>280</v>
      </c>
      <c r="Q44" s="703" t="s">
        <v>3464</v>
      </c>
      <c r="R44" s="705">
        <f>R43/R41</f>
        <v>280</v>
      </c>
      <c r="T44" s="703" t="s">
        <v>3464</v>
      </c>
      <c r="U44" s="705">
        <f>U43/U41</f>
        <v>210</v>
      </c>
      <c r="W44" s="703" t="s">
        <v>3464</v>
      </c>
      <c r="X44" s="705">
        <f>X43/X41</f>
        <v>168</v>
      </c>
    </row>
    <row r="45" spans="2:27">
      <c r="B45" s="703" t="s">
        <v>3465</v>
      </c>
      <c r="C45" s="675">
        <f>C44/C40</f>
        <v>120</v>
      </c>
      <c r="E45" s="703" t="s">
        <v>3465</v>
      </c>
      <c r="F45" s="675">
        <f>F44/F40</f>
        <v>560</v>
      </c>
      <c r="H45" s="703" t="s">
        <v>3465</v>
      </c>
      <c r="I45" s="675">
        <f>I44/I40</f>
        <v>140</v>
      </c>
      <c r="K45" s="703" t="s">
        <v>3465</v>
      </c>
      <c r="L45" s="675">
        <f>L44/L40</f>
        <v>400</v>
      </c>
      <c r="N45" s="703" t="s">
        <v>3465</v>
      </c>
      <c r="O45" s="675">
        <f>O44/O40</f>
        <v>280</v>
      </c>
      <c r="Q45" s="703" t="s">
        <v>3465</v>
      </c>
      <c r="R45" s="675">
        <f>R44/R40</f>
        <v>280</v>
      </c>
      <c r="T45" s="703" t="s">
        <v>3465</v>
      </c>
      <c r="U45" s="675">
        <f>U44/U40</f>
        <v>210</v>
      </c>
      <c r="W45" s="703" t="s">
        <v>3465</v>
      </c>
      <c r="X45" s="675">
        <f>X44/X40</f>
        <v>168</v>
      </c>
    </row>
    <row r="46" spans="2:27">
      <c r="B46" s="703" t="s">
        <v>3466</v>
      </c>
      <c r="C46" s="701">
        <f>C45/$C$2</f>
        <v>2.8571428571428571E-2</v>
      </c>
      <c r="E46" s="703" t="s">
        <v>3466</v>
      </c>
      <c r="F46" s="701">
        <f>F45/$C$2</f>
        <v>0.13333333333333333</v>
      </c>
      <c r="H46" s="703" t="s">
        <v>3466</v>
      </c>
      <c r="I46" s="701">
        <f>I45/$C$2</f>
        <v>3.3333333333333333E-2</v>
      </c>
      <c r="K46" s="703" t="s">
        <v>3466</v>
      </c>
      <c r="L46" s="701">
        <f>L45/$C$2</f>
        <v>9.5238095238095233E-2</v>
      </c>
      <c r="N46" s="703" t="s">
        <v>3466</v>
      </c>
      <c r="O46" s="701">
        <f>O45/$C$2</f>
        <v>6.6666666666666666E-2</v>
      </c>
      <c r="Q46" s="703" t="s">
        <v>3466</v>
      </c>
      <c r="R46" s="701">
        <f>R45/$C$2</f>
        <v>6.6666666666666666E-2</v>
      </c>
      <c r="T46" s="703" t="s">
        <v>3466</v>
      </c>
      <c r="U46" s="701">
        <f>U45/$C$2</f>
        <v>0.05</v>
      </c>
      <c r="W46" s="703" t="s">
        <v>3466</v>
      </c>
      <c r="X46" s="701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>
      <c r="O1" s="529" t="s">
        <v>2834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>
      <c r="B2" s="4" t="s">
        <v>391</v>
      </c>
      <c r="C2" s="4" t="s">
        <v>2734</v>
      </c>
      <c r="D2" s="4" t="s">
        <v>2737</v>
      </c>
      <c r="E2" s="4" t="s">
        <v>2735</v>
      </c>
      <c r="F2" s="4" t="s">
        <v>2743</v>
      </c>
      <c r="G2" s="4" t="s">
        <v>2736</v>
      </c>
      <c r="H2" s="4" t="s">
        <v>2769</v>
      </c>
      <c r="I2" s="529" t="s">
        <v>2833</v>
      </c>
      <c r="O2" s="529" t="s">
        <v>2835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>
      <c r="B3" s="500" t="s">
        <v>2749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692</v>
      </c>
      <c r="L3" s="486">
        <v>1000</v>
      </c>
      <c r="O3" s="529" t="s">
        <v>2838</v>
      </c>
      <c r="P3" s="486">
        <v>100</v>
      </c>
      <c r="Q3" s="486">
        <v>-100</v>
      </c>
      <c r="R3" s="486">
        <f t="shared" si="0"/>
        <v>0</v>
      </c>
    </row>
    <row r="4" spans="2:21" ht="15" customHeight="1">
      <c r="B4" s="487" t="s">
        <v>2703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2841</v>
      </c>
      <c r="P4" s="486">
        <v>50</v>
      </c>
      <c r="Q4" s="486">
        <v>-59</v>
      </c>
      <c r="R4" s="486">
        <f t="shared" si="0"/>
        <v>-9</v>
      </c>
    </row>
    <row r="5" spans="2:21" ht="15" customHeight="1">
      <c r="B5" s="487" t="s">
        <v>2701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2760</v>
      </c>
      <c r="L5" s="486">
        <v>3</v>
      </c>
      <c r="O5" s="536" t="s">
        <v>2842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>
      <c r="B6" s="516" t="s">
        <v>2770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2761</v>
      </c>
      <c r="L6" s="506">
        <f>L4*L3</f>
        <v>81.313466911749856</v>
      </c>
      <c r="O6" s="536" t="s">
        <v>2843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>
      <c r="B7" s="487" t="s">
        <v>2684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2762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>
      <c r="B8" s="487" t="s">
        <v>2704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2763</v>
      </c>
      <c r="L8" s="506">
        <f>L7*30</f>
        <v>7318.212022057487</v>
      </c>
      <c r="O8" s="536" t="s">
        <v>2844</v>
      </c>
      <c r="P8" s="486">
        <v>20</v>
      </c>
      <c r="Q8" s="486">
        <v>-20</v>
      </c>
      <c r="R8" s="486">
        <f t="shared" si="0"/>
        <v>0</v>
      </c>
    </row>
    <row r="9" spans="2:21" ht="15" customHeight="1">
      <c r="B9" s="500" t="s">
        <v>2748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2845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>
      <c r="B10" s="487" t="s">
        <v>2693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2846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>
      <c r="B13" s="23" t="s">
        <v>0</v>
      </c>
      <c r="C13" s="23" t="s">
        <v>2766</v>
      </c>
      <c r="D13" s="23" t="s">
        <v>2675</v>
      </c>
      <c r="E13" s="23" t="s">
        <v>2678</v>
      </c>
      <c r="F13" s="23" t="s">
        <v>2698</v>
      </c>
      <c r="G13" s="23" t="s">
        <v>2676</v>
      </c>
      <c r="H13" s="23" t="s">
        <v>2677</v>
      </c>
      <c r="I13" s="23" t="s">
        <v>2695</v>
      </c>
      <c r="J13" s="23" t="s">
        <v>2738</v>
      </c>
      <c r="K13" s="23" t="s">
        <v>2740</v>
      </c>
      <c r="L13" s="23" t="s">
        <v>2679</v>
      </c>
      <c r="M13" s="23" t="s">
        <v>2680</v>
      </c>
      <c r="N13" s="23" t="s">
        <v>2702</v>
      </c>
      <c r="O13" s="23" t="s">
        <v>2739</v>
      </c>
      <c r="P13" s="23" t="s">
        <v>2741</v>
      </c>
      <c r="Q13" s="23" t="s">
        <v>1805</v>
      </c>
      <c r="R13" s="23" t="s">
        <v>2774</v>
      </c>
      <c r="S13" s="512" t="s">
        <v>2765</v>
      </c>
      <c r="T13" s="23" t="s">
        <v>2742</v>
      </c>
      <c r="U13" s="23" t="s">
        <v>1808</v>
      </c>
    </row>
    <row r="14" spans="2:21" ht="15" hidden="1" customHeight="1">
      <c r="B14" s="488">
        <v>46161</v>
      </c>
      <c r="C14" s="488"/>
      <c r="D14" s="487" t="s">
        <v>2691</v>
      </c>
      <c r="E14" s="487" t="s">
        <v>2692</v>
      </c>
      <c r="F14" s="487" t="s">
        <v>2700</v>
      </c>
      <c r="G14" s="487" t="s">
        <v>2693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2704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2694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88">
        <v>46161</v>
      </c>
      <c r="C15" s="488"/>
      <c r="D15" s="487" t="s">
        <v>2696</v>
      </c>
      <c r="E15" s="487" t="s">
        <v>2697</v>
      </c>
      <c r="F15" s="487" t="s">
        <v>2699</v>
      </c>
      <c r="G15" s="487" t="s">
        <v>2693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2710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88">
        <v>46161</v>
      </c>
      <c r="C16" s="488"/>
      <c r="D16" s="487" t="s">
        <v>2705</v>
      </c>
      <c r="E16" s="487" t="s">
        <v>2706</v>
      </c>
      <c r="F16" s="487" t="s">
        <v>2700</v>
      </c>
      <c r="G16" s="487" t="s">
        <v>2684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2693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2707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88">
        <v>46162</v>
      </c>
      <c r="C17" s="514">
        <v>0.54166666666666663</v>
      </c>
      <c r="D17" s="487" t="s">
        <v>2689</v>
      </c>
      <c r="E17" s="487" t="s">
        <v>2690</v>
      </c>
      <c r="F17" s="487" t="s">
        <v>2700</v>
      </c>
      <c r="G17" s="487" t="s">
        <v>2684</v>
      </c>
      <c r="H17" s="489">
        <v>3.3</v>
      </c>
      <c r="I17" s="489">
        <v>142</v>
      </c>
      <c r="J17" s="503" t="s">
        <v>2759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2701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2688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88">
        <v>46162</v>
      </c>
      <c r="C18" s="514">
        <v>0.54166666666666663</v>
      </c>
      <c r="D18" s="487" t="s">
        <v>2708</v>
      </c>
      <c r="E18" s="487" t="s">
        <v>2709</v>
      </c>
      <c r="F18" s="487" t="s">
        <v>2699</v>
      </c>
      <c r="G18" s="487" t="s">
        <v>2701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2682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88">
        <v>46162</v>
      </c>
      <c r="C19" s="514">
        <v>0.57291666666666663</v>
      </c>
      <c r="D19" s="487" t="s">
        <v>1448</v>
      </c>
      <c r="E19" s="487" t="s">
        <v>2681</v>
      </c>
      <c r="F19" s="487" t="s">
        <v>2700</v>
      </c>
      <c r="G19" s="487" t="s">
        <v>2684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2701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2682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88">
        <v>46162</v>
      </c>
      <c r="C20" s="514">
        <v>0.57291666666666663</v>
      </c>
      <c r="D20" s="487" t="s">
        <v>1448</v>
      </c>
      <c r="E20" s="487" t="s">
        <v>2681</v>
      </c>
      <c r="F20" s="487" t="s">
        <v>2699</v>
      </c>
      <c r="G20" s="487" t="s">
        <v>2704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2688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99">
        <v>46162</v>
      </c>
      <c r="C21" s="513">
        <v>0.625</v>
      </c>
      <c r="D21" s="500" t="s">
        <v>2750</v>
      </c>
      <c r="E21" s="500" t="s">
        <v>2751</v>
      </c>
      <c r="F21" s="487" t="s">
        <v>2700</v>
      </c>
      <c r="G21" s="500" t="s">
        <v>2749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2701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2694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99">
        <v>46162</v>
      </c>
      <c r="C22" s="513">
        <v>0.79166666666666663</v>
      </c>
      <c r="D22" s="500" t="s">
        <v>2752</v>
      </c>
      <c r="E22" s="500" t="s">
        <v>2753</v>
      </c>
      <c r="F22" s="487" t="s">
        <v>2700</v>
      </c>
      <c r="G22" s="500" t="s">
        <v>2704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2749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2733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99">
        <v>46162</v>
      </c>
      <c r="C23" s="513">
        <v>0.79166666666666663</v>
      </c>
      <c r="D23" s="500" t="s">
        <v>2754</v>
      </c>
      <c r="E23" s="500" t="s">
        <v>2732</v>
      </c>
      <c r="F23" s="487" t="s">
        <v>2700</v>
      </c>
      <c r="G23" s="500" t="s">
        <v>2693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2701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2707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88">
        <v>46162</v>
      </c>
      <c r="C24" s="513">
        <v>0.79166666666666663</v>
      </c>
      <c r="D24" s="487" t="s">
        <v>2731</v>
      </c>
      <c r="E24" s="487" t="s">
        <v>2732</v>
      </c>
      <c r="F24" s="487" t="s">
        <v>2700</v>
      </c>
      <c r="G24" s="487" t="s">
        <v>2701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2693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2733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99">
        <v>46162</v>
      </c>
      <c r="C25" s="513">
        <v>0.875</v>
      </c>
      <c r="D25" s="500" t="s">
        <v>2745</v>
      </c>
      <c r="E25" s="500" t="s">
        <v>2746</v>
      </c>
      <c r="F25" s="500" t="s">
        <v>2699</v>
      </c>
      <c r="G25" s="500" t="s">
        <v>2701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2688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99">
        <v>46162</v>
      </c>
      <c r="C26" s="513">
        <v>0.89583333333333337</v>
      </c>
      <c r="D26" s="500" t="s">
        <v>2755</v>
      </c>
      <c r="E26" s="500" t="s">
        <v>2756</v>
      </c>
      <c r="F26" s="487" t="s">
        <v>2700</v>
      </c>
      <c r="G26" s="500" t="s">
        <v>2693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2703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2733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99">
        <v>46162</v>
      </c>
      <c r="C27" s="513">
        <v>0.95833333333333337</v>
      </c>
      <c r="D27" s="508" t="s">
        <v>2764</v>
      </c>
      <c r="E27" s="500" t="s">
        <v>2744</v>
      </c>
      <c r="F27" s="487" t="s">
        <v>2700</v>
      </c>
      <c r="G27" s="487" t="s">
        <v>2684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2693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2707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507">
        <v>46162</v>
      </c>
      <c r="C28" s="513">
        <v>0.95833333333333337</v>
      </c>
      <c r="D28" s="508" t="s">
        <v>2764</v>
      </c>
      <c r="E28" s="508" t="s">
        <v>2744</v>
      </c>
      <c r="F28" s="487" t="s">
        <v>2700</v>
      </c>
      <c r="G28" s="508" t="s">
        <v>2693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2684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2694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99">
        <v>46162</v>
      </c>
      <c r="C29" s="499"/>
      <c r="D29" s="500"/>
      <c r="E29" s="500"/>
      <c r="F29" s="500" t="s">
        <v>2699</v>
      </c>
      <c r="G29" s="487" t="s">
        <v>2684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2747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99">
        <v>46162</v>
      </c>
      <c r="C30" s="499"/>
      <c r="D30" s="500"/>
      <c r="E30" s="500"/>
      <c r="F30" s="500" t="s">
        <v>2699</v>
      </c>
      <c r="G30" s="487" t="s">
        <v>2693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2747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99">
        <v>46163</v>
      </c>
      <c r="C31" s="513">
        <v>0.5</v>
      </c>
      <c r="D31" s="500" t="s">
        <v>2757</v>
      </c>
      <c r="E31" s="500" t="s">
        <v>2758</v>
      </c>
      <c r="F31" s="487" t="s">
        <v>2700</v>
      </c>
      <c r="G31" s="500" t="s">
        <v>2693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2704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2682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507">
        <v>46163</v>
      </c>
      <c r="C32" s="517">
        <v>0.625</v>
      </c>
      <c r="D32" s="508" t="s">
        <v>2823</v>
      </c>
      <c r="E32" s="508" t="s">
        <v>2824</v>
      </c>
      <c r="F32" s="487" t="s">
        <v>2700</v>
      </c>
      <c r="G32" s="508" t="s">
        <v>2701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2693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2694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507">
        <v>46163</v>
      </c>
      <c r="C33" s="517">
        <v>0.625</v>
      </c>
      <c r="D33" s="508" t="s">
        <v>2827</v>
      </c>
      <c r="E33" s="508" t="s">
        <v>2828</v>
      </c>
      <c r="F33" s="487" t="s">
        <v>2700</v>
      </c>
      <c r="G33" s="508" t="s">
        <v>2701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2693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2694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519">
        <v>46163</v>
      </c>
      <c r="C34" s="522">
        <v>0.64583333333333337</v>
      </c>
      <c r="D34" s="516" t="s">
        <v>2771</v>
      </c>
      <c r="E34" s="516" t="s">
        <v>2772</v>
      </c>
      <c r="F34" s="487" t="s">
        <v>2700</v>
      </c>
      <c r="G34" s="516" t="s">
        <v>2770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2704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2773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507">
        <v>46163</v>
      </c>
      <c r="C35" s="517">
        <v>0.79166666666666663</v>
      </c>
      <c r="D35" s="508" t="s">
        <v>2767</v>
      </c>
      <c r="E35" s="508" t="s">
        <v>2768</v>
      </c>
      <c r="F35" s="487" t="s">
        <v>2700</v>
      </c>
      <c r="G35" s="508" t="s">
        <v>2704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2693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2733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507">
        <v>46163</v>
      </c>
      <c r="C36" s="517">
        <v>0.875</v>
      </c>
      <c r="D36" s="508" t="s">
        <v>2829</v>
      </c>
      <c r="E36" s="508" t="s">
        <v>2830</v>
      </c>
      <c r="F36" s="487" t="s">
        <v>2700</v>
      </c>
      <c r="G36" s="508" t="s">
        <v>2701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2703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2694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507">
        <v>46163</v>
      </c>
      <c r="C37" s="507"/>
      <c r="D37" s="508"/>
      <c r="E37" s="508"/>
      <c r="F37" s="508" t="s">
        <v>2699</v>
      </c>
      <c r="G37" s="508" t="s">
        <v>2701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2747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507">
        <v>46163</v>
      </c>
      <c r="C38" s="507"/>
      <c r="D38" s="508"/>
      <c r="E38" s="508"/>
      <c r="F38" s="508" t="s">
        <v>2699</v>
      </c>
      <c r="G38" s="508" t="s">
        <v>2693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2747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507">
        <v>46163</v>
      </c>
      <c r="C39" s="507"/>
      <c r="D39" s="508"/>
      <c r="E39" s="508"/>
      <c r="F39" s="508" t="s">
        <v>2699</v>
      </c>
      <c r="G39" s="508" t="s">
        <v>2704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2747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507">
        <v>46163</v>
      </c>
      <c r="C40" s="507"/>
      <c r="D40" s="508"/>
      <c r="E40" s="508"/>
      <c r="F40" s="508" t="s">
        <v>2699</v>
      </c>
      <c r="G40" s="508" t="s">
        <v>2693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2747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507">
        <v>46163</v>
      </c>
      <c r="C41" s="507"/>
      <c r="D41" s="508"/>
      <c r="E41" s="508"/>
      <c r="F41" s="508" t="s">
        <v>2699</v>
      </c>
      <c r="G41" s="508" t="s">
        <v>2701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2747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507">
        <v>46164</v>
      </c>
      <c r="C42" s="517">
        <v>0.52083333333333337</v>
      </c>
      <c r="D42" s="508" t="s">
        <v>2836</v>
      </c>
      <c r="E42" s="508" t="s">
        <v>2837</v>
      </c>
      <c r="F42" s="487" t="s">
        <v>2700</v>
      </c>
      <c r="G42" s="508" t="s">
        <v>2835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2834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507">
        <v>46164</v>
      </c>
      <c r="C43" s="517">
        <v>0.61458333333333337</v>
      </c>
      <c r="D43" s="508" t="s">
        <v>1237</v>
      </c>
      <c r="E43" s="508" t="s">
        <v>2825</v>
      </c>
      <c r="F43" s="487" t="s">
        <v>2700</v>
      </c>
      <c r="G43" s="508" t="s">
        <v>2704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2701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2773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507">
        <v>46164</v>
      </c>
      <c r="C44" s="507"/>
      <c r="D44" s="508"/>
      <c r="E44" s="508"/>
      <c r="F44" s="508" t="s">
        <v>2699</v>
      </c>
      <c r="G44" s="508" t="s">
        <v>2693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2747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507">
        <v>46164</v>
      </c>
      <c r="C45" s="507"/>
      <c r="D45" s="508"/>
      <c r="E45" s="508"/>
      <c r="F45" s="508" t="s">
        <v>2699</v>
      </c>
      <c r="G45" s="508" t="s">
        <v>2701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2747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507">
        <v>46164</v>
      </c>
      <c r="C46" s="507"/>
      <c r="D46" s="508"/>
      <c r="E46" s="508"/>
      <c r="F46" s="508" t="s">
        <v>2699</v>
      </c>
      <c r="G46" s="508" t="s">
        <v>2704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2747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507">
        <v>46164</v>
      </c>
      <c r="C47" s="507"/>
      <c r="D47" s="508"/>
      <c r="E47" s="508"/>
      <c r="F47" s="508" t="s">
        <v>2699</v>
      </c>
      <c r="G47" s="487" t="s">
        <v>2684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2747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507">
        <v>46164</v>
      </c>
      <c r="C48" s="507"/>
      <c r="D48" s="508"/>
      <c r="E48" s="508"/>
      <c r="F48" s="508" t="s">
        <v>2699</v>
      </c>
      <c r="G48" s="508" t="s">
        <v>2834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2834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507">
        <v>46165</v>
      </c>
      <c r="C49" s="517">
        <v>0.52083333333333337</v>
      </c>
      <c r="D49" s="508" t="s">
        <v>2231</v>
      </c>
      <c r="E49" s="508" t="s">
        <v>2822</v>
      </c>
      <c r="F49" s="487" t="s">
        <v>2700</v>
      </c>
      <c r="G49" s="508" t="s">
        <v>2693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2684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2682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507">
        <v>46165</v>
      </c>
      <c r="C50" s="517">
        <v>0.54166666666666663</v>
      </c>
      <c r="D50" s="508" t="s">
        <v>2826</v>
      </c>
      <c r="E50" s="508" t="s">
        <v>1574</v>
      </c>
      <c r="F50" s="487" t="s">
        <v>2700</v>
      </c>
      <c r="G50" s="508" t="s">
        <v>2748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2701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2773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88">
        <v>46165</v>
      </c>
      <c r="C51" s="514">
        <v>0.66666666666666663</v>
      </c>
      <c r="D51" s="487" t="s">
        <v>2686</v>
      </c>
      <c r="E51" s="487" t="s">
        <v>2687</v>
      </c>
      <c r="F51" s="487" t="s">
        <v>2700</v>
      </c>
      <c r="G51" s="487" t="s">
        <v>2684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2701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2682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507">
        <v>46165</v>
      </c>
      <c r="C52" s="517">
        <v>0.66666666666666663</v>
      </c>
      <c r="D52" s="508" t="s">
        <v>2831</v>
      </c>
      <c r="E52" s="508" t="s">
        <v>2832</v>
      </c>
      <c r="F52" s="487" t="s">
        <v>2700</v>
      </c>
      <c r="G52" s="487" t="s">
        <v>2684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2704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2682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88">
        <v>46166</v>
      </c>
      <c r="C53" s="514">
        <v>0.54166666666666663</v>
      </c>
      <c r="D53" s="487" t="s">
        <v>2683</v>
      </c>
      <c r="E53" s="487" t="s">
        <v>2685</v>
      </c>
      <c r="F53" s="487" t="s">
        <v>2700</v>
      </c>
      <c r="G53" s="487" t="s">
        <v>2684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2703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2682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530">
        <v>46164</v>
      </c>
      <c r="C54" s="530"/>
      <c r="D54" s="531" t="s">
        <v>1282</v>
      </c>
      <c r="E54" s="531" t="s">
        <v>2840</v>
      </c>
      <c r="F54" s="532" t="s">
        <v>2700</v>
      </c>
      <c r="G54" s="531" t="s">
        <v>2704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2701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2839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4">
        <v>46029</v>
      </c>
      <c r="C42" s="89" t="s">
        <v>459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505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506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9">
        <v>46036</v>
      </c>
      <c r="C45" s="118" t="s">
        <v>517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>
      <c r="B46" s="119">
        <v>46036</v>
      </c>
      <c r="C46" s="118" t="s">
        <v>518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292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>
      <c r="B2" s="68" t="s">
        <v>263</v>
      </c>
      <c r="C2" s="69">
        <v>100</v>
      </c>
    </row>
    <row r="3" spans="2:17" ht="15" customHeight="1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50" t="s">
        <v>266</v>
      </c>
      <c r="H19" s="1251" t="s">
        <v>265</v>
      </c>
      <c r="I19" s="1251" t="s">
        <v>284</v>
      </c>
      <c r="J19" s="1251" t="s">
        <v>285</v>
      </c>
      <c r="K19" s="74"/>
      <c r="N19"/>
      <c r="O19"/>
    </row>
    <row r="20" spans="2:22" ht="15" customHeight="1">
      <c r="B20" s="70">
        <v>45844</v>
      </c>
      <c r="C20" s="71">
        <v>7.8</v>
      </c>
      <c r="D20" s="69">
        <v>0</v>
      </c>
      <c r="E20" s="71">
        <f t="shared" si="0"/>
        <v>-100</v>
      </c>
      <c r="G20" s="1265" t="s">
        <v>268</v>
      </c>
      <c r="H20" s="1253">
        <v>-52.467278333620868</v>
      </c>
      <c r="I20" s="1257">
        <v>20</v>
      </c>
      <c r="J20" s="1257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>
      <c r="B21" s="70">
        <v>45844</v>
      </c>
      <c r="C21" s="71">
        <v>13.5</v>
      </c>
      <c r="D21" s="69">
        <v>1</v>
      </c>
      <c r="E21" s="71">
        <f t="shared" si="0"/>
        <v>7.64</v>
      </c>
      <c r="G21" s="1265" t="s">
        <v>269</v>
      </c>
      <c r="H21" s="1253">
        <v>275.67452414820855</v>
      </c>
      <c r="I21" s="1257">
        <v>83</v>
      </c>
      <c r="J21" s="1257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50" t="s">
        <v>265</v>
      </c>
      <c r="O21" s="1250" t="s">
        <v>500</v>
      </c>
      <c r="P21" s="1251"/>
      <c r="Q21" s="1251"/>
      <c r="R21" s="1251"/>
      <c r="S21" s="1251"/>
      <c r="T21" s="1251"/>
      <c r="U21" s="1251"/>
      <c r="V21" s="1251"/>
    </row>
    <row r="22" spans="2:22" ht="15" customHeight="1">
      <c r="B22" s="70">
        <v>45844</v>
      </c>
      <c r="C22" s="71">
        <v>9</v>
      </c>
      <c r="D22" s="69">
        <v>1</v>
      </c>
      <c r="E22" s="71">
        <f t="shared" si="0"/>
        <v>11.9375</v>
      </c>
      <c r="G22" s="1265" t="s">
        <v>270</v>
      </c>
      <c r="H22" s="1253">
        <v>-391.06425014057629</v>
      </c>
      <c r="I22" s="1257">
        <v>112</v>
      </c>
      <c r="J22" s="1257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50" t="s">
        <v>266</v>
      </c>
      <c r="O22" s="1266" t="s">
        <v>499</v>
      </c>
      <c r="P22" s="1266" t="s">
        <v>618</v>
      </c>
      <c r="Q22" s="1266" t="s">
        <v>501</v>
      </c>
      <c r="R22" s="1266" t="s">
        <v>502</v>
      </c>
      <c r="S22" s="1266" t="s">
        <v>503</v>
      </c>
      <c r="T22" s="1266" t="s">
        <v>504</v>
      </c>
      <c r="U22" s="1266" t="s">
        <v>452</v>
      </c>
      <c r="V22" s="1266" t="s">
        <v>267</v>
      </c>
    </row>
    <row r="23" spans="2:22" ht="15" customHeight="1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265" t="s">
        <v>271</v>
      </c>
      <c r="H23" s="1253">
        <v>51.842105263157933</v>
      </c>
      <c r="I23" s="1257">
        <v>37</v>
      </c>
      <c r="J23" s="1257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265" t="s">
        <v>268</v>
      </c>
      <c r="O23" s="1253"/>
      <c r="P23" s="1253">
        <v>-142.97237076648844</v>
      </c>
      <c r="Q23" s="1253">
        <v>43.435689616755795</v>
      </c>
      <c r="R23" s="1253">
        <v>45.2761485826002</v>
      </c>
      <c r="S23" s="1253">
        <v>-56.564310383244205</v>
      </c>
      <c r="T23" s="1253">
        <v>14.921875</v>
      </c>
      <c r="U23" s="1253">
        <v>43.435689616755795</v>
      </c>
      <c r="V23" s="1253">
        <v>-52.467278333620854</v>
      </c>
    </row>
    <row r="24" spans="2:22" ht="15" customHeight="1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265" t="s">
        <v>272</v>
      </c>
      <c r="H24" s="1253">
        <v>50.261904761904809</v>
      </c>
      <c r="I24" s="1257">
        <v>64</v>
      </c>
      <c r="J24" s="1257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265" t="s">
        <v>269</v>
      </c>
      <c r="O24" s="1253">
        <v>-110.26575794996847</v>
      </c>
      <c r="P24" s="1253">
        <v>141.03511529169424</v>
      </c>
      <c r="Q24" s="1253">
        <v>68.432749406433629</v>
      </c>
      <c r="R24" s="1253">
        <v>-131.41680778522883</v>
      </c>
      <c r="S24" s="1253">
        <v>100.59743194611615</v>
      </c>
      <c r="T24" s="1253">
        <v>26.40824275692697</v>
      </c>
      <c r="U24" s="1253">
        <v>180.88355048223468</v>
      </c>
      <c r="V24" s="1253">
        <v>275.67452414820838</v>
      </c>
    </row>
    <row r="25" spans="2:22" ht="15" customHeight="1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265" t="s">
        <v>273</v>
      </c>
      <c r="H25" s="1253">
        <v>-340.99604743083029</v>
      </c>
      <c r="I25" s="1257">
        <v>62</v>
      </c>
      <c r="J25" s="1257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265" t="s">
        <v>270</v>
      </c>
      <c r="O25" s="1253">
        <v>-140.18740868698325</v>
      </c>
      <c r="P25" s="1253">
        <v>82.932214741205101</v>
      </c>
      <c r="Q25" s="1253">
        <v>151.0094950190668</v>
      </c>
      <c r="R25" s="1253">
        <v>62.907231653296606</v>
      </c>
      <c r="S25" s="1253">
        <v>12.50878231713455</v>
      </c>
      <c r="T25" s="1253">
        <v>-264.28714567480165</v>
      </c>
      <c r="U25" s="1253">
        <v>-295.94741950949413</v>
      </c>
      <c r="V25" s="1253">
        <v>-391.06425014057595</v>
      </c>
    </row>
    <row r="26" spans="2:22" ht="15" customHeight="1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265" t="s">
        <v>274</v>
      </c>
      <c r="H26" s="1253">
        <v>97.279999999999987</v>
      </c>
      <c r="I26" s="1257">
        <v>54</v>
      </c>
      <c r="J26" s="1257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265" t="s">
        <v>271</v>
      </c>
      <c r="O26" s="1253">
        <v>31.274853801169591</v>
      </c>
      <c r="P26" s="1253">
        <v>-59.78947368421052</v>
      </c>
      <c r="Q26" s="1253">
        <v>93.266081871345037</v>
      </c>
      <c r="R26" s="1253">
        <v>62.549707602339183</v>
      </c>
      <c r="S26" s="1253">
        <v>31.274853801169591</v>
      </c>
      <c r="T26" s="1253">
        <v>-47.502923976608173</v>
      </c>
      <c r="U26" s="1253">
        <v>-59.230994152046776</v>
      </c>
      <c r="V26" s="1253">
        <v>51.842105263157919</v>
      </c>
    </row>
    <row r="27" spans="2:22" ht="15" customHeight="1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265" t="s">
        <v>275</v>
      </c>
      <c r="H27" s="1253">
        <v>-190.77065527065528</v>
      </c>
      <c r="I27" s="1257">
        <v>33</v>
      </c>
      <c r="J27" s="1257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265" t="s">
        <v>272</v>
      </c>
      <c r="O27" s="1253">
        <v>56.390476190476178</v>
      </c>
      <c r="P27" s="1253">
        <v>45.930952380952377</v>
      </c>
      <c r="Q27" s="1253">
        <v>12.326190476190467</v>
      </c>
      <c r="R27" s="1253">
        <v>-116.77857142857144</v>
      </c>
      <c r="S27" s="1253">
        <v>-135.42380952380952</v>
      </c>
      <c r="T27" s="1253">
        <v>103.68571428571427</v>
      </c>
      <c r="U27" s="1253">
        <v>84.13095238095238</v>
      </c>
      <c r="V27" s="1253">
        <v>50.261904761904688</v>
      </c>
    </row>
    <row r="28" spans="2:22" ht="15" customHeight="1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265" t="s">
        <v>276</v>
      </c>
      <c r="H28" s="1253">
        <v>-58.66256157635469</v>
      </c>
      <c r="I28" s="1257">
        <v>39</v>
      </c>
      <c r="J28" s="1257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265" t="s">
        <v>273</v>
      </c>
      <c r="O28" s="1253">
        <v>-40.359683794466413</v>
      </c>
      <c r="P28" s="1253">
        <v>-239.9822134387351</v>
      </c>
      <c r="Q28" s="1253">
        <v>-157.72332015810275</v>
      </c>
      <c r="R28" s="1253">
        <v>-23.373517786561266</v>
      </c>
      <c r="S28" s="1253">
        <v>76.249011857707501</v>
      </c>
      <c r="T28" s="1253">
        <v>76.249011857707501</v>
      </c>
      <c r="U28" s="1253">
        <v>-32.055335968379445</v>
      </c>
      <c r="V28" s="1253">
        <v>-340.99604743082995</v>
      </c>
    </row>
    <row r="29" spans="2:22" ht="15" customHeight="1">
      <c r="B29" s="70">
        <v>45846</v>
      </c>
      <c r="C29" s="71">
        <v>10</v>
      </c>
      <c r="D29" s="69">
        <v>0</v>
      </c>
      <c r="E29" s="71">
        <f t="shared" si="0"/>
        <v>-100</v>
      </c>
      <c r="G29" s="1265" t="s">
        <v>277</v>
      </c>
      <c r="H29" s="1253">
        <v>5.7688172043010475</v>
      </c>
      <c r="I29" s="1257">
        <v>18</v>
      </c>
      <c r="J29" s="1257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265" t="s">
        <v>274</v>
      </c>
      <c r="O29" s="1253">
        <v>38.518333333333331</v>
      </c>
      <c r="P29" s="1253">
        <v>100.91166666666666</v>
      </c>
      <c r="Q29" s="1253">
        <v>-21.371666666666655</v>
      </c>
      <c r="R29" s="1253">
        <v>-69.12166666666667</v>
      </c>
      <c r="S29" s="1253">
        <v>54.435000000000002</v>
      </c>
      <c r="T29" s="1253">
        <v>-45.24666666666667</v>
      </c>
      <c r="U29" s="1253">
        <v>39.155000000000001</v>
      </c>
      <c r="V29" s="1253">
        <v>97.280000000000015</v>
      </c>
    </row>
    <row r="30" spans="2:22" ht="15" customHeight="1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265" t="s">
        <v>278</v>
      </c>
      <c r="H30" s="1253">
        <v>-164.52746212121215</v>
      </c>
      <c r="I30" s="1257">
        <v>26</v>
      </c>
      <c r="J30" s="1257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265" t="s">
        <v>275</v>
      </c>
      <c r="O30" s="1253">
        <v>43.260683760683754</v>
      </c>
      <c r="P30" s="1253">
        <v>29.384615384615383</v>
      </c>
      <c r="Q30" s="1253">
        <v>-35.245014245014247</v>
      </c>
      <c r="R30" s="1253">
        <v>-192.92592592592592</v>
      </c>
      <c r="S30" s="1253">
        <v>28.840455840455839</v>
      </c>
      <c r="T30" s="1253">
        <v>-85.851851851851848</v>
      </c>
      <c r="U30" s="1253">
        <v>21.766381766381766</v>
      </c>
      <c r="V30" s="1253">
        <v>-190.77065527065531</v>
      </c>
    </row>
    <row r="31" spans="2:22" ht="15" customHeight="1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265" t="s">
        <v>279</v>
      </c>
      <c r="H31" s="1253">
        <v>4.9697478991596569</v>
      </c>
      <c r="I31" s="1257">
        <v>20</v>
      </c>
      <c r="J31" s="1257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265" t="s">
        <v>276</v>
      </c>
      <c r="O31" s="1253">
        <v>33.166256157635466</v>
      </c>
      <c r="P31" s="1253">
        <v>-53.190886699507402</v>
      </c>
      <c r="Q31" s="1253">
        <v>46.809113300492605</v>
      </c>
      <c r="R31" s="1253">
        <v>60.687192118226591</v>
      </c>
      <c r="S31" s="1253">
        <v>13.407635467980295</v>
      </c>
      <c r="T31" s="1253">
        <v>-66.363300492610833</v>
      </c>
      <c r="U31" s="1253">
        <v>-93.178571428571431</v>
      </c>
      <c r="V31" s="1253">
        <v>-58.662561576354705</v>
      </c>
    </row>
    <row r="32" spans="2:22" ht="15" customHeight="1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265" t="s">
        <v>280</v>
      </c>
      <c r="H32" s="1253">
        <v>57.500750750750754</v>
      </c>
      <c r="I32" s="1257">
        <v>11</v>
      </c>
      <c r="J32" s="1257">
        <v>11</v>
      </c>
      <c r="K32" s="76">
        <f t="shared" si="1"/>
        <v>1</v>
      </c>
      <c r="N32" s="1265" t="s">
        <v>277</v>
      </c>
      <c r="O32" s="1253">
        <v>18.483870967741932</v>
      </c>
      <c r="P32" s="1253"/>
      <c r="Q32" s="1253">
        <v>37.58387096774193</v>
      </c>
      <c r="R32" s="1253">
        <v>6.1612903225806441</v>
      </c>
      <c r="S32" s="1253">
        <v>12.322580645161288</v>
      </c>
      <c r="T32" s="1253">
        <v>-74.944086021505399</v>
      </c>
      <c r="U32" s="1253">
        <v>6.1612903225806441</v>
      </c>
      <c r="V32" s="1253">
        <v>5.7688172043010333</v>
      </c>
    </row>
    <row r="33" spans="2:22" ht="15" customHeight="1">
      <c r="B33" s="70">
        <v>45847</v>
      </c>
      <c r="C33" s="71">
        <v>13.5</v>
      </c>
      <c r="D33" s="69">
        <v>1</v>
      </c>
      <c r="E33" s="71">
        <f t="shared" si="0"/>
        <v>7.64</v>
      </c>
      <c r="G33" s="1265" t="s">
        <v>281</v>
      </c>
      <c r="H33" s="1253">
        <v>-59.78947368421052</v>
      </c>
      <c r="I33" s="1257">
        <v>9</v>
      </c>
      <c r="J33" s="1257">
        <v>8</v>
      </c>
      <c r="K33" s="76">
        <f t="shared" si="1"/>
        <v>0.88888888888888884</v>
      </c>
      <c r="N33" s="1265" t="s">
        <v>278</v>
      </c>
      <c r="O33" s="1253">
        <v>35.269886363636367</v>
      </c>
      <c r="P33" s="1253">
        <v>-182.27462121212122</v>
      </c>
      <c r="Q33" s="1253">
        <v>11.575757575757574</v>
      </c>
      <c r="R33" s="1253">
        <v>-82.455492424242436</v>
      </c>
      <c r="S33" s="1253">
        <v>17.725378787878789</v>
      </c>
      <c r="T33" s="1253">
        <v>11.756628787878787</v>
      </c>
      <c r="U33" s="1253">
        <v>23.875</v>
      </c>
      <c r="V33" s="1253">
        <v>-164.52746212121215</v>
      </c>
    </row>
    <row r="34" spans="2:22" ht="15" customHeight="1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265" t="s">
        <v>282</v>
      </c>
      <c r="H34" s="1253">
        <v>33.424999999999997</v>
      </c>
      <c r="I34" s="1257">
        <v>7</v>
      </c>
      <c r="J34" s="1257">
        <v>7</v>
      </c>
      <c r="K34" s="76">
        <f t="shared" si="1"/>
        <v>1</v>
      </c>
      <c r="N34" s="1265" t="s">
        <v>279</v>
      </c>
      <c r="O34" s="1253">
        <v>10.914285714285715</v>
      </c>
      <c r="P34" s="1253">
        <v>22.310084033613446</v>
      </c>
      <c r="Q34" s="1253">
        <v>21.989075630252103</v>
      </c>
      <c r="R34" s="1253">
        <v>11.074789915966388</v>
      </c>
      <c r="S34" s="1253">
        <v>16.692436974789917</v>
      </c>
      <c r="T34" s="1253">
        <v>5.4571428571428573</v>
      </c>
      <c r="U34" s="1253">
        <v>-83.468067226890753</v>
      </c>
      <c r="V34" s="1253">
        <v>4.9697478991596711</v>
      </c>
    </row>
    <row r="35" spans="2:22" ht="15" customHeight="1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265" t="s">
        <v>283</v>
      </c>
      <c r="H35" s="1253">
        <v>72.348484848484873</v>
      </c>
      <c r="I35" s="1257">
        <v>16</v>
      </c>
      <c r="J35" s="1257">
        <v>16</v>
      </c>
      <c r="K35" s="76">
        <f t="shared" si="1"/>
        <v>1</v>
      </c>
      <c r="N35" s="1265" t="s">
        <v>280</v>
      </c>
      <c r="O35" s="1253">
        <v>5.1621621621621614</v>
      </c>
      <c r="P35" s="1253">
        <v>5.3055555555555554</v>
      </c>
      <c r="Q35" s="1253">
        <v>25.954204204204203</v>
      </c>
      <c r="R35" s="1253"/>
      <c r="S35" s="1253"/>
      <c r="T35" s="1253">
        <v>5.1621621621621614</v>
      </c>
      <c r="U35" s="1253">
        <v>15.916666666666666</v>
      </c>
      <c r="V35" s="1253">
        <v>57.500750750750747</v>
      </c>
    </row>
    <row r="36" spans="2:22" ht="15" customHeight="1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265" t="s">
        <v>286</v>
      </c>
      <c r="H36" s="1253">
        <v>41.275090045381155</v>
      </c>
      <c r="I36" s="1257">
        <v>41</v>
      </c>
      <c r="J36" s="1257">
        <v>40</v>
      </c>
      <c r="K36" s="76">
        <f t="shared" si="1"/>
        <v>0.97560975609756095</v>
      </c>
      <c r="N36" s="1265" t="s">
        <v>281</v>
      </c>
      <c r="O36" s="1253"/>
      <c r="P36" s="1253">
        <v>5.0263157894736841</v>
      </c>
      <c r="Q36" s="1253">
        <v>-100</v>
      </c>
      <c r="R36" s="1253">
        <v>5.0263157894736841</v>
      </c>
      <c r="S36" s="1253">
        <v>5.0263157894736841</v>
      </c>
      <c r="T36" s="1253">
        <v>10.052631578947368</v>
      </c>
      <c r="U36" s="1253">
        <v>15.078947368421051</v>
      </c>
      <c r="V36" s="1253">
        <v>-59.78947368421052</v>
      </c>
    </row>
    <row r="37" spans="2:22" ht="15" customHeight="1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265" t="s">
        <v>267</v>
      </c>
      <c r="H37" s="1253">
        <v>-567.93130363611226</v>
      </c>
      <c r="I37" s="1257">
        <v>652</v>
      </c>
      <c r="J37" s="1257">
        <v>594</v>
      </c>
      <c r="K37" s="76"/>
      <c r="N37" s="1265" t="s">
        <v>282</v>
      </c>
      <c r="O37" s="1253">
        <v>4.7749999999999995</v>
      </c>
      <c r="P37" s="1253"/>
      <c r="Q37" s="1253">
        <v>9.5499999999999989</v>
      </c>
      <c r="R37" s="1253">
        <v>9.5499999999999989</v>
      </c>
      <c r="S37" s="1253"/>
      <c r="T37" s="1253">
        <v>4.7749999999999995</v>
      </c>
      <c r="U37" s="1253">
        <v>4.7749999999999995</v>
      </c>
      <c r="V37" s="1253">
        <v>33.424999999999997</v>
      </c>
    </row>
    <row r="38" spans="2:22" ht="15" customHeight="1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265" t="s">
        <v>283</v>
      </c>
      <c r="O38" s="1253"/>
      <c r="P38" s="1253">
        <v>13.436147186147185</v>
      </c>
      <c r="Q38" s="1253">
        <v>9.0952380952380949</v>
      </c>
      <c r="R38" s="1253">
        <v>8.8885281385281374</v>
      </c>
      <c r="S38" s="1253">
        <v>31.833333333333332</v>
      </c>
      <c r="T38" s="1253">
        <v>4.5476190476190474</v>
      </c>
      <c r="U38" s="1253">
        <v>4.5476190476190474</v>
      </c>
      <c r="V38" s="1253">
        <v>72.348484848484844</v>
      </c>
    </row>
    <row r="39" spans="2:22" ht="15" customHeight="1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265" t="s">
        <v>286</v>
      </c>
      <c r="O39" s="1253">
        <v>17.436706485024061</v>
      </c>
      <c r="P39" s="1253">
        <v>-66.928982867359451</v>
      </c>
      <c r="Q39" s="1253">
        <v>22.534490923730051</v>
      </c>
      <c r="R39" s="1253">
        <v>10.693106060606061</v>
      </c>
      <c r="S39" s="1253">
        <v>18.832085921325049</v>
      </c>
      <c r="T39" s="1253">
        <v>23.623081219595942</v>
      </c>
      <c r="U39" s="1253">
        <v>15.084602302459448</v>
      </c>
      <c r="V39" s="1253">
        <v>41.275090045381162</v>
      </c>
    </row>
    <row r="40" spans="2:22" ht="15" customHeight="1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265" t="s">
        <v>267</v>
      </c>
      <c r="O40" s="1253">
        <v>3.8396645047304396</v>
      </c>
      <c r="P40" s="1253">
        <v>-298.86588163849854</v>
      </c>
      <c r="Q40" s="1253">
        <v>239.22195601742462</v>
      </c>
      <c r="R40" s="1253">
        <v>-333.25767183357897</v>
      </c>
      <c r="S40" s="1253">
        <v>227.75718277547224</v>
      </c>
      <c r="T40" s="1253">
        <v>-297.55686513034971</v>
      </c>
      <c r="U40" s="1253">
        <v>-109.06968833131107</v>
      </c>
      <c r="V40" s="1253">
        <v>-567.93130363611101</v>
      </c>
    </row>
    <row r="41" spans="2:22" ht="15" customHeight="1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>
      <c r="B657" s="193"/>
      <c r="C657" s="194"/>
      <c r="D657" s="195"/>
      <c r="E657" s="194"/>
    </row>
    <row r="658" spans="2:5" ht="15" customHeight="1">
      <c r="B658" s="193"/>
      <c r="C658" s="194"/>
      <c r="D658" s="195"/>
      <c r="E658" s="194"/>
    </row>
    <row r="659" spans="2:5" ht="15" customHeight="1">
      <c r="B659" s="193"/>
      <c r="C659" s="194"/>
      <c r="D659" s="195"/>
      <c r="E659" s="194"/>
    </row>
    <row r="660" spans="2:5" ht="15" customHeight="1">
      <c r="B660" s="193"/>
      <c r="C660" s="194"/>
      <c r="D660" s="195"/>
      <c r="E660" s="194"/>
    </row>
    <row r="661" spans="2:5" ht="15" customHeight="1">
      <c r="B661" s="193"/>
      <c r="C661" s="194"/>
      <c r="D661" s="195"/>
      <c r="E661" s="194"/>
    </row>
    <row r="662" spans="2:5" ht="15" customHeight="1">
      <c r="B662" s="75"/>
    </row>
    <row r="663" spans="2:5" ht="15" customHeight="1">
      <c r="B663" s="75">
        <v>45839</v>
      </c>
      <c r="C663" s="68">
        <v>15</v>
      </c>
      <c r="D663" s="68">
        <v>1</v>
      </c>
    </row>
    <row r="664" spans="2:5" ht="15" customHeight="1">
      <c r="B664" s="75">
        <v>45840</v>
      </c>
      <c r="C664" s="68">
        <v>14</v>
      </c>
      <c r="D664" s="68">
        <v>1</v>
      </c>
    </row>
    <row r="665" spans="2:5" ht="15" customHeight="1">
      <c r="B665" s="75">
        <v>45840</v>
      </c>
      <c r="C665" s="68">
        <v>13.5</v>
      </c>
      <c r="D665" s="68">
        <v>1</v>
      </c>
    </row>
    <row r="666" spans="2:5" ht="15" customHeight="1">
      <c r="B666" s="75">
        <v>45840</v>
      </c>
      <c r="C666" s="68">
        <v>9.6</v>
      </c>
      <c r="D666" s="68">
        <v>1</v>
      </c>
    </row>
    <row r="667" spans="2:5" ht="15" customHeight="1">
      <c r="B667" s="75">
        <v>45840</v>
      </c>
      <c r="C667" s="68">
        <v>9</v>
      </c>
      <c r="D667" s="68">
        <v>1</v>
      </c>
    </row>
    <row r="668" spans="2:5" ht="15" customHeight="1">
      <c r="B668" s="75">
        <v>45841</v>
      </c>
      <c r="C668" s="68">
        <v>15.5</v>
      </c>
      <c r="D668" s="68">
        <v>1</v>
      </c>
    </row>
    <row r="669" spans="2:5" ht="15" customHeight="1">
      <c r="B669" s="75">
        <v>45842</v>
      </c>
      <c r="C669" s="68">
        <v>10.5</v>
      </c>
      <c r="D669" s="68">
        <v>1</v>
      </c>
    </row>
    <row r="670" spans="2:5" ht="15" customHeight="1">
      <c r="B670" s="75">
        <v>45842</v>
      </c>
      <c r="C670" s="68">
        <v>12</v>
      </c>
      <c r="D670" s="68">
        <v>1</v>
      </c>
    </row>
    <row r="671" spans="2:5" ht="15" customHeight="1">
      <c r="B671" s="75">
        <v>45842</v>
      </c>
      <c r="C671" s="68">
        <v>20</v>
      </c>
      <c r="D671" s="68">
        <v>1</v>
      </c>
    </row>
    <row r="672" spans="2:5" ht="15" customHeight="1">
      <c r="B672" s="75">
        <v>45843</v>
      </c>
      <c r="C672" s="68">
        <v>13.5</v>
      </c>
      <c r="D672" s="68">
        <v>1</v>
      </c>
    </row>
    <row r="673" spans="2:4" ht="15" customHeight="1">
      <c r="B673" s="75">
        <v>45843</v>
      </c>
      <c r="C673" s="68">
        <v>12.5</v>
      </c>
      <c r="D673" s="68">
        <v>0</v>
      </c>
    </row>
    <row r="674" spans="2:4" ht="15" customHeight="1">
      <c r="B674" s="75">
        <v>45843</v>
      </c>
      <c r="C674" s="68">
        <v>17</v>
      </c>
      <c r="D674" s="68">
        <v>0</v>
      </c>
    </row>
    <row r="675" spans="2:4" ht="15" customHeight="1">
      <c r="B675" s="75">
        <v>45843</v>
      </c>
      <c r="C675" s="68">
        <v>8.6</v>
      </c>
      <c r="D675" s="68">
        <v>1</v>
      </c>
    </row>
    <row r="676" spans="2:4" ht="15" customHeight="1">
      <c r="B676" s="75">
        <v>45843</v>
      </c>
      <c r="C676" s="68">
        <v>22</v>
      </c>
      <c r="D676" s="68">
        <v>1</v>
      </c>
    </row>
    <row r="677" spans="2:4" ht="15" customHeight="1">
      <c r="B677" s="75">
        <v>45843</v>
      </c>
      <c r="C677" s="68">
        <v>13</v>
      </c>
      <c r="D677" s="68">
        <v>1</v>
      </c>
    </row>
    <row r="678" spans="2:4" ht="15" customHeight="1">
      <c r="B678" s="75">
        <v>45844</v>
      </c>
      <c r="C678" s="68">
        <v>7.8</v>
      </c>
      <c r="D678" s="68">
        <v>0</v>
      </c>
    </row>
    <row r="679" spans="2:4" ht="15" customHeight="1">
      <c r="B679" s="75">
        <v>45844</v>
      </c>
      <c r="C679" s="68">
        <v>13.5</v>
      </c>
      <c r="D679" s="68">
        <v>1</v>
      </c>
    </row>
    <row r="680" spans="2:4" ht="15" customHeight="1">
      <c r="B680" s="75">
        <v>45844</v>
      </c>
      <c r="C680" s="68">
        <v>9</v>
      </c>
      <c r="D680" s="68">
        <v>1</v>
      </c>
    </row>
    <row r="681" spans="2:4" ht="15" customHeight="1">
      <c r="B681" s="75">
        <v>45844</v>
      </c>
      <c r="C681" s="68">
        <v>29</v>
      </c>
      <c r="D681" s="68">
        <v>1</v>
      </c>
    </row>
    <row r="682" spans="2:4" ht="15" customHeight="1">
      <c r="B682" s="75">
        <v>45844</v>
      </c>
      <c r="C682" s="68">
        <v>12</v>
      </c>
      <c r="D682" s="68">
        <v>1</v>
      </c>
    </row>
    <row r="683" spans="2:4" ht="15" customHeight="1">
      <c r="B683" s="75">
        <v>45845</v>
      </c>
      <c r="C683" s="68">
        <v>18.5</v>
      </c>
      <c r="D683" s="68">
        <v>1</v>
      </c>
    </row>
    <row r="684" spans="2:4" ht="15" customHeight="1">
      <c r="B684" s="75">
        <v>45845</v>
      </c>
      <c r="C684" s="68">
        <v>29</v>
      </c>
      <c r="D684" s="68">
        <v>1</v>
      </c>
    </row>
    <row r="685" spans="2:4" ht="15" customHeight="1">
      <c r="B685" s="75">
        <v>45845</v>
      </c>
      <c r="C685" s="68">
        <v>24</v>
      </c>
      <c r="D685" s="68">
        <v>1</v>
      </c>
    </row>
    <row r="686" spans="2:4" ht="15" customHeight="1">
      <c r="B686" s="75">
        <v>45846</v>
      </c>
      <c r="C686" s="68">
        <v>10.5</v>
      </c>
      <c r="D686" s="68">
        <v>1</v>
      </c>
    </row>
    <row r="687" spans="2:4" ht="15" customHeight="1">
      <c r="B687" s="75">
        <v>45846</v>
      </c>
      <c r="C687" s="68">
        <v>10</v>
      </c>
      <c r="D687" s="68">
        <v>0</v>
      </c>
    </row>
    <row r="688" spans="2:4" ht="15" customHeight="1">
      <c r="B688" s="75">
        <v>45846</v>
      </c>
      <c r="C688" s="68">
        <v>9.8000000000000007</v>
      </c>
      <c r="D688" s="68">
        <v>1</v>
      </c>
    </row>
    <row r="689" spans="2:4" ht="15" customHeight="1">
      <c r="B689" s="75">
        <v>45846</v>
      </c>
      <c r="C689" s="68">
        <v>8.6</v>
      </c>
      <c r="D689" s="68">
        <v>1</v>
      </c>
    </row>
    <row r="690" spans="2:4" ht="15" customHeight="1">
      <c r="B690" s="75">
        <v>45847</v>
      </c>
      <c r="C690" s="68">
        <v>11.5</v>
      </c>
      <c r="D690" s="68">
        <v>1</v>
      </c>
    </row>
    <row r="691" spans="2:4" ht="15" customHeight="1">
      <c r="B691" s="75">
        <v>45847</v>
      </c>
      <c r="C691" s="68">
        <v>13.5</v>
      </c>
      <c r="D691" s="68">
        <v>1</v>
      </c>
    </row>
    <row r="692" spans="2:4" ht="15" customHeight="1">
      <c r="B692" s="75">
        <v>45847</v>
      </c>
      <c r="C692" s="68">
        <v>8.8000000000000007</v>
      </c>
      <c r="D692" s="68">
        <v>1</v>
      </c>
    </row>
    <row r="693" spans="2:4" ht="15" customHeight="1">
      <c r="B693" s="75">
        <v>45848</v>
      </c>
      <c r="C693" s="68">
        <v>9.1999999999999993</v>
      </c>
      <c r="D693" s="68">
        <v>1</v>
      </c>
    </row>
    <row r="694" spans="2:4" ht="15" customHeight="1">
      <c r="B694" s="75">
        <v>45848</v>
      </c>
      <c r="C694" s="68">
        <v>10.5</v>
      </c>
      <c r="D694" s="68">
        <v>1</v>
      </c>
    </row>
    <row r="695" spans="2:4" ht="15" customHeight="1">
      <c r="B695" s="75">
        <v>45848</v>
      </c>
      <c r="C695" s="68">
        <v>9.8000000000000007</v>
      </c>
      <c r="D695" s="68">
        <v>1</v>
      </c>
    </row>
    <row r="696" spans="2:4" ht="15" customHeight="1">
      <c r="B696" s="75">
        <v>45848</v>
      </c>
      <c r="C696" s="68">
        <v>9.1999999999999993</v>
      </c>
      <c r="D696" s="68">
        <v>1</v>
      </c>
    </row>
    <row r="697" spans="2:4" ht="15" customHeight="1">
      <c r="B697" s="75">
        <v>45849</v>
      </c>
      <c r="C697" s="68">
        <v>15.5</v>
      </c>
      <c r="D697" s="68">
        <v>1</v>
      </c>
    </row>
    <row r="698" spans="2:4" ht="15" customHeight="1">
      <c r="B698" s="75">
        <v>45849</v>
      </c>
      <c r="C698" s="68">
        <v>15</v>
      </c>
      <c r="D698" s="68">
        <v>0</v>
      </c>
    </row>
    <row r="699" spans="2:4" ht="15" customHeight="1">
      <c r="B699" s="75">
        <v>45849</v>
      </c>
      <c r="C699" s="68">
        <v>9.1999999999999993</v>
      </c>
      <c r="D699" s="68">
        <v>0</v>
      </c>
    </row>
    <row r="700" spans="2:4" ht="15" customHeight="1">
      <c r="B700" s="75">
        <v>45850</v>
      </c>
      <c r="C700" s="68">
        <v>8.4</v>
      </c>
      <c r="D700" s="68">
        <v>1</v>
      </c>
    </row>
    <row r="701" spans="2:4" ht="15" customHeight="1">
      <c r="B701" s="75">
        <v>45850</v>
      </c>
      <c r="C701" s="68">
        <v>12</v>
      </c>
      <c r="D701" s="68">
        <v>0</v>
      </c>
    </row>
    <row r="702" spans="2:4" ht="15" customHeight="1">
      <c r="B702" s="75">
        <v>45850</v>
      </c>
      <c r="C702" s="68">
        <v>8.6</v>
      </c>
      <c r="D702" s="68">
        <v>1</v>
      </c>
    </row>
    <row r="703" spans="2:4" ht="15" customHeight="1">
      <c r="B703" s="75">
        <v>45850</v>
      </c>
      <c r="C703" s="68">
        <v>7.6</v>
      </c>
      <c r="D703" s="68">
        <v>1</v>
      </c>
    </row>
    <row r="704" spans="2:4" ht="15" customHeight="1">
      <c r="B704" s="75">
        <v>45850</v>
      </c>
      <c r="C704" s="68">
        <v>7.6</v>
      </c>
      <c r="D704" s="68">
        <v>1</v>
      </c>
    </row>
    <row r="705" spans="2:4" ht="15" customHeight="1">
      <c r="B705" s="75">
        <v>45850</v>
      </c>
      <c r="C705" s="68">
        <v>7.8</v>
      </c>
      <c r="D705" s="68">
        <v>0</v>
      </c>
    </row>
    <row r="706" spans="2:4" ht="15" customHeight="1">
      <c r="B706" s="75">
        <v>45854</v>
      </c>
      <c r="C706" s="68">
        <v>12</v>
      </c>
      <c r="D706" s="68">
        <v>1</v>
      </c>
    </row>
    <row r="707" spans="2:4" ht="15" customHeight="1">
      <c r="B707" s="75">
        <v>45854</v>
      </c>
      <c r="C707" s="68">
        <v>11.5</v>
      </c>
      <c r="D707" s="68">
        <v>1</v>
      </c>
    </row>
    <row r="708" spans="2:4" ht="15" customHeight="1">
      <c r="B708" s="75">
        <v>45855</v>
      </c>
      <c r="C708" s="68">
        <v>13</v>
      </c>
      <c r="D708" s="68">
        <v>1</v>
      </c>
    </row>
    <row r="709" spans="2:4" ht="15" customHeight="1">
      <c r="B709" s="75">
        <v>45855</v>
      </c>
      <c r="C709" s="68">
        <v>23</v>
      </c>
      <c r="D709" s="68">
        <v>1</v>
      </c>
    </row>
    <row r="710" spans="2:4" ht="15" customHeight="1">
      <c r="B710" s="75">
        <v>45855</v>
      </c>
      <c r="C710" s="68">
        <v>9.6</v>
      </c>
      <c r="D710" s="68">
        <v>1</v>
      </c>
    </row>
    <row r="711" spans="2:4" ht="15" customHeight="1">
      <c r="B711" s="75">
        <v>45856</v>
      </c>
      <c r="C711" s="68">
        <v>14</v>
      </c>
      <c r="D711" s="68">
        <v>1</v>
      </c>
    </row>
    <row r="712" spans="2:4" ht="15" customHeight="1">
      <c r="B712" s="75">
        <v>45856</v>
      </c>
      <c r="C712" s="68">
        <v>17.5</v>
      </c>
      <c r="D712" s="68">
        <v>1</v>
      </c>
    </row>
    <row r="713" spans="2:4" ht="15" customHeight="1">
      <c r="B713" s="75">
        <v>45856</v>
      </c>
      <c r="C713" s="68">
        <v>12</v>
      </c>
      <c r="D713" s="68">
        <v>1</v>
      </c>
    </row>
    <row r="714" spans="2:4" ht="15" customHeight="1">
      <c r="B714" s="75">
        <v>45856</v>
      </c>
      <c r="C714" s="68">
        <v>13.5</v>
      </c>
      <c r="D714" s="68">
        <v>1</v>
      </c>
    </row>
    <row r="715" spans="2:4" ht="15" customHeight="1">
      <c r="B715" s="83">
        <v>45857</v>
      </c>
      <c r="C715" s="68">
        <v>13</v>
      </c>
      <c r="D715" s="68">
        <v>1</v>
      </c>
    </row>
    <row r="716" spans="2:4" ht="15" customHeight="1">
      <c r="B716" s="83">
        <v>45857</v>
      </c>
      <c r="C716" s="68">
        <v>14</v>
      </c>
      <c r="D716" s="68">
        <v>1</v>
      </c>
    </row>
    <row r="717" spans="2:4" ht="15" customHeight="1">
      <c r="B717" s="83">
        <v>45857</v>
      </c>
      <c r="C717" s="68">
        <v>15</v>
      </c>
      <c r="D717" s="68">
        <v>1</v>
      </c>
    </row>
    <row r="718" spans="2:4" ht="15" customHeight="1">
      <c r="B718" s="83">
        <v>45857</v>
      </c>
      <c r="C718" s="68">
        <v>8.4</v>
      </c>
      <c r="D718" s="68">
        <v>1</v>
      </c>
    </row>
    <row r="719" spans="2:4" ht="15" customHeight="1">
      <c r="B719" s="83">
        <v>45858</v>
      </c>
      <c r="C719" s="68">
        <v>11.5</v>
      </c>
      <c r="D719" s="68">
        <v>1</v>
      </c>
    </row>
    <row r="720" spans="2:4" ht="15" customHeight="1">
      <c r="B720" s="83">
        <v>45858</v>
      </c>
      <c r="C720" s="68">
        <v>13.5</v>
      </c>
      <c r="D720" s="68">
        <v>1</v>
      </c>
    </row>
    <row r="721" spans="2:4" ht="15" customHeight="1">
      <c r="B721" s="83">
        <v>45858</v>
      </c>
      <c r="C721" s="68">
        <v>12.5</v>
      </c>
      <c r="D721" s="68">
        <v>1</v>
      </c>
    </row>
    <row r="722" spans="2:4" ht="15" customHeight="1">
      <c r="B722" s="83">
        <v>45858</v>
      </c>
      <c r="C722" s="68">
        <v>11</v>
      </c>
      <c r="D722" s="68">
        <v>1</v>
      </c>
    </row>
    <row r="723" spans="2:4" ht="15" customHeight="1">
      <c r="B723" s="83">
        <v>45859</v>
      </c>
      <c r="C723" s="68">
        <v>15</v>
      </c>
      <c r="D723" s="68">
        <v>1</v>
      </c>
    </row>
    <row r="724" spans="2:4" ht="15" customHeight="1">
      <c r="B724" s="83">
        <v>45859</v>
      </c>
      <c r="C724" s="68">
        <v>9.1999999999999993</v>
      </c>
      <c r="D724" s="68">
        <v>1</v>
      </c>
    </row>
    <row r="725" spans="2:4" ht="15" customHeight="1">
      <c r="B725" s="83">
        <v>45859</v>
      </c>
      <c r="C725" s="68">
        <v>17</v>
      </c>
      <c r="D725" s="68">
        <v>0</v>
      </c>
    </row>
    <row r="726" spans="2:4" ht="15" customHeight="1">
      <c r="B726" s="83">
        <v>45860</v>
      </c>
      <c r="C726" s="68">
        <v>22</v>
      </c>
      <c r="D726" s="68">
        <v>1</v>
      </c>
    </row>
    <row r="727" spans="2:4" ht="15" customHeight="1">
      <c r="B727" s="83">
        <v>45860</v>
      </c>
      <c r="C727" s="68">
        <v>9.6</v>
      </c>
      <c r="D727" s="68">
        <v>1</v>
      </c>
    </row>
    <row r="728" spans="2:4" ht="15" customHeight="1">
      <c r="B728" s="83">
        <v>45860</v>
      </c>
      <c r="C728" s="68">
        <v>14</v>
      </c>
      <c r="D728" s="68">
        <v>1</v>
      </c>
    </row>
    <row r="729" spans="2:4" ht="15" customHeight="1">
      <c r="B729" s="83">
        <v>45860</v>
      </c>
      <c r="C729" s="68">
        <v>8.6</v>
      </c>
      <c r="D729" s="68">
        <v>1</v>
      </c>
    </row>
    <row r="730" spans="2:4" ht="15" customHeight="1">
      <c r="B730" s="83">
        <v>45861</v>
      </c>
      <c r="C730" s="68">
        <v>12</v>
      </c>
      <c r="D730" s="68">
        <v>0</v>
      </c>
    </row>
    <row r="731" spans="2:4" ht="15" customHeight="1">
      <c r="B731" s="83">
        <v>45861</v>
      </c>
      <c r="C731" s="68">
        <v>18</v>
      </c>
      <c r="D731" s="68">
        <v>1</v>
      </c>
    </row>
    <row r="732" spans="2:4" ht="15" customHeight="1">
      <c r="B732" s="83">
        <v>45861</v>
      </c>
      <c r="C732" s="68">
        <v>9.6</v>
      </c>
      <c r="D732" s="68">
        <v>1</v>
      </c>
    </row>
    <row r="733" spans="2:4" ht="15" customHeight="1">
      <c r="B733" s="83">
        <v>45861</v>
      </c>
      <c r="C733" s="68">
        <v>32</v>
      </c>
      <c r="D733" s="68">
        <v>1</v>
      </c>
    </row>
    <row r="734" spans="2:4" ht="15" customHeight="1">
      <c r="B734" s="83">
        <v>45862</v>
      </c>
      <c r="C734" s="68">
        <v>12</v>
      </c>
      <c r="D734" s="68">
        <v>1</v>
      </c>
    </row>
    <row r="735" spans="2:4" ht="15" customHeight="1">
      <c r="B735" s="83">
        <v>45862</v>
      </c>
      <c r="C735" s="68">
        <v>7.8</v>
      </c>
      <c r="D735" s="68">
        <v>1</v>
      </c>
    </row>
    <row r="736" spans="2:4" ht="15" customHeight="1">
      <c r="B736" s="83">
        <v>45862</v>
      </c>
      <c r="C736" s="68">
        <v>13</v>
      </c>
      <c r="D736" s="68">
        <v>1</v>
      </c>
    </row>
    <row r="737" spans="2:4" ht="15" customHeight="1">
      <c r="B737" s="83">
        <v>45862</v>
      </c>
      <c r="C737" s="68">
        <v>8</v>
      </c>
      <c r="D737" s="68">
        <v>1</v>
      </c>
    </row>
    <row r="738" spans="2:4" ht="15" customHeight="1">
      <c r="B738" s="83">
        <v>45863</v>
      </c>
      <c r="C738" s="68">
        <v>13.5</v>
      </c>
      <c r="D738" s="68">
        <v>1</v>
      </c>
    </row>
    <row r="739" spans="2:4" ht="15" customHeight="1">
      <c r="B739" s="83">
        <v>45863</v>
      </c>
      <c r="C739" s="68">
        <v>9.1999999999999993</v>
      </c>
      <c r="D739" s="68">
        <v>1</v>
      </c>
    </row>
    <row r="740" spans="2:4" ht="15" customHeight="1">
      <c r="B740" s="83">
        <v>45863</v>
      </c>
      <c r="C740" s="68">
        <v>15.5</v>
      </c>
      <c r="D740" s="68">
        <v>1</v>
      </c>
    </row>
    <row r="741" spans="2:4" ht="15" customHeight="1">
      <c r="B741" s="83">
        <v>45863</v>
      </c>
      <c r="C741" s="68">
        <v>18</v>
      </c>
      <c r="D741" s="68">
        <v>1</v>
      </c>
    </row>
    <row r="742" spans="2:4" ht="15" customHeight="1">
      <c r="B742" s="83">
        <v>45864</v>
      </c>
      <c r="C742" s="68">
        <v>8.1999999999999993</v>
      </c>
      <c r="D742" s="68">
        <v>1</v>
      </c>
    </row>
    <row r="743" spans="2:4" ht="15" customHeight="1">
      <c r="B743" s="83">
        <v>45864</v>
      </c>
      <c r="C743" s="68">
        <v>13.5</v>
      </c>
      <c r="D743" s="68">
        <v>1</v>
      </c>
    </row>
    <row r="744" spans="2:4" ht="15" customHeight="1">
      <c r="B744" s="83">
        <v>45864</v>
      </c>
      <c r="C744" s="68">
        <v>17</v>
      </c>
      <c r="D744" s="68">
        <v>1</v>
      </c>
    </row>
    <row r="745" spans="2:4" ht="15" customHeight="1">
      <c r="B745" s="83">
        <v>45864</v>
      </c>
      <c r="C745" s="68">
        <v>13</v>
      </c>
      <c r="D745" s="68">
        <v>1</v>
      </c>
    </row>
    <row r="746" spans="2:4" ht="15" customHeight="1">
      <c r="B746" s="83">
        <v>45865</v>
      </c>
      <c r="C746" s="68">
        <v>25</v>
      </c>
      <c r="D746" s="68">
        <v>1</v>
      </c>
    </row>
    <row r="747" spans="2:4" ht="15" customHeight="1">
      <c r="B747" s="83">
        <v>45865</v>
      </c>
      <c r="C747" s="68">
        <v>9</v>
      </c>
      <c r="D747" s="68">
        <v>1</v>
      </c>
    </row>
    <row r="748" spans="2:4" ht="15" customHeight="1">
      <c r="B748" s="83">
        <v>45865</v>
      </c>
      <c r="C748" s="68">
        <v>24</v>
      </c>
      <c r="D748" s="68">
        <v>1</v>
      </c>
    </row>
    <row r="749" spans="2:4" ht="15" customHeight="1">
      <c r="B749" s="83">
        <v>45865</v>
      </c>
      <c r="C749" s="68">
        <v>9.6</v>
      </c>
      <c r="D749" s="68">
        <v>1</v>
      </c>
    </row>
    <row r="750" spans="2:4" ht="15" customHeight="1">
      <c r="B750" s="83">
        <v>45866</v>
      </c>
      <c r="C750" s="68">
        <v>9</v>
      </c>
      <c r="D750" s="68">
        <v>1</v>
      </c>
    </row>
    <row r="751" spans="2:4" ht="15" customHeight="1">
      <c r="B751" s="83">
        <v>45866</v>
      </c>
      <c r="C751" s="68">
        <v>24</v>
      </c>
      <c r="D751" s="68">
        <v>1</v>
      </c>
    </row>
    <row r="752" spans="2:4" ht="15" customHeight="1">
      <c r="B752" s="83">
        <v>45867</v>
      </c>
      <c r="C752" s="68">
        <v>9.4</v>
      </c>
      <c r="D752" s="68">
        <v>1</v>
      </c>
    </row>
    <row r="753" spans="2:4" ht="15" customHeight="1">
      <c r="B753" s="83">
        <v>45867</v>
      </c>
      <c r="C753" s="68">
        <v>38</v>
      </c>
      <c r="D753" s="68">
        <v>1</v>
      </c>
    </row>
    <row r="754" spans="2:4" ht="15" customHeight="1">
      <c r="B754" s="83">
        <v>45867</v>
      </c>
      <c r="C754" s="68">
        <v>24</v>
      </c>
      <c r="D754" s="68">
        <v>1</v>
      </c>
    </row>
    <row r="755" spans="2:4" ht="15" customHeight="1">
      <c r="B755" s="83">
        <v>45867</v>
      </c>
      <c r="C755" s="68">
        <v>10.5</v>
      </c>
      <c r="D755" s="68">
        <v>1</v>
      </c>
    </row>
    <row r="756" spans="2:4" ht="15" customHeight="1">
      <c r="B756" s="83">
        <v>45868</v>
      </c>
      <c r="C756" s="68">
        <v>15.5</v>
      </c>
      <c r="D756" s="68">
        <v>1</v>
      </c>
    </row>
    <row r="757" spans="2:4" ht="15" customHeight="1">
      <c r="B757" s="83">
        <v>45868</v>
      </c>
      <c r="C757" s="68">
        <v>7.8</v>
      </c>
      <c r="D757" s="68">
        <v>1</v>
      </c>
    </row>
    <row r="758" spans="2:4" ht="15" customHeight="1">
      <c r="B758" s="83">
        <v>45868</v>
      </c>
      <c r="C758" s="68">
        <v>25</v>
      </c>
      <c r="D758" s="68">
        <v>0</v>
      </c>
    </row>
    <row r="759" spans="2:4" ht="15" customHeight="1">
      <c r="B759" s="83">
        <v>45868</v>
      </c>
      <c r="C759" s="68">
        <v>17</v>
      </c>
      <c r="D759" s="68">
        <v>1</v>
      </c>
    </row>
    <row r="760" spans="2:4" ht="15" customHeight="1">
      <c r="B760" s="83">
        <v>45868</v>
      </c>
      <c r="C760" s="68">
        <v>8.4</v>
      </c>
      <c r="D760" s="68">
        <v>1</v>
      </c>
    </row>
    <row r="761" spans="2:4" ht="15" customHeight="1">
      <c r="B761" s="83">
        <v>45868</v>
      </c>
      <c r="C761" s="68">
        <v>18</v>
      </c>
      <c r="D761" s="68">
        <v>1</v>
      </c>
    </row>
    <row r="762" spans="2:4" ht="15" customHeight="1">
      <c r="B762" s="83">
        <v>45869</v>
      </c>
      <c r="C762" s="68">
        <v>12.5</v>
      </c>
      <c r="D762" s="68">
        <v>1</v>
      </c>
    </row>
    <row r="763" spans="2:4" ht="15" customHeight="1">
      <c r="B763" s="83">
        <v>45869</v>
      </c>
      <c r="C763" s="68">
        <v>19</v>
      </c>
      <c r="D763" s="68">
        <v>1</v>
      </c>
    </row>
    <row r="764" spans="2:4" ht="15" customHeight="1">
      <c r="B764" s="83">
        <v>45869</v>
      </c>
      <c r="C764" s="68">
        <v>8.4</v>
      </c>
      <c r="D764" s="68">
        <v>1</v>
      </c>
    </row>
    <row r="765" spans="2:4" ht="15" customHeight="1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271" t="s">
        <v>381</v>
      </c>
      <c r="F3" s="1272"/>
      <c r="G3" s="1272"/>
      <c r="H3" s="1273"/>
      <c r="I3" s="1271" t="s">
        <v>382</v>
      </c>
      <c r="J3" s="1272"/>
      <c r="K3" s="1272"/>
      <c r="L3" s="1273"/>
      <c r="M3" s="1271" t="s">
        <v>73</v>
      </c>
      <c r="N3" s="1272"/>
      <c r="O3" s="1272"/>
      <c r="P3" s="1273"/>
      <c r="Q3" s="1271" t="s">
        <v>179</v>
      </c>
      <c r="R3" s="1272"/>
      <c r="S3" s="1272"/>
      <c r="T3" s="1273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383</v>
      </c>
      <c r="G4" s="40" t="s">
        <v>384</v>
      </c>
      <c r="H4" s="41" t="s">
        <v>385</v>
      </c>
      <c r="I4" s="39" t="s">
        <v>263</v>
      </c>
      <c r="J4" s="40" t="s">
        <v>383</v>
      </c>
      <c r="K4" s="40" t="s">
        <v>384</v>
      </c>
      <c r="L4" s="41" t="s">
        <v>385</v>
      </c>
      <c r="M4" s="39" t="s">
        <v>263</v>
      </c>
      <c r="N4" s="40" t="s">
        <v>383</v>
      </c>
      <c r="O4" s="40" t="s">
        <v>384</v>
      </c>
      <c r="P4" s="41" t="s">
        <v>385</v>
      </c>
      <c r="Q4" s="84" t="s">
        <v>263</v>
      </c>
      <c r="R4" s="85" t="s">
        <v>383</v>
      </c>
      <c r="S4" s="85" t="s">
        <v>384</v>
      </c>
      <c r="T4" s="86" t="s">
        <v>385</v>
      </c>
      <c r="U4" s="40" t="s">
        <v>262</v>
      </c>
      <c r="V4" s="40" t="s">
        <v>390</v>
      </c>
      <c r="W4" s="4" t="s">
        <v>380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/>
    <row r="2" spans="3:17" ht="19.95" hidden="1" customHeight="1" outlineLevel="1">
      <c r="C2" s="48" t="s">
        <v>406</v>
      </c>
    </row>
    <row r="3" spans="3:17" ht="19.95" hidden="1" customHeight="1" outlineLevel="1">
      <c r="D3" s="48" t="s">
        <v>393</v>
      </c>
      <c r="E3" s="48" t="s">
        <v>315</v>
      </c>
      <c r="F3" s="124" t="s">
        <v>411</v>
      </c>
      <c r="G3" s="48" t="s">
        <v>397</v>
      </c>
      <c r="H3" s="48" t="s">
        <v>394</v>
      </c>
      <c r="I3" s="48" t="s">
        <v>395</v>
      </c>
      <c r="J3" s="48" t="s">
        <v>408</v>
      </c>
      <c r="K3" s="48" t="s">
        <v>398</v>
      </c>
      <c r="M3" s="130"/>
      <c r="N3" s="113"/>
      <c r="O3" s="113"/>
      <c r="P3" s="103"/>
      <c r="Q3" s="113"/>
    </row>
    <row r="4" spans="3:17" ht="19.95" hidden="1" customHeight="1" outlineLevel="1">
      <c r="C4" s="48" t="s">
        <v>391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>
      <c r="C5" s="48" t="s">
        <v>392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>
      <c r="C6" s="48" t="s">
        <v>396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>
      <c r="N7" s="113"/>
      <c r="O7" s="132"/>
      <c r="P7" s="130"/>
    </row>
    <row r="8" spans="3:17" ht="19.95" hidden="1" customHeight="1" outlineLevel="1">
      <c r="E8" s="48" t="s">
        <v>399</v>
      </c>
      <c r="F8" s="48" t="s">
        <v>407</v>
      </c>
      <c r="G8" s="124" t="s">
        <v>410</v>
      </c>
      <c r="H8" s="48" t="s">
        <v>179</v>
      </c>
      <c r="I8" s="112" t="s">
        <v>509</v>
      </c>
      <c r="M8" s="140"/>
      <c r="O8" s="132"/>
      <c r="P8" s="130"/>
    </row>
    <row r="9" spans="3:17" ht="19.95" hidden="1" customHeight="1" outlineLevel="1">
      <c r="C9" s="48" t="s">
        <v>402</v>
      </c>
      <c r="D9" s="48" t="str">
        <f>IF(D4&lt;D5,"Casa","Visitante")</f>
        <v>Casa</v>
      </c>
      <c r="G9" s="124"/>
    </row>
    <row r="10" spans="3:17" ht="19.95" hidden="1" customHeight="1" outlineLevel="1">
      <c r="C10" s="48" t="s">
        <v>401</v>
      </c>
      <c r="D10" s="48" t="str">
        <f>IF(D4&lt;D5,"Visitante","Casa")</f>
        <v>Visitante</v>
      </c>
      <c r="G10" s="124"/>
    </row>
    <row r="11" spans="3:17" ht="19.95" hidden="1" customHeight="1" outlineLevel="1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>
      <c r="C12" s="112" t="s">
        <v>510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>
      <c r="C13" s="48" t="s">
        <v>412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>
      <c r="C14" s="48" t="s">
        <v>400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>
      <c r="C15" s="48" t="s">
        <v>413</v>
      </c>
      <c r="G15" s="124">
        <f>IF(F6&gt;=65%,1,0)</f>
        <v>1</v>
      </c>
    </row>
    <row r="16" spans="3:17" ht="19.95" hidden="1" customHeight="1" outlineLevel="1">
      <c r="C16" s="48" t="s">
        <v>403</v>
      </c>
      <c r="E16" s="48">
        <f>IF(VLOOKUP(D9,C4:K5,5,FALSE)&lt;VLOOKUP(D10,C4:K5,5,FALSE),1,0)</f>
        <v>1</v>
      </c>
      <c r="G16" s="124"/>
    </row>
    <row r="17" spans="2:40" ht="19.95" hidden="1" customHeight="1" outlineLevel="1">
      <c r="C17" s="48" t="s">
        <v>404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>
      <c r="C18" s="48" t="s">
        <v>405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>
      <c r="C19" s="48" t="s">
        <v>409</v>
      </c>
      <c r="F19" s="48">
        <f>IF(J6&gt;=2.8,1,0)</f>
        <v>1</v>
      </c>
      <c r="G19" s="124"/>
    </row>
    <row r="20" spans="2:40" ht="19.95" hidden="1" customHeight="1" outlineLevel="1" thickBot="1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>
      <c r="X21" s="1274" t="s">
        <v>627</v>
      </c>
      <c r="Y21" s="1275"/>
      <c r="Z21" s="1275"/>
      <c r="AA21" s="1275"/>
      <c r="AB21" s="1275"/>
      <c r="AC21" s="1276"/>
      <c r="AD21" s="1274" t="s">
        <v>628</v>
      </c>
      <c r="AE21" s="1275"/>
      <c r="AF21" s="1275"/>
      <c r="AG21" s="1276"/>
      <c r="AH21" s="1274" t="s">
        <v>629</v>
      </c>
      <c r="AI21" s="1277"/>
      <c r="AJ21" s="1277"/>
      <c r="AK21" s="1277"/>
      <c r="AL21" s="1277"/>
      <c r="AM21" s="1277"/>
      <c r="AN21" s="1278"/>
    </row>
    <row r="22" spans="2:40" s="59" customFormat="1" ht="30" customHeight="1" collapsed="1">
      <c r="B22" s="156" t="s">
        <v>0</v>
      </c>
      <c r="C22" s="219" t="s">
        <v>594</v>
      </c>
      <c r="D22" s="151" t="s">
        <v>391</v>
      </c>
      <c r="E22" s="151" t="s">
        <v>392</v>
      </c>
      <c r="F22" s="151" t="s">
        <v>586</v>
      </c>
      <c r="G22" s="151" t="s">
        <v>587</v>
      </c>
      <c r="H22" s="151" t="s">
        <v>582</v>
      </c>
      <c r="I22" s="151" t="s">
        <v>583</v>
      </c>
      <c r="J22" s="151" t="s">
        <v>576</v>
      </c>
      <c r="K22" s="151" t="s">
        <v>577</v>
      </c>
      <c r="L22" s="151" t="s">
        <v>578</v>
      </c>
      <c r="M22" s="151" t="s">
        <v>579</v>
      </c>
      <c r="N22" s="154" t="s">
        <v>580</v>
      </c>
      <c r="O22" s="154" t="s">
        <v>581</v>
      </c>
      <c r="P22" s="151" t="s">
        <v>584</v>
      </c>
      <c r="Q22" s="151" t="s">
        <v>585</v>
      </c>
      <c r="R22" s="152" t="s">
        <v>619</v>
      </c>
      <c r="S22" s="152" t="s">
        <v>620</v>
      </c>
      <c r="T22" s="154" t="s">
        <v>737</v>
      </c>
      <c r="U22" s="154" t="s">
        <v>591</v>
      </c>
      <c r="V22" s="154" t="s">
        <v>592</v>
      </c>
      <c r="W22" s="153" t="s">
        <v>593</v>
      </c>
      <c r="X22" s="145" t="s">
        <v>588</v>
      </c>
      <c r="Y22" s="146" t="s">
        <v>412</v>
      </c>
      <c r="Z22" s="146" t="s">
        <v>400</v>
      </c>
      <c r="AA22" s="146" t="s">
        <v>403</v>
      </c>
      <c r="AB22" s="147" t="s">
        <v>589</v>
      </c>
      <c r="AC22" s="150" t="s">
        <v>590</v>
      </c>
      <c r="AD22" s="149" t="s">
        <v>588</v>
      </c>
      <c r="AE22" s="146" t="s">
        <v>412</v>
      </c>
      <c r="AF22" s="146" t="s">
        <v>400</v>
      </c>
      <c r="AG22" s="148" t="s">
        <v>409</v>
      </c>
      <c r="AH22" s="149" t="s">
        <v>588</v>
      </c>
      <c r="AI22" s="146" t="s">
        <v>400</v>
      </c>
      <c r="AJ22" s="146" t="s">
        <v>589</v>
      </c>
      <c r="AK22" s="191" t="s">
        <v>699</v>
      </c>
      <c r="AL22" s="191" t="s">
        <v>700</v>
      </c>
      <c r="AM22" s="146" t="s">
        <v>590</v>
      </c>
      <c r="AN22" s="192" t="s">
        <v>701</v>
      </c>
    </row>
    <row r="23" spans="2:40" ht="19.95" hidden="1" customHeight="1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>
      <c r="B24" s="221">
        <v>46052</v>
      </c>
      <c r="C24" s="220" t="s">
        <v>724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>
      <c r="B25" s="221">
        <v>46052</v>
      </c>
      <c r="C25" s="220" t="s">
        <v>727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>
      <c r="B26" s="221">
        <v>46052</v>
      </c>
      <c r="C26" s="220" t="s">
        <v>725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>
      <c r="B27" s="221">
        <v>46052</v>
      </c>
      <c r="C27" s="220" t="s">
        <v>726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>
      <c r="B28" s="221">
        <v>46052</v>
      </c>
      <c r="C28" s="220" t="s">
        <v>723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>
      <c r="B29" s="221">
        <v>46053</v>
      </c>
      <c r="C29" s="220" t="s">
        <v>738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>
      <c r="B30" s="221">
        <v>46053</v>
      </c>
      <c r="C30" s="220" t="s">
        <v>739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>
      <c r="B31" s="221">
        <v>46053</v>
      </c>
      <c r="C31" s="220" t="s">
        <v>740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>
      <c r="B32" s="221">
        <v>46053</v>
      </c>
      <c r="C32" s="220" t="s">
        <v>741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>
      <c r="B33" s="221">
        <v>46053</v>
      </c>
      <c r="C33" s="220" t="s">
        <v>742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>
      <c r="B34" s="221">
        <v>46053</v>
      </c>
      <c r="C34" s="220" t="s">
        <v>743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>
      <c r="B35" s="221">
        <v>46053</v>
      </c>
      <c r="C35" s="220" t="s">
        <v>744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>
      <c r="B36" s="221">
        <v>46053</v>
      </c>
      <c r="C36" s="220" t="s">
        <v>745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>
      <c r="B37" s="221">
        <v>46053</v>
      </c>
      <c r="C37" s="220" t="s">
        <v>746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>
      <c r="B38" s="221">
        <v>46053</v>
      </c>
      <c r="C38" s="220" t="s">
        <v>747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>
      <c r="B39" s="221">
        <v>46053</v>
      </c>
      <c r="C39" s="220" t="s">
        <v>748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>
      <c r="B40" s="221">
        <v>46054</v>
      </c>
      <c r="C40" s="220" t="s">
        <v>749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>
      <c r="B41" s="221">
        <v>46054</v>
      </c>
      <c r="C41" s="220" t="s">
        <v>750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>
      <c r="B42" s="221">
        <v>46054</v>
      </c>
      <c r="C42" s="220" t="s">
        <v>751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>
      <c r="B43" s="221">
        <v>46054</v>
      </c>
      <c r="C43" s="220" t="s">
        <v>752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>
      <c r="B44" s="221">
        <v>46054</v>
      </c>
      <c r="C44" s="220" t="s">
        <v>753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>
      <c r="B45" s="221">
        <v>46054</v>
      </c>
      <c r="C45" s="220" t="s">
        <v>754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>
      <c r="B46" s="221">
        <v>46054</v>
      </c>
      <c r="C46" s="220" t="s">
        <v>755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>
      <c r="B47" s="221">
        <v>46054</v>
      </c>
      <c r="C47" s="220" t="s">
        <v>756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>
      <c r="B48" s="221">
        <v>46054</v>
      </c>
      <c r="C48" s="220" t="s">
        <v>757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>
      <c r="B49" s="221">
        <v>46054</v>
      </c>
      <c r="C49" s="220" t="s">
        <v>758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>
      <c r="B50" s="221">
        <v>46054</v>
      </c>
      <c r="C50" s="220" t="s">
        <v>759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>
      <c r="B51" s="221">
        <v>46054</v>
      </c>
      <c r="C51" s="220" t="s">
        <v>752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>
      <c r="B52" s="221">
        <v>46055</v>
      </c>
      <c r="C52" s="220" t="s">
        <v>837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>
      <c r="B53" s="221">
        <v>46055</v>
      </c>
      <c r="C53" s="220" t="s">
        <v>838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>
      <c r="B54" s="221">
        <v>46055</v>
      </c>
      <c r="C54" s="220" t="s">
        <v>839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>
      <c r="B55" s="221">
        <v>46056</v>
      </c>
      <c r="C55" s="220" t="s">
        <v>846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>
      <c r="B56" s="221">
        <v>46056</v>
      </c>
      <c r="C56" s="220" t="s">
        <v>847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>
      <c r="B57" s="221">
        <v>46056</v>
      </c>
      <c r="C57" s="220" t="s">
        <v>848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849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>
      <c r="B58" s="221">
        <v>46056</v>
      </c>
      <c r="C58" s="220" t="s">
        <v>850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>
      <c r="B59" s="221">
        <v>46056</v>
      </c>
      <c r="C59" s="220" t="s">
        <v>851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>
      <c r="B60" s="221">
        <v>46057</v>
      </c>
      <c r="C60" s="220" t="s">
        <v>852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>
      <c r="B61" s="221">
        <v>46058</v>
      </c>
      <c r="C61" s="220" t="s">
        <v>853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>
      <c r="B62" s="221">
        <v>46058</v>
      </c>
      <c r="C62" s="220" t="s">
        <v>854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>
      <c r="B63" s="221">
        <v>46060</v>
      </c>
      <c r="C63" s="220" t="s">
        <v>855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>
      <c r="B64" s="221">
        <v>46060</v>
      </c>
      <c r="C64" s="220" t="s">
        <v>856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>
      <c r="B65" s="221">
        <v>46060</v>
      </c>
      <c r="C65" s="220" t="s">
        <v>857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>
      <c r="B66" s="221">
        <v>46060</v>
      </c>
      <c r="C66" s="220" t="s">
        <v>858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>
      <c r="B67" s="221">
        <v>46060</v>
      </c>
      <c r="C67" s="220" t="s">
        <v>859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>
      <c r="B68" s="221">
        <v>46060</v>
      </c>
      <c r="C68" s="220" t="s">
        <v>863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>
      <c r="B69" s="221">
        <v>46060</v>
      </c>
      <c r="C69" s="220" t="s">
        <v>860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>
      <c r="B70" s="221">
        <v>46060</v>
      </c>
      <c r="C70" s="220" t="s">
        <v>861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>
      <c r="B71" s="221">
        <v>46060</v>
      </c>
      <c r="C71" s="220" t="s">
        <v>862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>
      <c r="B72" s="221">
        <v>46060</v>
      </c>
      <c r="C72" s="220" t="s">
        <v>864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>
      <c r="B73" s="221">
        <v>46060</v>
      </c>
      <c r="C73" s="220" t="s">
        <v>865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>
      <c r="B74" s="221">
        <v>46061</v>
      </c>
      <c r="C74" s="220" t="s">
        <v>866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>
      <c r="B75" s="221">
        <v>46061</v>
      </c>
      <c r="C75" s="220" t="s">
        <v>867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>
      <c r="B76" s="221">
        <v>46061</v>
      </c>
      <c r="C76" s="220" t="s">
        <v>868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>
      <c r="B77" s="221">
        <v>46061</v>
      </c>
      <c r="C77" s="220" t="s">
        <v>869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>
      <c r="B78" s="221">
        <v>46061</v>
      </c>
      <c r="C78" s="220" t="s">
        <v>870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>
      <c r="B79" s="221">
        <v>46061</v>
      </c>
      <c r="C79" s="220" t="s">
        <v>871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>
      <c r="B80" s="221">
        <v>46061</v>
      </c>
      <c r="C80" s="220" t="s">
        <v>872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>
      <c r="B81" s="221">
        <v>46061</v>
      </c>
      <c r="C81" s="220" t="s">
        <v>873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>
      <c r="B82" s="221">
        <v>46061</v>
      </c>
      <c r="C82" s="220" t="s">
        <v>874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>
      <c r="B83" s="221">
        <v>46061</v>
      </c>
      <c r="C83" s="220" t="s">
        <v>875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>
      <c r="B84" s="221">
        <v>46061</v>
      </c>
      <c r="C84" s="220" t="s">
        <v>876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>
      <c r="B85" s="221">
        <v>46061</v>
      </c>
      <c r="C85" s="220" t="s">
        <v>877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>
      <c r="B86" s="221">
        <v>46062</v>
      </c>
      <c r="C86" s="220" t="s">
        <v>878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>
      <c r="B87" s="221">
        <v>46062</v>
      </c>
      <c r="C87" s="220" t="s">
        <v>879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>
      <c r="B88" s="221">
        <v>46062</v>
      </c>
      <c r="C88" s="220" t="s">
        <v>880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>
      <c r="B89" s="221">
        <v>46062</v>
      </c>
      <c r="C89" s="220" t="s">
        <v>881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>
      <c r="B90" s="221">
        <v>46063</v>
      </c>
      <c r="C90" s="220" t="s">
        <v>987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>
      <c r="B91" s="221">
        <v>46063</v>
      </c>
      <c r="C91" s="220" t="s">
        <v>988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>
      <c r="B92" s="221">
        <v>46063</v>
      </c>
      <c r="C92" s="220" t="s">
        <v>989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>
      <c r="B93" s="221">
        <v>46063</v>
      </c>
      <c r="C93" s="220" t="s">
        <v>990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>
      <c r="B94" s="221">
        <v>46064</v>
      </c>
      <c r="C94" s="220" t="s">
        <v>999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>
      <c r="B95" s="221">
        <v>46064</v>
      </c>
      <c r="C95" s="220" t="s">
        <v>1000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>
      <c r="B96" s="221">
        <v>46064</v>
      </c>
      <c r="C96" s="220" t="s">
        <v>1001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>
      <c r="B97" s="221">
        <v>46065</v>
      </c>
      <c r="C97" s="220" t="s">
        <v>1016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>
      <c r="B98" s="221">
        <v>46065</v>
      </c>
      <c r="C98" s="220" t="s">
        <v>1017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>
      <c r="B99" s="221">
        <v>46065</v>
      </c>
      <c r="C99" s="220" t="s">
        <v>1018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>
      <c r="B100" s="221">
        <v>46065</v>
      </c>
      <c r="C100" s="220" t="s">
        <v>1019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>
      <c r="B101" s="221">
        <v>46070</v>
      </c>
      <c r="C101" s="220" t="s">
        <v>1020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>
      <c r="B102" s="221">
        <v>46070</v>
      </c>
      <c r="C102" s="220" t="s">
        <v>1021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>
      <c r="B103" s="221">
        <v>46070</v>
      </c>
      <c r="C103" s="220" t="s">
        <v>1022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>
      <c r="C105" s="204" t="s">
        <v>722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4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1418D668-1050-4A24-AA46-1670C0328D19}">
  <ds:schemaRefs/>
</ds:datastoreItem>
</file>

<file path=customXml/itemProps3.xml><?xml version="1.0" encoding="utf-8"?>
<ds:datastoreItem xmlns:ds="http://schemas.openxmlformats.org/officeDocument/2006/customXml" ds:itemID="{C726001D-7FEF-4D60-904E-C515F2AE18B8}">
  <ds:schemaRefs/>
</ds:datastoreItem>
</file>

<file path=customXml/itemProps4.xml><?xml version="1.0" encoding="utf-8"?>
<ds:datastoreItem xmlns:ds="http://schemas.openxmlformats.org/officeDocument/2006/customXml" ds:itemID="{EB958FF7-32B5-452C-8F11-8544CBB63F8F}">
  <ds:schemaRefs/>
</ds:datastoreItem>
</file>

<file path=customXml/itemProps5.xml><?xml version="1.0" encoding="utf-8"?>
<ds:datastoreItem xmlns:ds="http://schemas.openxmlformats.org/officeDocument/2006/customXml" ds:itemID="{A0934C01-3E48-41D6-9342-1AD591BDF257}">
  <ds:schemaRefs/>
</ds:datastoreItem>
</file>

<file path=customXml/itemProps6.xml><?xml version="1.0" encoding="utf-8"?>
<ds:datastoreItem xmlns:ds="http://schemas.openxmlformats.org/officeDocument/2006/customXml" ds:itemID="{D28EB955-CC23-4425-9787-EEC98CAF383E}">
  <ds:schemaRefs/>
</ds:datastoreItem>
</file>

<file path=customXml/itemProps7.xml><?xml version="1.0" encoding="utf-8"?>
<ds:datastoreItem xmlns:ds="http://schemas.openxmlformats.org/officeDocument/2006/customXml" ds:itemID="{F0FF6FAD-D028-4BB2-9872-29442C59B600}">
  <ds:schemaRefs/>
</ds:datastoreItem>
</file>

<file path=customXml/itemProps8.xml><?xml version="1.0" encoding="utf-8"?>
<ds:datastoreItem xmlns:ds="http://schemas.openxmlformats.org/officeDocument/2006/customXml" ds:itemID="{3C2DB1DD-3D0B-439B-8CFE-28E9416D116E}">
  <ds:schemaRefs/>
</ds:datastoreItem>
</file>

<file path=customXml/itemProps9.xml><?xml version="1.0" encoding="utf-8"?>
<ds:datastoreItem xmlns:ds="http://schemas.openxmlformats.org/officeDocument/2006/customXml" ds:itemID="{1A9B4873-AFAD-44CE-B89A-8396ED0DDD47}">
  <ds:schemaRefs/>
</ds:datastoreItem>
</file>

<file path=customXml/itemProps10.xml><?xml version="1.0" encoding="utf-8"?>
<ds:datastoreItem xmlns:ds="http://schemas.openxmlformats.org/officeDocument/2006/customXml" ds:itemID="{903EB21E-C250-4F6A-B91B-A1775839E030}">
  <ds:schemaRefs/>
</ds:datastoreItem>
</file>

<file path=customXml/itemProps11.xml><?xml version="1.0" encoding="utf-8"?>
<ds:datastoreItem xmlns:ds="http://schemas.openxmlformats.org/officeDocument/2006/customXml" ds:itemID="{ABEAD05A-C539-4D33-95F2-6638E494C203}">
  <ds:schemaRefs/>
</ds:datastoreItem>
</file>

<file path=customXml/itemProps12.xml><?xml version="1.0" encoding="utf-8"?>
<ds:datastoreItem xmlns:ds="http://schemas.openxmlformats.org/officeDocument/2006/customXml" ds:itemID="{3E2E56A8-1290-4D72-872F-7ED42363545B}">
  <ds:schemaRefs/>
</ds:datastoreItem>
</file>

<file path=customXml/itemProps13.xml><?xml version="1.0" encoding="utf-8"?>
<ds:datastoreItem xmlns:ds="http://schemas.openxmlformats.org/officeDocument/2006/customXml" ds:itemID="{FEF94E45-EB58-4B60-A8DA-12401E2B8391}">
  <ds:schemaRefs/>
</ds:datastoreItem>
</file>

<file path=customXml/itemProps14.xml><?xml version="1.0" encoding="utf-8"?>
<ds:datastoreItem xmlns:ds="http://schemas.openxmlformats.org/officeDocument/2006/customXml" ds:itemID="{531B5D8A-9D0A-4E72-80E1-F14498B85837}">
  <ds:schemaRefs/>
</ds:datastoreItem>
</file>

<file path=customXml/itemProps15.xml><?xml version="1.0" encoding="utf-8"?>
<ds:datastoreItem xmlns:ds="http://schemas.openxmlformats.org/officeDocument/2006/customXml" ds:itemID="{01053647-D1C0-408E-BDFF-47027BB864E6}">
  <ds:schemaRefs/>
</ds:datastoreItem>
</file>

<file path=customXml/itemProps16.xml><?xml version="1.0" encoding="utf-8"?>
<ds:datastoreItem xmlns:ds="http://schemas.openxmlformats.org/officeDocument/2006/customXml" ds:itemID="{11FE2C8F-83A6-408B-A98A-41B704B98454}">
  <ds:schemaRefs/>
</ds:datastoreItem>
</file>

<file path=customXml/itemProps17.xml><?xml version="1.0" encoding="utf-8"?>
<ds:datastoreItem xmlns:ds="http://schemas.openxmlformats.org/officeDocument/2006/customXml" ds:itemID="{F743BC9B-F626-443C-8944-CCA557256B30}">
  <ds:schemaRefs/>
</ds:datastoreItem>
</file>

<file path=customXml/itemProps18.xml><?xml version="1.0" encoding="utf-8"?>
<ds:datastoreItem xmlns:ds="http://schemas.openxmlformats.org/officeDocument/2006/customXml" ds:itemID="{5C390BFF-7F94-40C9-8244-56E47562B85E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2026-08-10T14:41:04Z</dcterms:modified>
</cp:coreProperties>
</file>