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G4055" i="11" l="1"/>
  <c r="M4055" i="11" s="1"/>
  <c r="L4055" i="11"/>
  <c r="N4055" i="11"/>
  <c r="O4055" i="11"/>
  <c r="Q4055" i="11"/>
  <c r="R4055" i="11"/>
  <c r="S4055" i="11"/>
  <c r="T4055" i="11"/>
  <c r="G4056" i="11"/>
  <c r="L4056" i="11"/>
  <c r="M4056" i="11"/>
  <c r="N4056" i="11"/>
  <c r="O4056" i="11"/>
  <c r="Q4056" i="11"/>
  <c r="R4056" i="11"/>
  <c r="S4056" i="11"/>
  <c r="T4056" i="11"/>
  <c r="I280" i="13"/>
  <c r="AZ280" i="13"/>
  <c r="I279" i="13"/>
  <c r="AZ279" i="13"/>
  <c r="J4054" i="11"/>
  <c r="K4054" i="11"/>
  <c r="J4053" i="11"/>
  <c r="K4053" i="11"/>
  <c r="J4051" i="11"/>
  <c r="K4051" i="11"/>
  <c r="J4049" i="11"/>
  <c r="K4049" i="11"/>
  <c r="N4049" i="11" s="1"/>
  <c r="K4043" i="11"/>
  <c r="K4038" i="11"/>
  <c r="J4038" i="11" s="1"/>
  <c r="K4037" i="11"/>
  <c r="N4037" i="11" s="1"/>
  <c r="G4028" i="11"/>
  <c r="M4028" i="11" s="1"/>
  <c r="G4029" i="11"/>
  <c r="M4029" i="11" s="1"/>
  <c r="G4030" i="11"/>
  <c r="M4030" i="11" s="1"/>
  <c r="G4031" i="11"/>
  <c r="M4031" i="11" s="1"/>
  <c r="G4032" i="11"/>
  <c r="M4032" i="11" s="1"/>
  <c r="G4033" i="11"/>
  <c r="M4033" i="11" s="1"/>
  <c r="G4034" i="11"/>
  <c r="M4034" i="11" s="1"/>
  <c r="G4035" i="11"/>
  <c r="M4035" i="11" s="1"/>
  <c r="G4036" i="11"/>
  <c r="M4036" i="11" s="1"/>
  <c r="G4037" i="11"/>
  <c r="M4037" i="11" s="1"/>
  <c r="G4038" i="11"/>
  <c r="M4038" i="11" s="1"/>
  <c r="G4039" i="11"/>
  <c r="M4039" i="11" s="1"/>
  <c r="G4040" i="11"/>
  <c r="M4040" i="11" s="1"/>
  <c r="G4041" i="11"/>
  <c r="M4041" i="11" s="1"/>
  <c r="G4042" i="11"/>
  <c r="M4042" i="11" s="1"/>
  <c r="G4043" i="11"/>
  <c r="M4043" i="11" s="1"/>
  <c r="G4044" i="11"/>
  <c r="M4044" i="11" s="1"/>
  <c r="G4045" i="11"/>
  <c r="M4045" i="11" s="1"/>
  <c r="G4046" i="11"/>
  <c r="M4046" i="11" s="1"/>
  <c r="G4047" i="11"/>
  <c r="G4048" i="11"/>
  <c r="M4048" i="11" s="1"/>
  <c r="G4049" i="11"/>
  <c r="M4049" i="11" s="1"/>
  <c r="G4050" i="11"/>
  <c r="M4050" i="11" s="1"/>
  <c r="G4051" i="11"/>
  <c r="M4051" i="11" s="1"/>
  <c r="G4052" i="11"/>
  <c r="M4052" i="11" s="1"/>
  <c r="G4053" i="11"/>
  <c r="M4053" i="11" s="1"/>
  <c r="G4054" i="11"/>
  <c r="M4054" i="11" s="1"/>
  <c r="L4028" i="11"/>
  <c r="L4029" i="11"/>
  <c r="L4030" i="11"/>
  <c r="L4031" i="11"/>
  <c r="L4032" i="11"/>
  <c r="L4033" i="11"/>
  <c r="L4034" i="11"/>
  <c r="L4035" i="11"/>
  <c r="L4036" i="11"/>
  <c r="L4037" i="11"/>
  <c r="L4038" i="11"/>
  <c r="L4039" i="11"/>
  <c r="L4040" i="11"/>
  <c r="L4041" i="11"/>
  <c r="L4042" i="11"/>
  <c r="L4043" i="11"/>
  <c r="L4044" i="11"/>
  <c r="L4045" i="11"/>
  <c r="L4046" i="11"/>
  <c r="L4047" i="11"/>
  <c r="L4048" i="11"/>
  <c r="L4049" i="11"/>
  <c r="L4050" i="11"/>
  <c r="L4051" i="11"/>
  <c r="L4052" i="11"/>
  <c r="L4053" i="11"/>
  <c r="L4054" i="11"/>
  <c r="M4047" i="11"/>
  <c r="N4028" i="11"/>
  <c r="N4029" i="11"/>
  <c r="N4030" i="11"/>
  <c r="N4031" i="11"/>
  <c r="N4032" i="11"/>
  <c r="N4033" i="11"/>
  <c r="N4034" i="11"/>
  <c r="N4035" i="11"/>
  <c r="N4036" i="11"/>
  <c r="N4038" i="11"/>
  <c r="N4039" i="11"/>
  <c r="N4040" i="11"/>
  <c r="N4041" i="11"/>
  <c r="N4042" i="11"/>
  <c r="N4043" i="11"/>
  <c r="N4044" i="11"/>
  <c r="N4045" i="11"/>
  <c r="N4046" i="11"/>
  <c r="N4047" i="11"/>
  <c r="N4048" i="11"/>
  <c r="N4050" i="11"/>
  <c r="N4051" i="11"/>
  <c r="N4052" i="11"/>
  <c r="N4053" i="11"/>
  <c r="N4054" i="11"/>
  <c r="O4028" i="11"/>
  <c r="O4029" i="11"/>
  <c r="O4030" i="11"/>
  <c r="O4031" i="11"/>
  <c r="O4032" i="11"/>
  <c r="O4033" i="11"/>
  <c r="O4034" i="11"/>
  <c r="O4035" i="11"/>
  <c r="O4036" i="11"/>
  <c r="O4037" i="11"/>
  <c r="O4038" i="11"/>
  <c r="O4039" i="11"/>
  <c r="O4040" i="11"/>
  <c r="O4041" i="11"/>
  <c r="O4042" i="11"/>
  <c r="O4043" i="11"/>
  <c r="O4044" i="11"/>
  <c r="O4045" i="11"/>
  <c r="O4046" i="11"/>
  <c r="O4047" i="11"/>
  <c r="O4048" i="11"/>
  <c r="O4049" i="11"/>
  <c r="O4050" i="11"/>
  <c r="O4051" i="11"/>
  <c r="O4052" i="11"/>
  <c r="O4053" i="11"/>
  <c r="O4054" i="11"/>
  <c r="Q4028" i="11"/>
  <c r="Q4029" i="11"/>
  <c r="Q4030" i="11"/>
  <c r="Q4031" i="11"/>
  <c r="Q4032" i="11"/>
  <c r="Q4033" i="11"/>
  <c r="Q4034" i="11"/>
  <c r="Q4035" i="11"/>
  <c r="Q4036" i="11"/>
  <c r="Q4037" i="11"/>
  <c r="Q4038" i="11"/>
  <c r="Q4039" i="11"/>
  <c r="Q4040" i="11"/>
  <c r="Q4041" i="11"/>
  <c r="Q4042" i="11"/>
  <c r="Q4043" i="11"/>
  <c r="Q4044" i="11"/>
  <c r="Q4045" i="11"/>
  <c r="Q4046" i="11"/>
  <c r="Q4047" i="11"/>
  <c r="Q4048" i="11"/>
  <c r="Q4049" i="11"/>
  <c r="Q4050" i="11"/>
  <c r="Q4051" i="11"/>
  <c r="Q4052" i="11"/>
  <c r="Q4053" i="11"/>
  <c r="Q4054" i="11"/>
  <c r="R4028" i="11"/>
  <c r="R4029" i="11"/>
  <c r="R4030" i="11"/>
  <c r="R4031" i="11"/>
  <c r="R4032" i="11"/>
  <c r="R4033" i="11"/>
  <c r="R4034" i="11"/>
  <c r="R4035" i="11"/>
  <c r="R4036" i="11"/>
  <c r="R4037" i="11"/>
  <c r="R4038" i="11"/>
  <c r="R4039" i="11"/>
  <c r="R4040" i="11"/>
  <c r="R4041" i="11"/>
  <c r="R4042" i="11"/>
  <c r="R4043" i="11"/>
  <c r="R4044" i="11"/>
  <c r="R4045" i="11"/>
  <c r="R4046" i="11"/>
  <c r="R4047" i="11"/>
  <c r="R4048" i="11"/>
  <c r="R4049" i="11"/>
  <c r="R4050" i="11"/>
  <c r="R4051" i="11"/>
  <c r="R4052" i="11"/>
  <c r="R4053" i="11"/>
  <c r="R4054" i="11"/>
  <c r="S4028" i="11"/>
  <c r="S4029" i="11"/>
  <c r="S4030" i="11"/>
  <c r="S4031" i="11"/>
  <c r="S4032" i="11"/>
  <c r="S4033" i="11"/>
  <c r="S4034" i="11"/>
  <c r="S4035" i="11"/>
  <c r="S4036" i="11"/>
  <c r="S4037" i="11"/>
  <c r="S4038" i="11"/>
  <c r="S4039" i="11"/>
  <c r="S4040" i="11"/>
  <c r="S4041" i="11"/>
  <c r="S4042" i="11"/>
  <c r="S4043" i="11"/>
  <c r="S4044" i="11"/>
  <c r="S4045" i="11"/>
  <c r="S4046" i="11"/>
  <c r="S4047" i="11"/>
  <c r="S4048" i="11"/>
  <c r="S4049" i="11"/>
  <c r="S4050" i="11"/>
  <c r="S4051" i="11"/>
  <c r="S4052" i="11"/>
  <c r="S4053" i="11"/>
  <c r="S4054" i="11"/>
  <c r="T4028" i="11"/>
  <c r="T4029" i="11"/>
  <c r="T4030" i="11"/>
  <c r="T4031" i="11"/>
  <c r="T4032" i="11"/>
  <c r="T4033" i="11"/>
  <c r="T4034" i="11"/>
  <c r="T4035" i="11"/>
  <c r="T4036" i="11"/>
  <c r="T4037" i="11"/>
  <c r="T4038" i="11"/>
  <c r="T4039" i="11"/>
  <c r="T4040" i="11"/>
  <c r="T4041" i="11"/>
  <c r="T4042" i="11"/>
  <c r="T4043" i="11"/>
  <c r="T4044" i="11"/>
  <c r="T4045" i="11"/>
  <c r="T4046" i="11"/>
  <c r="T4047" i="11"/>
  <c r="T4048" i="11"/>
  <c r="T4049" i="11"/>
  <c r="T4050" i="11"/>
  <c r="T4051" i="11"/>
  <c r="T4052" i="11"/>
  <c r="T4053" i="11"/>
  <c r="T4054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J4037" i="11" l="1"/>
  <c r="K4027" i="11"/>
  <c r="J4027" i="11" s="1"/>
  <c r="K4025" i="11"/>
  <c r="J4025" i="11" s="1"/>
  <c r="K4021" i="11"/>
  <c r="N4021" i="11" s="1"/>
  <c r="K4018" i="11"/>
  <c r="J4018" i="11" s="1"/>
  <c r="G4014" i="11"/>
  <c r="M4014" i="11" s="1"/>
  <c r="G4015" i="11"/>
  <c r="M4015" i="11" s="1"/>
  <c r="G4016" i="11"/>
  <c r="M4016" i="11" s="1"/>
  <c r="G4017" i="11"/>
  <c r="M4017" i="11" s="1"/>
  <c r="G4018" i="11"/>
  <c r="M4018" i="11" s="1"/>
  <c r="G4019" i="11"/>
  <c r="M4019" i="11" s="1"/>
  <c r="G4020" i="11"/>
  <c r="M4020" i="11" s="1"/>
  <c r="G4021" i="11"/>
  <c r="M4021" i="11" s="1"/>
  <c r="G4022" i="11"/>
  <c r="M4022" i="11" s="1"/>
  <c r="G4023" i="11"/>
  <c r="M4023" i="11" s="1"/>
  <c r="G4024" i="11"/>
  <c r="M4024" i="11" s="1"/>
  <c r="G4025" i="11"/>
  <c r="M4025" i="11" s="1"/>
  <c r="G4026" i="11"/>
  <c r="M4026" i="11" s="1"/>
  <c r="G4027" i="11"/>
  <c r="M4027" i="11" s="1"/>
  <c r="L4014" i="11"/>
  <c r="L4015" i="11"/>
  <c r="L4016" i="11"/>
  <c r="L4017" i="11"/>
  <c r="L4018" i="11"/>
  <c r="L4019" i="11"/>
  <c r="L4020" i="11"/>
  <c r="L4021" i="11"/>
  <c r="L4022" i="11"/>
  <c r="L4023" i="11"/>
  <c r="L4024" i="11"/>
  <c r="L4025" i="11"/>
  <c r="L4026" i="11"/>
  <c r="L4027" i="11"/>
  <c r="N4014" i="11"/>
  <c r="N4015" i="11"/>
  <c r="N4016" i="11"/>
  <c r="N4017" i="11"/>
  <c r="N4018" i="11"/>
  <c r="N4019" i="11"/>
  <c r="N4020" i="11"/>
  <c r="N4022" i="11"/>
  <c r="N4023" i="11"/>
  <c r="N4024" i="11"/>
  <c r="N4025" i="11"/>
  <c r="N4026" i="11"/>
  <c r="N4027" i="11"/>
  <c r="O4014" i="11"/>
  <c r="O4015" i="11"/>
  <c r="O4016" i="11"/>
  <c r="O4017" i="11"/>
  <c r="O4018" i="11"/>
  <c r="O4019" i="11"/>
  <c r="O4020" i="11"/>
  <c r="O4021" i="11"/>
  <c r="O4022" i="11"/>
  <c r="O4023" i="11"/>
  <c r="O4024" i="11"/>
  <c r="O4025" i="11"/>
  <c r="O4026" i="11"/>
  <c r="O4027" i="11"/>
  <c r="Q4014" i="11"/>
  <c r="Q4015" i="11"/>
  <c r="Q4016" i="11"/>
  <c r="Q4017" i="11"/>
  <c r="Q4018" i="11"/>
  <c r="Q4019" i="11"/>
  <c r="Q4020" i="11"/>
  <c r="Q4021" i="11"/>
  <c r="Q4022" i="11"/>
  <c r="Q4023" i="11"/>
  <c r="Q4024" i="11"/>
  <c r="Q4025" i="11"/>
  <c r="Q4026" i="11"/>
  <c r="Q4027" i="11"/>
  <c r="R4014" i="11"/>
  <c r="R4015" i="11"/>
  <c r="R4016" i="11"/>
  <c r="R4017" i="11"/>
  <c r="R4018" i="11"/>
  <c r="R4019" i="11"/>
  <c r="R4020" i="11"/>
  <c r="R4021" i="11"/>
  <c r="R4022" i="11"/>
  <c r="R4023" i="11"/>
  <c r="R4024" i="11"/>
  <c r="R4025" i="11"/>
  <c r="R4026" i="11"/>
  <c r="R4027" i="11"/>
  <c r="S4014" i="11"/>
  <c r="S4015" i="11"/>
  <c r="S4016" i="11"/>
  <c r="S4017" i="11"/>
  <c r="S4018" i="11"/>
  <c r="S4019" i="11"/>
  <c r="S4020" i="11"/>
  <c r="S4021" i="11"/>
  <c r="S4022" i="11"/>
  <c r="S4023" i="11"/>
  <c r="S4024" i="11"/>
  <c r="S4025" i="11"/>
  <c r="S4026" i="11"/>
  <c r="S4027" i="11"/>
  <c r="T4014" i="11"/>
  <c r="T4015" i="11"/>
  <c r="T4016" i="11"/>
  <c r="T4017" i="11"/>
  <c r="T4018" i="11"/>
  <c r="T4019" i="11"/>
  <c r="T4020" i="11"/>
  <c r="T4021" i="11"/>
  <c r="T4022" i="11"/>
  <c r="T4023" i="11"/>
  <c r="T4024" i="11"/>
  <c r="T4025" i="11"/>
  <c r="T4026" i="11"/>
  <c r="T4027" i="11"/>
  <c r="J4021" i="11" l="1"/>
  <c r="I278" i="13"/>
  <c r="AZ278" i="13"/>
  <c r="K4011" i="11"/>
  <c r="J4011" i="11" s="1"/>
  <c r="G4009" i="11"/>
  <c r="M4009" i="11" s="1"/>
  <c r="G4010" i="11"/>
  <c r="M4010" i="11" s="1"/>
  <c r="G4011" i="11"/>
  <c r="M4011" i="11" s="1"/>
  <c r="G4012" i="11"/>
  <c r="M4012" i="11" s="1"/>
  <c r="G4013" i="11"/>
  <c r="M4013" i="11" s="1"/>
  <c r="L4009" i="11"/>
  <c r="L4010" i="11"/>
  <c r="L4011" i="11"/>
  <c r="L4012" i="11"/>
  <c r="L4013" i="11"/>
  <c r="N4009" i="11"/>
  <c r="N4010" i="11"/>
  <c r="N4011" i="11"/>
  <c r="N4012" i="11"/>
  <c r="N4013" i="11"/>
  <c r="O4009" i="11"/>
  <c r="O4010" i="11"/>
  <c r="O4011" i="11"/>
  <c r="O4012" i="11"/>
  <c r="O4013" i="11"/>
  <c r="Q4009" i="11"/>
  <c r="Q4010" i="11"/>
  <c r="Q4011" i="11"/>
  <c r="Q4012" i="11"/>
  <c r="Q4013" i="11"/>
  <c r="R4009" i="11"/>
  <c r="R4010" i="11"/>
  <c r="R4011" i="11"/>
  <c r="R4012" i="11"/>
  <c r="R4013" i="11"/>
  <c r="S4009" i="11"/>
  <c r="S4010" i="11"/>
  <c r="S4011" i="11"/>
  <c r="S4012" i="11"/>
  <c r="S4013" i="11"/>
  <c r="T4009" i="11"/>
  <c r="T4010" i="11"/>
  <c r="T4011" i="11"/>
  <c r="T4012" i="11"/>
  <c r="T4013" i="11"/>
  <c r="I277" i="13" l="1"/>
  <c r="AZ277" i="13"/>
  <c r="K4007" i="11"/>
  <c r="N4007" i="11" s="1"/>
  <c r="K4005" i="11"/>
  <c r="G3999" i="11"/>
  <c r="M3999" i="11" s="1"/>
  <c r="G4000" i="11"/>
  <c r="M4000" i="11" s="1"/>
  <c r="G4001" i="11"/>
  <c r="M4001" i="11" s="1"/>
  <c r="G4002" i="11"/>
  <c r="M4002" i="11" s="1"/>
  <c r="G4003" i="11"/>
  <c r="M4003" i="11" s="1"/>
  <c r="G4004" i="11"/>
  <c r="M4004" i="11" s="1"/>
  <c r="G4005" i="11"/>
  <c r="M4005" i="11" s="1"/>
  <c r="G4006" i="11"/>
  <c r="M4006" i="11" s="1"/>
  <c r="G4007" i="11"/>
  <c r="G4008" i="11"/>
  <c r="M4008" i="11" s="1"/>
  <c r="L3999" i="11"/>
  <c r="L4000" i="11"/>
  <c r="L4001" i="11"/>
  <c r="L4002" i="11"/>
  <c r="L4003" i="11"/>
  <c r="L4004" i="11"/>
  <c r="L4005" i="11"/>
  <c r="L4006" i="11"/>
  <c r="L4007" i="11"/>
  <c r="L4008" i="11"/>
  <c r="M4007" i="11"/>
  <c r="N3999" i="11"/>
  <c r="N4000" i="11"/>
  <c r="N4001" i="11"/>
  <c r="N4002" i="11"/>
  <c r="N4003" i="11"/>
  <c r="N4004" i="11"/>
  <c r="N4005" i="11"/>
  <c r="N4006" i="11"/>
  <c r="N4008" i="11"/>
  <c r="O3999" i="11"/>
  <c r="O4000" i="11"/>
  <c r="O4001" i="11"/>
  <c r="O4002" i="11"/>
  <c r="O4003" i="11"/>
  <c r="O4004" i="11"/>
  <c r="O4005" i="11"/>
  <c r="O4006" i="11"/>
  <c r="O4007" i="11"/>
  <c r="O4008" i="11"/>
  <c r="Q3999" i="11"/>
  <c r="Q4000" i="11"/>
  <c r="Q4001" i="11"/>
  <c r="Q4002" i="11"/>
  <c r="Q4003" i="11"/>
  <c r="Q4004" i="11"/>
  <c r="Q4005" i="11"/>
  <c r="Q4006" i="11"/>
  <c r="Q4007" i="11"/>
  <c r="Q4008" i="11"/>
  <c r="R3999" i="11"/>
  <c r="R4000" i="11"/>
  <c r="R4001" i="11"/>
  <c r="R4002" i="11"/>
  <c r="R4003" i="11"/>
  <c r="R4004" i="11"/>
  <c r="R4005" i="11"/>
  <c r="R4006" i="11"/>
  <c r="R4007" i="11"/>
  <c r="R4008" i="11"/>
  <c r="S3999" i="11"/>
  <c r="S4000" i="11"/>
  <c r="S4001" i="11"/>
  <c r="S4002" i="11"/>
  <c r="S4003" i="11"/>
  <c r="S4004" i="11"/>
  <c r="S4005" i="11"/>
  <c r="S4006" i="11"/>
  <c r="S4007" i="11"/>
  <c r="S4008" i="11"/>
  <c r="T3999" i="11"/>
  <c r="T4000" i="11"/>
  <c r="T4001" i="11"/>
  <c r="T4002" i="11"/>
  <c r="T4003" i="11"/>
  <c r="T4004" i="11"/>
  <c r="T4005" i="11"/>
  <c r="T4006" i="11"/>
  <c r="T4007" i="11"/>
  <c r="T4008" i="11"/>
  <c r="J4007" i="11" l="1"/>
  <c r="G3993" i="11"/>
  <c r="M3993" i="11" s="1"/>
  <c r="G3994" i="11"/>
  <c r="M3994" i="11" s="1"/>
  <c r="G3995" i="11"/>
  <c r="M3995" i="11" s="1"/>
  <c r="G3996" i="11"/>
  <c r="M3996" i="11" s="1"/>
  <c r="G3997" i="11"/>
  <c r="M3997" i="11" s="1"/>
  <c r="G3998" i="11"/>
  <c r="M3998" i="11" s="1"/>
  <c r="L3993" i="11"/>
  <c r="L3994" i="11"/>
  <c r="L3995" i="11"/>
  <c r="L3996" i="11"/>
  <c r="L3997" i="11"/>
  <c r="L3998" i="11"/>
  <c r="N3993" i="11"/>
  <c r="N3994" i="11"/>
  <c r="N3995" i="11"/>
  <c r="N3996" i="11"/>
  <c r="N3997" i="11"/>
  <c r="N3998" i="11"/>
  <c r="O3993" i="11"/>
  <c r="O3994" i="11"/>
  <c r="O3995" i="11"/>
  <c r="O3996" i="11"/>
  <c r="O3997" i="11"/>
  <c r="O3998" i="11"/>
  <c r="Q3993" i="11"/>
  <c r="Q3994" i="11"/>
  <c r="Q3995" i="11"/>
  <c r="Q3996" i="11"/>
  <c r="Q3997" i="11"/>
  <c r="Q3998" i="11"/>
  <c r="R3993" i="11"/>
  <c r="R3994" i="11"/>
  <c r="R3995" i="11"/>
  <c r="R3996" i="11"/>
  <c r="R3997" i="11"/>
  <c r="R3998" i="11"/>
  <c r="S3993" i="11"/>
  <c r="S3994" i="11"/>
  <c r="S3995" i="11"/>
  <c r="S3996" i="11"/>
  <c r="S3997" i="11"/>
  <c r="S3998" i="11"/>
  <c r="T3993" i="11"/>
  <c r="T3994" i="11"/>
  <c r="T3995" i="11"/>
  <c r="T3996" i="11"/>
  <c r="T3997" i="11"/>
  <c r="T3998" i="11"/>
  <c r="I276" i="13" l="1"/>
  <c r="AZ276" i="13"/>
  <c r="I275" i="13"/>
  <c r="AZ275" i="13"/>
  <c r="G3985" i="11"/>
  <c r="M3985" i="11" s="1"/>
  <c r="G3986" i="11"/>
  <c r="M3986" i="11" s="1"/>
  <c r="G3987" i="11"/>
  <c r="M3987" i="11" s="1"/>
  <c r="G3988" i="11"/>
  <c r="M3988" i="11" s="1"/>
  <c r="G3989" i="11"/>
  <c r="M3989" i="11" s="1"/>
  <c r="G3990" i="11"/>
  <c r="M3990" i="11" s="1"/>
  <c r="G3991" i="11"/>
  <c r="M3991" i="11" s="1"/>
  <c r="G3992" i="11"/>
  <c r="M3992" i="11" s="1"/>
  <c r="L3985" i="11"/>
  <c r="L3986" i="11"/>
  <c r="L3987" i="11"/>
  <c r="L3988" i="11"/>
  <c r="L3989" i="11"/>
  <c r="L3990" i="11"/>
  <c r="L3991" i="11"/>
  <c r="L3992" i="11"/>
  <c r="N3985" i="11"/>
  <c r="N3986" i="11"/>
  <c r="N3987" i="11"/>
  <c r="N3988" i="11"/>
  <c r="N3989" i="11"/>
  <c r="N3990" i="11"/>
  <c r="N3991" i="11"/>
  <c r="N3992" i="11"/>
  <c r="O3985" i="11"/>
  <c r="O3986" i="11"/>
  <c r="O3987" i="11"/>
  <c r="O3988" i="11"/>
  <c r="O3989" i="11"/>
  <c r="O3990" i="11"/>
  <c r="O3991" i="11"/>
  <c r="O3992" i="11"/>
  <c r="Q3985" i="11"/>
  <c r="Q3986" i="11"/>
  <c r="Q3987" i="11"/>
  <c r="Q3988" i="11"/>
  <c r="Q3989" i="11"/>
  <c r="Q3990" i="11"/>
  <c r="Q3991" i="11"/>
  <c r="Q3992" i="11"/>
  <c r="R3985" i="11"/>
  <c r="R3986" i="11"/>
  <c r="R3987" i="11"/>
  <c r="R3988" i="11"/>
  <c r="R3989" i="11"/>
  <c r="R3990" i="11"/>
  <c r="R3991" i="11"/>
  <c r="R3992" i="11"/>
  <c r="S3985" i="11"/>
  <c r="S3986" i="11"/>
  <c r="S3987" i="11"/>
  <c r="S3988" i="11"/>
  <c r="S3989" i="11"/>
  <c r="S3990" i="11"/>
  <c r="S3991" i="11"/>
  <c r="S3992" i="11"/>
  <c r="T3985" i="11"/>
  <c r="T3986" i="11"/>
  <c r="T3987" i="11"/>
  <c r="T3988" i="11"/>
  <c r="T3989" i="11"/>
  <c r="T3990" i="11"/>
  <c r="T3991" i="11"/>
  <c r="T3992" i="11"/>
  <c r="I274" i="13" l="1"/>
  <c r="AZ274" i="13"/>
  <c r="V3975" i="11"/>
  <c r="V3974" i="11"/>
  <c r="G3975" i="11"/>
  <c r="M3975" i="11" s="1"/>
  <c r="L3975" i="11"/>
  <c r="N3975" i="11"/>
  <c r="O3975" i="11"/>
  <c r="Q3975" i="11"/>
  <c r="R3975" i="11"/>
  <c r="S3975" i="11"/>
  <c r="T3975" i="11"/>
  <c r="K3969" i="11"/>
  <c r="J3969" i="11" s="1"/>
  <c r="U3964" i="11"/>
  <c r="V3964" i="11" s="1"/>
  <c r="V3965" i="11"/>
  <c r="J3964" i="11"/>
  <c r="G3965" i="11"/>
  <c r="M3965" i="11" s="1"/>
  <c r="L3965" i="11"/>
  <c r="N3965" i="11"/>
  <c r="O3965" i="11"/>
  <c r="Q3965" i="11"/>
  <c r="R3965" i="11"/>
  <c r="S3965" i="11"/>
  <c r="T3965" i="11"/>
  <c r="K3958" i="11"/>
  <c r="N3958" i="11" s="1"/>
  <c r="K3954" i="11"/>
  <c r="N3954" i="11" s="1"/>
  <c r="K3949" i="11"/>
  <c r="N3949" i="11" s="1"/>
  <c r="G3949" i="11"/>
  <c r="M3949" i="11" s="1"/>
  <c r="G3950" i="11"/>
  <c r="M3950" i="11" s="1"/>
  <c r="G3951" i="11"/>
  <c r="M3951" i="11" s="1"/>
  <c r="G3952" i="11"/>
  <c r="M3952" i="11" s="1"/>
  <c r="G3953" i="11"/>
  <c r="M3953" i="11" s="1"/>
  <c r="G3954" i="11"/>
  <c r="M3954" i="11" s="1"/>
  <c r="G3955" i="11"/>
  <c r="M3955" i="11" s="1"/>
  <c r="G3956" i="11"/>
  <c r="M3956" i="11" s="1"/>
  <c r="G3957" i="11"/>
  <c r="M3957" i="11" s="1"/>
  <c r="G3958" i="11"/>
  <c r="M3958" i="11" s="1"/>
  <c r="G3959" i="11"/>
  <c r="M3959" i="11" s="1"/>
  <c r="G3960" i="11"/>
  <c r="M3960" i="11" s="1"/>
  <c r="G3961" i="11"/>
  <c r="M3961" i="11" s="1"/>
  <c r="G3962" i="11"/>
  <c r="M3962" i="11" s="1"/>
  <c r="G3963" i="11"/>
  <c r="M3963" i="11" s="1"/>
  <c r="G3964" i="11"/>
  <c r="M3964" i="11" s="1"/>
  <c r="G3966" i="11"/>
  <c r="M3966" i="11" s="1"/>
  <c r="G3967" i="11"/>
  <c r="M3967" i="11" s="1"/>
  <c r="G3968" i="11"/>
  <c r="M3968" i="11" s="1"/>
  <c r="G3969" i="11"/>
  <c r="M3969" i="11" s="1"/>
  <c r="G3970" i="11"/>
  <c r="M3970" i="11" s="1"/>
  <c r="G3971" i="11"/>
  <c r="M3971" i="11" s="1"/>
  <c r="G3972" i="11"/>
  <c r="M3972" i="11" s="1"/>
  <c r="G3973" i="11"/>
  <c r="M3973" i="11" s="1"/>
  <c r="G3974" i="11"/>
  <c r="M3974" i="11" s="1"/>
  <c r="G3976" i="11"/>
  <c r="M3976" i="11" s="1"/>
  <c r="G3977" i="11"/>
  <c r="M3977" i="11" s="1"/>
  <c r="G3978" i="11"/>
  <c r="M3978" i="11" s="1"/>
  <c r="G3979" i="11"/>
  <c r="M3979" i="11" s="1"/>
  <c r="G3980" i="11"/>
  <c r="M3980" i="11" s="1"/>
  <c r="G3981" i="11"/>
  <c r="M3981" i="11" s="1"/>
  <c r="G3982" i="11"/>
  <c r="M3982" i="11" s="1"/>
  <c r="G3983" i="11"/>
  <c r="M3983" i="11" s="1"/>
  <c r="G3984" i="11"/>
  <c r="M3984" i="11" s="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6" i="11"/>
  <c r="L3967" i="11"/>
  <c r="L3968" i="11"/>
  <c r="L3969" i="11"/>
  <c r="L3970" i="11"/>
  <c r="L3971" i="11"/>
  <c r="L3972" i="11"/>
  <c r="L3973" i="11"/>
  <c r="L3974" i="11"/>
  <c r="L3976" i="11"/>
  <c r="L3977" i="11"/>
  <c r="L3978" i="11"/>
  <c r="L3979" i="11"/>
  <c r="L3980" i="11"/>
  <c r="L3981" i="11"/>
  <c r="L3982" i="11"/>
  <c r="L3983" i="11"/>
  <c r="L3984" i="11"/>
  <c r="N3950" i="11"/>
  <c r="N3951" i="11"/>
  <c r="N3952" i="11"/>
  <c r="N3953" i="11"/>
  <c r="N3955" i="11"/>
  <c r="N3956" i="11"/>
  <c r="N3957" i="11"/>
  <c r="N3959" i="11"/>
  <c r="N3960" i="11"/>
  <c r="N3961" i="11"/>
  <c r="N3962" i="11"/>
  <c r="N3963" i="11"/>
  <c r="N3964" i="11"/>
  <c r="N3966" i="11"/>
  <c r="N3967" i="11"/>
  <c r="N3968" i="11"/>
  <c r="N3969" i="11"/>
  <c r="N3970" i="11"/>
  <c r="N3971" i="11"/>
  <c r="N3972" i="11"/>
  <c r="N3973" i="11"/>
  <c r="N3974" i="11"/>
  <c r="N3976" i="11"/>
  <c r="N3977" i="11"/>
  <c r="N3978" i="11"/>
  <c r="N3979" i="11"/>
  <c r="N3980" i="11"/>
  <c r="N3981" i="11"/>
  <c r="N3982" i="11"/>
  <c r="N3983" i="11"/>
  <c r="N3984" i="11"/>
  <c r="O3949" i="11"/>
  <c r="O3950" i="11"/>
  <c r="O3951" i="11"/>
  <c r="O3952" i="11"/>
  <c r="O3953" i="11"/>
  <c r="O3954" i="11"/>
  <c r="O3955" i="11"/>
  <c r="O3956" i="11"/>
  <c r="O3957" i="11"/>
  <c r="O3958" i="11"/>
  <c r="O3959" i="11"/>
  <c r="O3960" i="11"/>
  <c r="O3961" i="11"/>
  <c r="O3962" i="11"/>
  <c r="O3963" i="11"/>
  <c r="O3964" i="11"/>
  <c r="O3966" i="11"/>
  <c r="O3967" i="11"/>
  <c r="O3968" i="11"/>
  <c r="O3969" i="11"/>
  <c r="O3970" i="11"/>
  <c r="O3971" i="11"/>
  <c r="O3972" i="11"/>
  <c r="O3973" i="11"/>
  <c r="O3974" i="11"/>
  <c r="O3976" i="11"/>
  <c r="O3977" i="11"/>
  <c r="O3978" i="11"/>
  <c r="O3979" i="11"/>
  <c r="O3980" i="11"/>
  <c r="O3981" i="11"/>
  <c r="O3982" i="11"/>
  <c r="O3983" i="11"/>
  <c r="O3984" i="11"/>
  <c r="Q3949" i="11"/>
  <c r="Q3950" i="11"/>
  <c r="Q3951" i="11"/>
  <c r="Q3952" i="11"/>
  <c r="Q3953" i="11"/>
  <c r="Q3954" i="11"/>
  <c r="Q3955" i="11"/>
  <c r="Q3956" i="11"/>
  <c r="Q3957" i="11"/>
  <c r="Q3958" i="11"/>
  <c r="Q3959" i="11"/>
  <c r="Q3960" i="11"/>
  <c r="Q3961" i="11"/>
  <c r="Q3962" i="11"/>
  <c r="Q3963" i="11"/>
  <c r="Q3964" i="11"/>
  <c r="Q3966" i="11"/>
  <c r="Q3967" i="11"/>
  <c r="Q3968" i="11"/>
  <c r="Q3969" i="11"/>
  <c r="Q3970" i="11"/>
  <c r="Q3971" i="11"/>
  <c r="Q3972" i="11"/>
  <c r="Q3973" i="11"/>
  <c r="Q3974" i="11"/>
  <c r="Q3976" i="11"/>
  <c r="Q3977" i="11"/>
  <c r="Q3978" i="11"/>
  <c r="Q3979" i="11"/>
  <c r="Q3980" i="11"/>
  <c r="Q3981" i="11"/>
  <c r="Q3982" i="11"/>
  <c r="Q3983" i="11"/>
  <c r="Q3984" i="11"/>
  <c r="R3949" i="11"/>
  <c r="R3950" i="11"/>
  <c r="R3951" i="11"/>
  <c r="R3952" i="11"/>
  <c r="R3953" i="11"/>
  <c r="R3954" i="11"/>
  <c r="R3955" i="11"/>
  <c r="R3956" i="11"/>
  <c r="R3957" i="11"/>
  <c r="R3958" i="11"/>
  <c r="R3959" i="11"/>
  <c r="R3960" i="11"/>
  <c r="R3961" i="11"/>
  <c r="R3962" i="11"/>
  <c r="R3963" i="11"/>
  <c r="R3964" i="11"/>
  <c r="R3966" i="11"/>
  <c r="R3967" i="11"/>
  <c r="R3968" i="11"/>
  <c r="R3969" i="11"/>
  <c r="R3970" i="11"/>
  <c r="R3971" i="11"/>
  <c r="R3972" i="11"/>
  <c r="R3973" i="11"/>
  <c r="R3974" i="11"/>
  <c r="R3976" i="11"/>
  <c r="R3977" i="11"/>
  <c r="R3978" i="11"/>
  <c r="R3979" i="11"/>
  <c r="R3980" i="11"/>
  <c r="R3981" i="11"/>
  <c r="R3982" i="11"/>
  <c r="R3983" i="11"/>
  <c r="R3984" i="11"/>
  <c r="S3949" i="11"/>
  <c r="S3950" i="11"/>
  <c r="S3951" i="11"/>
  <c r="S3952" i="11"/>
  <c r="S3953" i="11"/>
  <c r="S3954" i="11"/>
  <c r="S3955" i="11"/>
  <c r="S3956" i="11"/>
  <c r="S3957" i="11"/>
  <c r="S3958" i="11"/>
  <c r="S3959" i="11"/>
  <c r="S3960" i="11"/>
  <c r="S3961" i="11"/>
  <c r="S3962" i="11"/>
  <c r="S3963" i="11"/>
  <c r="S3964" i="11"/>
  <c r="S3966" i="11"/>
  <c r="S3967" i="11"/>
  <c r="S3968" i="11"/>
  <c r="S3969" i="11"/>
  <c r="S3970" i="11"/>
  <c r="S3971" i="11"/>
  <c r="S3972" i="11"/>
  <c r="S3973" i="11"/>
  <c r="S3974" i="11"/>
  <c r="S3976" i="11"/>
  <c r="S3977" i="11"/>
  <c r="S3978" i="11"/>
  <c r="S3979" i="11"/>
  <c r="S3980" i="11"/>
  <c r="S3981" i="11"/>
  <c r="S3982" i="11"/>
  <c r="S3983" i="11"/>
  <c r="S3984" i="11"/>
  <c r="T3949" i="11"/>
  <c r="T3950" i="11"/>
  <c r="T3951" i="11"/>
  <c r="T3952" i="11"/>
  <c r="T3953" i="11"/>
  <c r="T3954" i="11"/>
  <c r="T3955" i="11"/>
  <c r="T3956" i="11"/>
  <c r="T3957" i="11"/>
  <c r="T3958" i="11"/>
  <c r="T3959" i="11"/>
  <c r="T3960" i="11"/>
  <c r="T3961" i="11"/>
  <c r="T3962" i="11"/>
  <c r="T3963" i="11"/>
  <c r="T3964" i="11"/>
  <c r="T3966" i="11"/>
  <c r="T3967" i="11"/>
  <c r="T3968" i="11"/>
  <c r="T3969" i="11"/>
  <c r="T3970" i="11"/>
  <c r="T3971" i="11"/>
  <c r="T3972" i="11"/>
  <c r="T3973" i="11"/>
  <c r="T3974" i="11"/>
  <c r="T3976" i="11"/>
  <c r="T3977" i="11"/>
  <c r="T3978" i="11"/>
  <c r="T3979" i="11"/>
  <c r="T3980" i="11"/>
  <c r="T3981" i="11"/>
  <c r="T3982" i="11"/>
  <c r="T3983" i="11"/>
  <c r="T3984" i="11"/>
  <c r="J3949" i="11" l="1"/>
  <c r="J3958" i="11"/>
  <c r="J3954" i="11"/>
  <c r="I273" i="13"/>
  <c r="AZ273" i="13"/>
  <c r="V3935" i="11"/>
  <c r="V3934" i="11"/>
  <c r="G3934" i="11"/>
  <c r="M3934" i="11" s="1"/>
  <c r="L3934" i="11"/>
  <c r="N3934" i="11"/>
  <c r="O3934" i="11"/>
  <c r="Q3934" i="11"/>
  <c r="R3934" i="11"/>
  <c r="S3934" i="11"/>
  <c r="T3934" i="11"/>
  <c r="G3927" i="11"/>
  <c r="M3927" i="11" s="1"/>
  <c r="G3928" i="11"/>
  <c r="M3928" i="11" s="1"/>
  <c r="G3929" i="11"/>
  <c r="M3929" i="11" s="1"/>
  <c r="G3930" i="11"/>
  <c r="M3930" i="11" s="1"/>
  <c r="G3931" i="11"/>
  <c r="M3931" i="11" s="1"/>
  <c r="G3932" i="11"/>
  <c r="M3932" i="11" s="1"/>
  <c r="G3933" i="11"/>
  <c r="M3933" i="11" s="1"/>
  <c r="G3935" i="11"/>
  <c r="M3935" i="11" s="1"/>
  <c r="G3936" i="11"/>
  <c r="M3936" i="11" s="1"/>
  <c r="G3937" i="11"/>
  <c r="M3937" i="11" s="1"/>
  <c r="G3938" i="11"/>
  <c r="M3938" i="11" s="1"/>
  <c r="G3939" i="11"/>
  <c r="M3939" i="11" s="1"/>
  <c r="G3940" i="11"/>
  <c r="M3940" i="11" s="1"/>
  <c r="G3941" i="11"/>
  <c r="M3941" i="11" s="1"/>
  <c r="G3942" i="11"/>
  <c r="M3942" i="11" s="1"/>
  <c r="G3943" i="11"/>
  <c r="M3943" i="11" s="1"/>
  <c r="G3944" i="11"/>
  <c r="M3944" i="11" s="1"/>
  <c r="G3945" i="11"/>
  <c r="M3945" i="11" s="1"/>
  <c r="G3946" i="11"/>
  <c r="M3946" i="11" s="1"/>
  <c r="G3947" i="11"/>
  <c r="M3947" i="11" s="1"/>
  <c r="G3948" i="11"/>
  <c r="M3948" i="11" s="1"/>
  <c r="L3927" i="11"/>
  <c r="L3928" i="11"/>
  <c r="L3929" i="11"/>
  <c r="L3930" i="11"/>
  <c r="L3931" i="11"/>
  <c r="L3932" i="11"/>
  <c r="L3933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N3927" i="11"/>
  <c r="N3928" i="11"/>
  <c r="N3929" i="11"/>
  <c r="N3930" i="11"/>
  <c r="N3931" i="11"/>
  <c r="N3932" i="11"/>
  <c r="N3933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O3927" i="11"/>
  <c r="O3928" i="11"/>
  <c r="O3929" i="11"/>
  <c r="O3930" i="11"/>
  <c r="O3931" i="11"/>
  <c r="O3932" i="11"/>
  <c r="O3933" i="11"/>
  <c r="O3935" i="11"/>
  <c r="O3936" i="11"/>
  <c r="O3937" i="11"/>
  <c r="O3938" i="11"/>
  <c r="O3939" i="11"/>
  <c r="O3940" i="11"/>
  <c r="O3941" i="11"/>
  <c r="O3942" i="11"/>
  <c r="O3943" i="11"/>
  <c r="O3944" i="11"/>
  <c r="O3945" i="11"/>
  <c r="O3946" i="11"/>
  <c r="O3947" i="11"/>
  <c r="O3948" i="11"/>
  <c r="Q3927" i="11"/>
  <c r="Q3928" i="11"/>
  <c r="Q3929" i="11"/>
  <c r="Q3930" i="11"/>
  <c r="Q3931" i="11"/>
  <c r="Q3932" i="11"/>
  <c r="Q3933" i="11"/>
  <c r="Q3935" i="11"/>
  <c r="Q3936" i="11"/>
  <c r="Q3937" i="11"/>
  <c r="Q3938" i="11"/>
  <c r="Q3939" i="11"/>
  <c r="Q3940" i="11"/>
  <c r="Q3941" i="11"/>
  <c r="Q3942" i="11"/>
  <c r="Q3943" i="11"/>
  <c r="Q3944" i="11"/>
  <c r="Q3945" i="11"/>
  <c r="Q3946" i="11"/>
  <c r="Q3947" i="11"/>
  <c r="Q3948" i="11"/>
  <c r="R3927" i="11"/>
  <c r="R3928" i="11"/>
  <c r="R3929" i="11"/>
  <c r="R3930" i="11"/>
  <c r="R3931" i="11"/>
  <c r="R3932" i="11"/>
  <c r="R3933" i="11"/>
  <c r="R3935" i="11"/>
  <c r="R3936" i="11"/>
  <c r="R3937" i="11"/>
  <c r="R3938" i="11"/>
  <c r="R3939" i="11"/>
  <c r="R3940" i="11"/>
  <c r="R3941" i="11"/>
  <c r="R3942" i="11"/>
  <c r="R3943" i="11"/>
  <c r="R3944" i="11"/>
  <c r="R3945" i="11"/>
  <c r="R3946" i="11"/>
  <c r="R3947" i="11"/>
  <c r="R3948" i="11"/>
  <c r="S3927" i="11"/>
  <c r="S3928" i="11"/>
  <c r="S3929" i="11"/>
  <c r="S3930" i="11"/>
  <c r="S3931" i="11"/>
  <c r="S3932" i="11"/>
  <c r="S3933" i="11"/>
  <c r="S3935" i="11"/>
  <c r="S3936" i="11"/>
  <c r="S3937" i="11"/>
  <c r="S3938" i="11"/>
  <c r="S3939" i="11"/>
  <c r="S3940" i="11"/>
  <c r="S3941" i="11"/>
  <c r="S3942" i="11"/>
  <c r="S3943" i="11"/>
  <c r="S3944" i="11"/>
  <c r="S3945" i="11"/>
  <c r="S3946" i="11"/>
  <c r="S3947" i="11"/>
  <c r="S3948" i="11"/>
  <c r="T3927" i="11"/>
  <c r="T3928" i="11"/>
  <c r="T3929" i="11"/>
  <c r="T3930" i="11"/>
  <c r="T3931" i="11"/>
  <c r="T3932" i="11"/>
  <c r="T3933" i="11"/>
  <c r="T3935" i="11"/>
  <c r="T3936" i="11"/>
  <c r="T3937" i="11"/>
  <c r="T3938" i="11"/>
  <c r="T3939" i="11"/>
  <c r="T3940" i="11"/>
  <c r="T3941" i="11"/>
  <c r="T3942" i="11"/>
  <c r="T3943" i="11"/>
  <c r="T3944" i="11"/>
  <c r="T3945" i="11"/>
  <c r="T3946" i="11"/>
  <c r="T3947" i="11"/>
  <c r="T3948" i="11"/>
  <c r="I272" i="13" l="1"/>
  <c r="AZ272" i="13"/>
  <c r="K3918" i="11"/>
  <c r="J3918" i="11" s="1"/>
  <c r="J3917" i="11"/>
  <c r="G3911" i="11"/>
  <c r="M3911" i="11" s="1"/>
  <c r="G3912" i="11"/>
  <c r="M3912" i="11" s="1"/>
  <c r="G3913" i="11"/>
  <c r="M3913" i="11" s="1"/>
  <c r="G3914" i="11"/>
  <c r="M3914" i="11" s="1"/>
  <c r="G3915" i="11"/>
  <c r="M3915" i="11" s="1"/>
  <c r="G3916" i="11"/>
  <c r="M3916" i="11" s="1"/>
  <c r="G3917" i="11"/>
  <c r="M3917" i="11" s="1"/>
  <c r="G3918" i="11"/>
  <c r="M3918" i="11" s="1"/>
  <c r="G3919" i="11"/>
  <c r="M3919" i="11" s="1"/>
  <c r="G3920" i="11"/>
  <c r="M3920" i="11" s="1"/>
  <c r="G3921" i="11"/>
  <c r="M3921" i="11" s="1"/>
  <c r="G3922" i="11"/>
  <c r="M3922" i="11" s="1"/>
  <c r="G3923" i="11"/>
  <c r="M3923" i="11" s="1"/>
  <c r="G3924" i="11"/>
  <c r="M3924" i="11" s="1"/>
  <c r="G3925" i="11"/>
  <c r="M3925" i="11" s="1"/>
  <c r="G3926" i="11"/>
  <c r="M3926" i="11" s="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O3911" i="11"/>
  <c r="O3912" i="11"/>
  <c r="O3913" i="11"/>
  <c r="O3914" i="11"/>
  <c r="O3915" i="11"/>
  <c r="O3916" i="11"/>
  <c r="O3917" i="11"/>
  <c r="O3918" i="11"/>
  <c r="O3919" i="11"/>
  <c r="O3920" i="11"/>
  <c r="O3921" i="11"/>
  <c r="O3922" i="11"/>
  <c r="O3923" i="11"/>
  <c r="O3924" i="11"/>
  <c r="O3925" i="11"/>
  <c r="O3926" i="11"/>
  <c r="Q3911" i="11"/>
  <c r="Q3912" i="11"/>
  <c r="Q3913" i="11"/>
  <c r="Q3914" i="11"/>
  <c r="Q3915" i="11"/>
  <c r="Q3916" i="11"/>
  <c r="Q3917" i="11"/>
  <c r="Q3918" i="11"/>
  <c r="Q3919" i="11"/>
  <c r="Q3920" i="11"/>
  <c r="Q3921" i="11"/>
  <c r="Q3922" i="11"/>
  <c r="Q3923" i="11"/>
  <c r="Q3924" i="11"/>
  <c r="Q3925" i="11"/>
  <c r="Q3926" i="11"/>
  <c r="R3911" i="11"/>
  <c r="R3912" i="11"/>
  <c r="R3913" i="11"/>
  <c r="R3914" i="11"/>
  <c r="R3915" i="11"/>
  <c r="R3916" i="11"/>
  <c r="R3917" i="11"/>
  <c r="R3918" i="11"/>
  <c r="R3919" i="11"/>
  <c r="R3920" i="11"/>
  <c r="R3921" i="11"/>
  <c r="R3922" i="11"/>
  <c r="R3923" i="11"/>
  <c r="R3924" i="11"/>
  <c r="R3925" i="11"/>
  <c r="R3926" i="11"/>
  <c r="S3911" i="11"/>
  <c r="S3912" i="11"/>
  <c r="S3913" i="11"/>
  <c r="S3914" i="11"/>
  <c r="S3915" i="11"/>
  <c r="S3916" i="11"/>
  <c r="S3917" i="11"/>
  <c r="S3918" i="11"/>
  <c r="S3919" i="11"/>
  <c r="S3920" i="11"/>
  <c r="S3921" i="11"/>
  <c r="S3922" i="11"/>
  <c r="S3923" i="11"/>
  <c r="S3924" i="11"/>
  <c r="S3925" i="11"/>
  <c r="S3926" i="11"/>
  <c r="T3911" i="11"/>
  <c r="T3912" i="11"/>
  <c r="T3913" i="11"/>
  <c r="T3914" i="11"/>
  <c r="T3915" i="11"/>
  <c r="T3916" i="11"/>
  <c r="T3917" i="11"/>
  <c r="T3918" i="11"/>
  <c r="T3919" i="11"/>
  <c r="T3920" i="11"/>
  <c r="T3921" i="11"/>
  <c r="T3922" i="11"/>
  <c r="T3923" i="11"/>
  <c r="T3924" i="11"/>
  <c r="T3925" i="11"/>
  <c r="T3926" i="11"/>
  <c r="G3909" i="11" l="1"/>
  <c r="M3909" i="11" s="1"/>
  <c r="G3910" i="11"/>
  <c r="M3910" i="11" s="1"/>
  <c r="L3909" i="11"/>
  <c r="L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I271" i="13" l="1"/>
  <c r="AZ271" i="13"/>
  <c r="I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I269" i="13" l="1"/>
  <c r="AZ269" i="13"/>
  <c r="K3898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J3896" i="11" l="1"/>
  <c r="I268" i="13"/>
  <c r="AZ268" i="13"/>
  <c r="K3895" i="11"/>
  <c r="J3895" i="11" s="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K3887" i="11"/>
  <c r="J3887" i="11" s="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I267" i="13" l="1"/>
  <c r="AZ267" i="13"/>
  <c r="K3874" i="11"/>
  <c r="N3874" i="11" s="1"/>
  <c r="K3872" i="11"/>
  <c r="J3872" i="11" s="1"/>
  <c r="U3870" i="11"/>
  <c r="V3870" i="11"/>
  <c r="V3869" i="11"/>
  <c r="K3870" i="11"/>
  <c r="N3870" i="11" s="1"/>
  <c r="G3870" i="11"/>
  <c r="M3870" i="11" s="1"/>
  <c r="L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74" i="11" l="1"/>
  <c r="J3865" i="11"/>
  <c r="I266" i="13"/>
  <c r="AZ266" i="13"/>
  <c r="K384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J3833" i="11" l="1"/>
  <c r="I265" i="13"/>
  <c r="AZ265" i="13"/>
  <c r="K3812" i="11"/>
  <c r="N3812" i="11" s="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J3812" i="11" l="1"/>
  <c r="G3802" i="1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I264" i="13" l="1"/>
  <c r="AZ264" i="13"/>
  <c r="I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I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I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I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I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I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I257" i="13" l="1"/>
  <c r="AZ257" i="13"/>
  <c r="I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I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I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I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I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I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I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I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I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I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I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I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I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I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I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I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I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I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I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I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I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I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I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I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I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I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I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I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I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I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I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I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I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I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I221" i="13"/>
  <c r="AZ221" i="13"/>
  <c r="I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I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I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AG280" i="13" l="1"/>
  <c r="AF279" i="13"/>
  <c r="BH279" i="13"/>
  <c r="H280" i="13"/>
  <c r="S280" i="13"/>
  <c r="AW280" i="13"/>
  <c r="AG279" i="13"/>
  <c r="T279" i="13"/>
  <c r="AX280" i="13"/>
  <c r="AV279" i="13"/>
  <c r="AX279" i="13"/>
  <c r="G279" i="13"/>
  <c r="H279" i="13"/>
  <c r="S279" i="13"/>
  <c r="T280" i="13"/>
  <c r="AF280" i="13"/>
  <c r="AW279" i="13"/>
  <c r="BN280" i="13"/>
  <c r="BO280" i="13"/>
  <c r="G280" i="13"/>
  <c r="BN279" i="13"/>
  <c r="BO279" i="13"/>
  <c r="AE279" i="13"/>
  <c r="U280" i="13"/>
  <c r="D280" i="13"/>
  <c r="BS280" i="13"/>
  <c r="AL279" i="13"/>
  <c r="E279" i="13"/>
  <c r="AL280" i="13"/>
  <c r="Q279" i="13"/>
  <c r="Z280" i="13"/>
  <c r="X279" i="13"/>
  <c r="BC279" i="13"/>
  <c r="W279" i="13"/>
  <c r="BT280" i="13"/>
  <c r="AS279" i="13"/>
  <c r="U279" i="13"/>
  <c r="M280" i="13"/>
  <c r="D279" i="13"/>
  <c r="BS279" i="13"/>
  <c r="AB280" i="13"/>
  <c r="AU280" i="13"/>
  <c r="W280" i="13"/>
  <c r="BE279" i="13"/>
  <c r="K280" i="13"/>
  <c r="J280" i="13"/>
  <c r="O279" i="13"/>
  <c r="F279" i="13"/>
  <c r="BH280" i="13"/>
  <c r="BT279" i="13"/>
  <c r="AM280" i="13"/>
  <c r="M279" i="13"/>
  <c r="AV280" i="13"/>
  <c r="AM279" i="13"/>
  <c r="BB280" i="13"/>
  <c r="BC280" i="13"/>
  <c r="Q280" i="13"/>
  <c r="AJ279" i="13"/>
  <c r="AD280" i="13"/>
  <c r="BR279" i="13"/>
  <c r="AA280" i="13"/>
  <c r="V279" i="13"/>
  <c r="BF280" i="13"/>
  <c r="BG280" i="13"/>
  <c r="K279" i="13"/>
  <c r="AH279" i="13"/>
  <c r="E280" i="13"/>
  <c r="BR280" i="13"/>
  <c r="AB279" i="13"/>
  <c r="P279" i="13"/>
  <c r="BA280" i="13"/>
  <c r="BQ280" i="13"/>
  <c r="AT280" i="13"/>
  <c r="AJ280" i="13"/>
  <c r="O280" i="13"/>
  <c r="V280" i="13"/>
  <c r="X280" i="13"/>
  <c r="BU279" i="13"/>
  <c r="AK279" i="13"/>
  <c r="AC279" i="13"/>
  <c r="N279" i="13"/>
  <c r="BU280" i="13"/>
  <c r="Y279" i="13"/>
  <c r="AA279" i="13"/>
  <c r="N280" i="13"/>
  <c r="AS280" i="13"/>
  <c r="L279" i="13"/>
  <c r="F280" i="13"/>
  <c r="Z279" i="13"/>
  <c r="R280" i="13"/>
  <c r="BG279" i="13"/>
  <c r="BD280" i="13"/>
  <c r="AK280" i="13"/>
  <c r="BA279" i="13"/>
  <c r="AT279" i="13"/>
  <c r="BQ279" i="13"/>
  <c r="BF279" i="13"/>
  <c r="BP279" i="13"/>
  <c r="AD279" i="13"/>
  <c r="Y280" i="13"/>
  <c r="AI279" i="13"/>
  <c r="AY279" i="13"/>
  <c r="L280" i="13"/>
  <c r="AC280" i="13"/>
  <c r="P280" i="13"/>
  <c r="R279" i="13"/>
  <c r="J279" i="13"/>
  <c r="AE280" i="13"/>
  <c r="BE280" i="13"/>
  <c r="BP280" i="13"/>
  <c r="AU279" i="13"/>
  <c r="AI280" i="13"/>
  <c r="AY280" i="13"/>
  <c r="BB279" i="13"/>
  <c r="BD279" i="13"/>
  <c r="AH280" i="13"/>
  <c r="N278" i="13"/>
  <c r="AA278" i="13"/>
  <c r="AM278" i="13"/>
  <c r="BC278" i="13"/>
  <c r="BS278" i="13"/>
  <c r="D278" i="13"/>
  <c r="O278" i="13"/>
  <c r="AB278" i="13"/>
  <c r="BD278" i="13"/>
  <c r="BT278" i="13"/>
  <c r="BA278" i="13"/>
  <c r="BR278" i="13"/>
  <c r="V278" i="13"/>
  <c r="P278" i="13"/>
  <c r="AC278" i="13"/>
  <c r="AS278" i="13"/>
  <c r="BE278" i="13"/>
  <c r="BU278" i="13"/>
  <c r="E278" i="13"/>
  <c r="Q278" i="13"/>
  <c r="AD278" i="13"/>
  <c r="AT278" i="13"/>
  <c r="BF278" i="13"/>
  <c r="AF278" i="13"/>
  <c r="AV278" i="13"/>
  <c r="L278" i="13"/>
  <c r="Z278" i="13"/>
  <c r="F278" i="13"/>
  <c r="R278" i="13"/>
  <c r="AE278" i="13"/>
  <c r="AU278" i="13"/>
  <c r="BG278" i="13"/>
  <c r="BH278" i="13"/>
  <c r="AK278" i="13"/>
  <c r="M278" i="13"/>
  <c r="G278" i="13"/>
  <c r="S278" i="13"/>
  <c r="H278" i="13"/>
  <c r="T278" i="13"/>
  <c r="AG278" i="13"/>
  <c r="AW278" i="13"/>
  <c r="AI278" i="13"/>
  <c r="BO278" i="13"/>
  <c r="K278" i="13"/>
  <c r="AJ278" i="13"/>
  <c r="Y278" i="13"/>
  <c r="AL278" i="13"/>
  <c r="U278" i="13"/>
  <c r="AH278" i="13"/>
  <c r="AX278" i="13"/>
  <c r="BN278" i="13"/>
  <c r="J278" i="13"/>
  <c r="W278" i="13"/>
  <c r="AY278" i="13"/>
  <c r="X278" i="13"/>
  <c r="BP278" i="13"/>
  <c r="BQ278" i="13"/>
  <c r="BB278" i="13"/>
  <c r="D277" i="13"/>
  <c r="V277" i="13"/>
  <c r="P277" i="13"/>
  <c r="AC277" i="13"/>
  <c r="AS277" i="13"/>
  <c r="BE277" i="13"/>
  <c r="BU277" i="13"/>
  <c r="Q277" i="13"/>
  <c r="AD277" i="13"/>
  <c r="AT277" i="13"/>
  <c r="BF277" i="13"/>
  <c r="BR277" i="13"/>
  <c r="BS277" i="13"/>
  <c r="O277" i="13"/>
  <c r="E277" i="13"/>
  <c r="F277" i="13"/>
  <c r="R277" i="13"/>
  <c r="AE277" i="13"/>
  <c r="AU277" i="13"/>
  <c r="BG277" i="13"/>
  <c r="S277" i="13"/>
  <c r="AF277" i="13"/>
  <c r="AV277" i="13"/>
  <c r="BH277" i="13"/>
  <c r="AK277" i="13"/>
  <c r="Z277" i="13"/>
  <c r="AA277" i="13"/>
  <c r="AB277" i="13"/>
  <c r="G277" i="13"/>
  <c r="H277" i="13"/>
  <c r="T277" i="13"/>
  <c r="AG277" i="13"/>
  <c r="AW277" i="13"/>
  <c r="AH277" i="13"/>
  <c r="BN277" i="13"/>
  <c r="Y277" i="13"/>
  <c r="BC277" i="13"/>
  <c r="U277" i="13"/>
  <c r="AX277" i="13"/>
  <c r="BA277" i="13"/>
  <c r="AL277" i="13"/>
  <c r="AM277" i="13"/>
  <c r="BD277" i="13"/>
  <c r="J277" i="13"/>
  <c r="W277" i="13"/>
  <c r="AI277" i="13"/>
  <c r="AY277" i="13"/>
  <c r="BO277" i="13"/>
  <c r="X277" i="13"/>
  <c r="AJ277" i="13"/>
  <c r="BP277" i="13"/>
  <c r="BQ277" i="13"/>
  <c r="BB277" i="13"/>
  <c r="BT277" i="13"/>
  <c r="K277" i="13"/>
  <c r="L277" i="13"/>
  <c r="M277" i="13"/>
  <c r="N277" i="13"/>
  <c r="N276" i="13"/>
  <c r="AA276" i="13"/>
  <c r="AM276" i="13"/>
  <c r="BC276" i="13"/>
  <c r="BS276" i="13"/>
  <c r="Z275" i="13"/>
  <c r="AK275" i="13"/>
  <c r="BB275" i="13"/>
  <c r="BS275" i="13"/>
  <c r="O276" i="13"/>
  <c r="AB276" i="13"/>
  <c r="BD276" i="13"/>
  <c r="BT276" i="13"/>
  <c r="J275" i="13"/>
  <c r="AL275" i="13"/>
  <c r="BC275" i="13"/>
  <c r="AS276" i="13"/>
  <c r="BU275" i="13"/>
  <c r="L275" i="13"/>
  <c r="D276" i="13"/>
  <c r="AA275" i="13"/>
  <c r="BU276" i="13"/>
  <c r="V276" i="13"/>
  <c r="P276" i="13"/>
  <c r="AB275" i="13"/>
  <c r="R275" i="13"/>
  <c r="E276" i="13"/>
  <c r="Q276" i="13"/>
  <c r="AD276" i="13"/>
  <c r="AT276" i="13"/>
  <c r="BF276" i="13"/>
  <c r="K275" i="13"/>
  <c r="P275" i="13"/>
  <c r="V275" i="13"/>
  <c r="AS275" i="13"/>
  <c r="BE275" i="13"/>
  <c r="R276" i="13"/>
  <c r="AE276" i="13"/>
  <c r="AU276" i="13"/>
  <c r="BG276" i="13"/>
  <c r="Q275" i="13"/>
  <c r="AC275" i="13"/>
  <c r="AT275" i="13"/>
  <c r="BF275" i="13"/>
  <c r="S276" i="13"/>
  <c r="AU275" i="13"/>
  <c r="F276" i="13"/>
  <c r="D275" i="13"/>
  <c r="AF276" i="13"/>
  <c r="G276" i="13"/>
  <c r="H276" i="13"/>
  <c r="T276" i="13"/>
  <c r="AG276" i="13"/>
  <c r="AW276" i="13"/>
  <c r="E275" i="13"/>
  <c r="S275" i="13"/>
  <c r="AE275" i="13"/>
  <c r="AV275" i="13"/>
  <c r="BH275" i="13"/>
  <c r="W276" i="13"/>
  <c r="AY276" i="13"/>
  <c r="BO276" i="13"/>
  <c r="AG275" i="13"/>
  <c r="AX275" i="13"/>
  <c r="AC276" i="13"/>
  <c r="BD275" i="13"/>
  <c r="AD275" i="13"/>
  <c r="U276" i="13"/>
  <c r="AH276" i="13"/>
  <c r="AX276" i="13"/>
  <c r="BN276" i="13"/>
  <c r="F275" i="13"/>
  <c r="T275" i="13"/>
  <c r="AF275" i="13"/>
  <c r="AW275" i="13"/>
  <c r="BN275" i="13"/>
  <c r="AI276" i="13"/>
  <c r="G275" i="13"/>
  <c r="U275" i="13"/>
  <c r="BO275" i="13"/>
  <c r="BT275" i="13"/>
  <c r="BE276" i="13"/>
  <c r="AV276" i="13"/>
  <c r="J276" i="13"/>
  <c r="AM275" i="13"/>
  <c r="BH276" i="13"/>
  <c r="K276" i="13"/>
  <c r="X276" i="13"/>
  <c r="AJ276" i="13"/>
  <c r="BP276" i="13"/>
  <c r="N275" i="13"/>
  <c r="W275" i="13"/>
  <c r="AH275" i="13"/>
  <c r="AY275" i="13"/>
  <c r="BP275" i="13"/>
  <c r="Z276" i="13"/>
  <c r="BB276" i="13"/>
  <c r="H275" i="13"/>
  <c r="AJ275" i="13"/>
  <c r="BR275" i="13"/>
  <c r="O275" i="13"/>
  <c r="BG275" i="13"/>
  <c r="L276" i="13"/>
  <c r="Y276" i="13"/>
  <c r="AK276" i="13"/>
  <c r="BA276" i="13"/>
  <c r="BQ276" i="13"/>
  <c r="M275" i="13"/>
  <c r="X275" i="13"/>
  <c r="AI275" i="13"/>
  <c r="BQ275" i="13"/>
  <c r="AL276" i="13"/>
  <c r="BR276" i="13"/>
  <c r="Y275" i="13"/>
  <c r="BA275" i="13"/>
  <c r="M276" i="13"/>
  <c r="K274" i="13"/>
  <c r="P274" i="13"/>
  <c r="V274" i="13"/>
  <c r="BD274" i="13"/>
  <c r="BT274" i="13"/>
  <c r="D274" i="13"/>
  <c r="Q274" i="13"/>
  <c r="AC274" i="13"/>
  <c r="AS274" i="13"/>
  <c r="BE274" i="13"/>
  <c r="BU274" i="13"/>
  <c r="L274" i="13"/>
  <c r="R274" i="13"/>
  <c r="AD274" i="13"/>
  <c r="AT274" i="13"/>
  <c r="BF274" i="13"/>
  <c r="W274" i="13"/>
  <c r="AX274" i="13"/>
  <c r="X274" i="13"/>
  <c r="AI274" i="13"/>
  <c r="BO274" i="13"/>
  <c r="H274" i="13"/>
  <c r="AJ274" i="13"/>
  <c r="Z274" i="13"/>
  <c r="BQ274" i="13"/>
  <c r="J274" i="13"/>
  <c r="E274" i="13"/>
  <c r="S274" i="13"/>
  <c r="AE274" i="13"/>
  <c r="AU274" i="13"/>
  <c r="BG274" i="13"/>
  <c r="F274" i="13"/>
  <c r="T274" i="13"/>
  <c r="AF274" i="13"/>
  <c r="AV274" i="13"/>
  <c r="BH274" i="13"/>
  <c r="G274" i="13"/>
  <c r="U274" i="13"/>
  <c r="AG274" i="13"/>
  <c r="AW274" i="13"/>
  <c r="N274" i="13"/>
  <c r="AH274" i="13"/>
  <c r="BN274" i="13"/>
  <c r="M274" i="13"/>
  <c r="AY274" i="13"/>
  <c r="Y274" i="13"/>
  <c r="BP274" i="13"/>
  <c r="AK274" i="13"/>
  <c r="BA274" i="13"/>
  <c r="AA274" i="13"/>
  <c r="AL274" i="13"/>
  <c r="BB274" i="13"/>
  <c r="BR274" i="13"/>
  <c r="O274" i="13"/>
  <c r="AB274" i="13"/>
  <c r="AM274" i="13"/>
  <c r="BC274" i="13"/>
  <c r="BS274" i="13"/>
  <c r="O273" i="13"/>
  <c r="AB273" i="13"/>
  <c r="AM273" i="13"/>
  <c r="BC273" i="13"/>
  <c r="BS273" i="13"/>
  <c r="K273" i="13"/>
  <c r="P273" i="13"/>
  <c r="V273" i="13"/>
  <c r="BD273" i="13"/>
  <c r="BT273" i="13"/>
  <c r="D273" i="13"/>
  <c r="Q273" i="13"/>
  <c r="AC273" i="13"/>
  <c r="AS273" i="13"/>
  <c r="BE273" i="13"/>
  <c r="BU273" i="13"/>
  <c r="AD273" i="13"/>
  <c r="L273" i="13"/>
  <c r="R273" i="13"/>
  <c r="AT273" i="13"/>
  <c r="BF273" i="13"/>
  <c r="E273" i="13"/>
  <c r="S273" i="13"/>
  <c r="AE273" i="13"/>
  <c r="AU273" i="13"/>
  <c r="BG273" i="13"/>
  <c r="F273" i="13"/>
  <c r="T273" i="13"/>
  <c r="AF273" i="13"/>
  <c r="AV273" i="13"/>
  <c r="BH273" i="13"/>
  <c r="G273" i="13"/>
  <c r="U273" i="13"/>
  <c r="AG273" i="13"/>
  <c r="AW273" i="13"/>
  <c r="Z273" i="13"/>
  <c r="AL273" i="13"/>
  <c r="N273" i="13"/>
  <c r="W273" i="13"/>
  <c r="AH273" i="13"/>
  <c r="AX273" i="13"/>
  <c r="BN273" i="13"/>
  <c r="BA273" i="13"/>
  <c r="AA273" i="13"/>
  <c r="BR273" i="13"/>
  <c r="M273" i="13"/>
  <c r="X273" i="13"/>
  <c r="AI273" i="13"/>
  <c r="AY273" i="13"/>
  <c r="BO273" i="13"/>
  <c r="AK273" i="13"/>
  <c r="J273" i="13"/>
  <c r="H273" i="13"/>
  <c r="Y273" i="13"/>
  <c r="AJ273" i="13"/>
  <c r="BP273" i="13"/>
  <c r="BQ273" i="13"/>
  <c r="BB273" i="13"/>
  <c r="O272" i="13"/>
  <c r="AB272" i="13"/>
  <c r="AM272" i="13"/>
  <c r="BC272" i="13"/>
  <c r="BS272" i="13"/>
  <c r="K272" i="13"/>
  <c r="P272" i="13"/>
  <c r="V272" i="13"/>
  <c r="BD272" i="13"/>
  <c r="BT272" i="13"/>
  <c r="D272" i="13"/>
  <c r="Q272" i="13"/>
  <c r="AC272" i="13"/>
  <c r="AS272" i="13"/>
  <c r="BE272" i="13"/>
  <c r="BU272" i="13"/>
  <c r="L272" i="13"/>
  <c r="R272" i="13"/>
  <c r="AD272" i="13"/>
  <c r="AT272" i="13"/>
  <c r="BF272" i="13"/>
  <c r="E272" i="13"/>
  <c r="S272" i="13"/>
  <c r="AE272" i="13"/>
  <c r="AU272" i="13"/>
  <c r="BG272" i="13"/>
  <c r="F272" i="13"/>
  <c r="T272" i="13"/>
  <c r="AF272" i="13"/>
  <c r="AV272" i="13"/>
  <c r="BH272" i="13"/>
  <c r="G272" i="13"/>
  <c r="U272" i="13"/>
  <c r="AG272" i="13"/>
  <c r="AW272" i="13"/>
  <c r="N272" i="13"/>
  <c r="W272" i="13"/>
  <c r="AH272" i="13"/>
  <c r="AX272" i="13"/>
  <c r="BN272" i="13"/>
  <c r="M272" i="13"/>
  <c r="X272" i="13"/>
  <c r="AI272" i="13"/>
  <c r="AY272" i="13"/>
  <c r="BO272" i="13"/>
  <c r="H272" i="13"/>
  <c r="Y272" i="13"/>
  <c r="AJ272" i="13"/>
  <c r="BP272" i="13"/>
  <c r="Z272" i="13"/>
  <c r="AK272" i="13"/>
  <c r="BA272" i="13"/>
  <c r="BQ272" i="13"/>
  <c r="J272" i="13"/>
  <c r="AA272" i="13"/>
  <c r="AL272" i="13"/>
  <c r="BB272" i="13"/>
  <c r="BR272" i="13"/>
  <c r="O271" i="13"/>
  <c r="AB271" i="13"/>
  <c r="AM271" i="13"/>
  <c r="BC271" i="13"/>
  <c r="BS271" i="13"/>
  <c r="H270" i="13"/>
  <c r="Y270" i="13"/>
  <c r="AJ270" i="13"/>
  <c r="BP270" i="13"/>
  <c r="P271" i="13"/>
  <c r="V271" i="13"/>
  <c r="BD271" i="13"/>
  <c r="BT271" i="13"/>
  <c r="Z270" i="13"/>
  <c r="BQ270" i="13"/>
  <c r="D270" i="13"/>
  <c r="U271" i="13"/>
  <c r="BF270" i="13"/>
  <c r="K271" i="13"/>
  <c r="AC270" i="13"/>
  <c r="AW271" i="13"/>
  <c r="AE270" i="13"/>
  <c r="D271" i="13"/>
  <c r="Q271" i="13"/>
  <c r="AC271" i="13"/>
  <c r="AS271" i="13"/>
  <c r="BE271" i="13"/>
  <c r="BU271" i="13"/>
  <c r="J270" i="13"/>
  <c r="AA270" i="13"/>
  <c r="AL270" i="13"/>
  <c r="BB270" i="13"/>
  <c r="BR270" i="13"/>
  <c r="AB270" i="13"/>
  <c r="BS270" i="13"/>
  <c r="AF271" i="13"/>
  <c r="L271" i="13"/>
  <c r="R271" i="13"/>
  <c r="AD271" i="13"/>
  <c r="AT271" i="13"/>
  <c r="BF271" i="13"/>
  <c r="O270" i="13"/>
  <c r="AM270" i="13"/>
  <c r="BC270" i="13"/>
  <c r="T271" i="13"/>
  <c r="Q270" i="13"/>
  <c r="AG271" i="13"/>
  <c r="AT270" i="13"/>
  <c r="AU270" i="13"/>
  <c r="E271" i="13"/>
  <c r="S271" i="13"/>
  <c r="AE271" i="13"/>
  <c r="AU271" i="13"/>
  <c r="BG271" i="13"/>
  <c r="K270" i="13"/>
  <c r="P270" i="13"/>
  <c r="V270" i="13"/>
  <c r="BD270" i="13"/>
  <c r="BT270" i="13"/>
  <c r="F271" i="13"/>
  <c r="AV271" i="13"/>
  <c r="BE270" i="13"/>
  <c r="L270" i="13"/>
  <c r="N271" i="13"/>
  <c r="W271" i="13"/>
  <c r="AH271" i="13"/>
  <c r="AX271" i="13"/>
  <c r="BN271" i="13"/>
  <c r="E270" i="13"/>
  <c r="M271" i="13"/>
  <c r="X271" i="13"/>
  <c r="AI271" i="13"/>
  <c r="AY271" i="13"/>
  <c r="BO271" i="13"/>
  <c r="F270" i="13"/>
  <c r="T270" i="13"/>
  <c r="AF270" i="13"/>
  <c r="AV270" i="13"/>
  <c r="BH270" i="13"/>
  <c r="AL271" i="13"/>
  <c r="BB271" i="13"/>
  <c r="X270" i="13"/>
  <c r="BO270" i="13"/>
  <c r="AK270" i="13"/>
  <c r="G271" i="13"/>
  <c r="H271" i="13"/>
  <c r="Y271" i="13"/>
  <c r="AJ271" i="13"/>
  <c r="BP271" i="13"/>
  <c r="G270" i="13"/>
  <c r="U270" i="13"/>
  <c r="AG270" i="13"/>
  <c r="AW270" i="13"/>
  <c r="AA271" i="13"/>
  <c r="BR271" i="13"/>
  <c r="AI270" i="13"/>
  <c r="AY270" i="13"/>
  <c r="AS270" i="13"/>
  <c r="R270" i="13"/>
  <c r="S270" i="13"/>
  <c r="Z271" i="13"/>
  <c r="AK271" i="13"/>
  <c r="BA271" i="13"/>
  <c r="BQ271" i="13"/>
  <c r="N270" i="13"/>
  <c r="W270" i="13"/>
  <c r="AH270" i="13"/>
  <c r="AX270" i="13"/>
  <c r="BN270" i="13"/>
  <c r="J271" i="13"/>
  <c r="M270" i="13"/>
  <c r="BA270" i="13"/>
  <c r="BH271" i="13"/>
  <c r="BU270" i="13"/>
  <c r="AD270" i="13"/>
  <c r="BG270" i="13"/>
  <c r="O269" i="13"/>
  <c r="AB269" i="13"/>
  <c r="AM269" i="13"/>
  <c r="BC269" i="13"/>
  <c r="BS269" i="13"/>
  <c r="AV269" i="13"/>
  <c r="AH269" i="13"/>
  <c r="K269" i="13"/>
  <c r="P269" i="13"/>
  <c r="V269" i="13"/>
  <c r="BD269" i="13"/>
  <c r="BT269" i="13"/>
  <c r="U269" i="13"/>
  <c r="D269" i="13"/>
  <c r="Q269" i="13"/>
  <c r="AC269" i="13"/>
  <c r="AS269" i="13"/>
  <c r="BE269" i="13"/>
  <c r="BU269" i="13"/>
  <c r="AW269" i="13"/>
  <c r="L269" i="13"/>
  <c r="R269" i="13"/>
  <c r="AD269" i="13"/>
  <c r="AT269" i="13"/>
  <c r="BF269" i="13"/>
  <c r="BH269" i="13"/>
  <c r="E269" i="13"/>
  <c r="S269" i="13"/>
  <c r="AE269" i="13"/>
  <c r="AU269" i="13"/>
  <c r="BG269" i="13"/>
  <c r="T269" i="13"/>
  <c r="AF269" i="13"/>
  <c r="AG269" i="13"/>
  <c r="W269" i="13"/>
  <c r="F269" i="13"/>
  <c r="G269" i="13"/>
  <c r="N269" i="13"/>
  <c r="M269" i="13"/>
  <c r="X269" i="13"/>
  <c r="AI269" i="13"/>
  <c r="AY269" i="13"/>
  <c r="BO269" i="13"/>
  <c r="BB269" i="13"/>
  <c r="BR269" i="13"/>
  <c r="AX269" i="13"/>
  <c r="H269" i="13"/>
  <c r="Y269" i="13"/>
  <c r="AJ269" i="13"/>
  <c r="BP269" i="13"/>
  <c r="AA269" i="13"/>
  <c r="Z269" i="13"/>
  <c r="AK269" i="13"/>
  <c r="BA269" i="13"/>
  <c r="BQ269" i="13"/>
  <c r="AL269" i="13"/>
  <c r="BN269" i="13"/>
  <c r="J269" i="13"/>
  <c r="W268" i="13"/>
  <c r="W256" i="13"/>
  <c r="W244" i="13"/>
  <c r="W232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67" i="13"/>
  <c r="W255" i="13"/>
  <c r="W243" i="13"/>
  <c r="W231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66" i="13"/>
  <c r="W254" i="13"/>
  <c r="W242" i="13"/>
  <c r="W230" i="13"/>
  <c r="W218" i="13"/>
  <c r="W206" i="13"/>
  <c r="W194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W265" i="13"/>
  <c r="W253" i="13"/>
  <c r="W241" i="13"/>
  <c r="W229" i="13"/>
  <c r="W217" i="13"/>
  <c r="W205" i="13"/>
  <c r="W193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W264" i="13"/>
  <c r="W252" i="13"/>
  <c r="W240" i="13"/>
  <c r="W228" i="13"/>
  <c r="W216" i="13"/>
  <c r="W204" i="13"/>
  <c r="W192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W263" i="13"/>
  <c r="W251" i="13"/>
  <c r="W239" i="13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62" i="13"/>
  <c r="W250" i="13"/>
  <c r="W238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61" i="13"/>
  <c r="W249" i="13"/>
  <c r="W237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60" i="13"/>
  <c r="W248" i="13"/>
  <c r="W236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59" i="13"/>
  <c r="W247" i="13"/>
  <c r="W235" i="13"/>
  <c r="W223" i="13"/>
  <c r="W211" i="13"/>
  <c r="W199" i="13"/>
  <c r="W187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W258" i="13"/>
  <c r="W246" i="13"/>
  <c r="W234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57" i="13"/>
  <c r="W245" i="13"/>
  <c r="W233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K268" i="13"/>
  <c r="P268" i="13"/>
  <c r="AC268" i="13"/>
  <c r="AS268" i="13"/>
  <c r="BE268" i="13"/>
  <c r="BU268" i="13"/>
  <c r="D268" i="13"/>
  <c r="Q268" i="13"/>
  <c r="AT268" i="13"/>
  <c r="AD268" i="13"/>
  <c r="L268" i="13"/>
  <c r="E268" i="13"/>
  <c r="S268" i="13"/>
  <c r="AF268" i="13"/>
  <c r="AV268" i="13"/>
  <c r="BH268" i="13"/>
  <c r="G268" i="13"/>
  <c r="U268" i="13"/>
  <c r="AX268" i="13"/>
  <c r="BN268" i="13"/>
  <c r="AE268" i="13"/>
  <c r="F268" i="13"/>
  <c r="T268" i="13"/>
  <c r="AG268" i="13"/>
  <c r="AW268" i="13"/>
  <c r="AH268" i="13"/>
  <c r="AU268" i="13"/>
  <c r="N268" i="13"/>
  <c r="X268" i="13"/>
  <c r="AI268" i="13"/>
  <c r="AY268" i="13"/>
  <c r="BO268" i="13"/>
  <c r="M268" i="13"/>
  <c r="Y268" i="13"/>
  <c r="AJ268" i="13"/>
  <c r="BP268" i="13"/>
  <c r="V268" i="13"/>
  <c r="BD268" i="13"/>
  <c r="H268" i="13"/>
  <c r="Z268" i="13"/>
  <c r="AK268" i="13"/>
  <c r="BA268" i="13"/>
  <c r="BQ268" i="13"/>
  <c r="BT268" i="13"/>
  <c r="R268" i="13"/>
  <c r="AA268" i="13"/>
  <c r="AL268" i="13"/>
  <c r="BB268" i="13"/>
  <c r="BR268" i="13"/>
  <c r="J268" i="13"/>
  <c r="AB268" i="13"/>
  <c r="AM268" i="13"/>
  <c r="BC268" i="13"/>
  <c r="BS268" i="13"/>
  <c r="O268" i="13"/>
  <c r="BF268" i="13"/>
  <c r="BG268" i="13"/>
  <c r="O267" i="13"/>
  <c r="V267" i="13"/>
  <c r="BD267" i="13"/>
  <c r="BT267" i="13"/>
  <c r="P267" i="13"/>
  <c r="AS267" i="13"/>
  <c r="BU267" i="13"/>
  <c r="K267" i="13"/>
  <c r="AC267" i="13"/>
  <c r="BE267" i="13"/>
  <c r="D267" i="13"/>
  <c r="Q267" i="13"/>
  <c r="AD267" i="13"/>
  <c r="AT267" i="13"/>
  <c r="BF267" i="13"/>
  <c r="L267" i="13"/>
  <c r="R267" i="13"/>
  <c r="AE267" i="13"/>
  <c r="AU267" i="13"/>
  <c r="BG267" i="13"/>
  <c r="E267" i="13"/>
  <c r="S267" i="13"/>
  <c r="AF267" i="13"/>
  <c r="AV267" i="13"/>
  <c r="BH267" i="13"/>
  <c r="T267" i="13"/>
  <c r="F267" i="13"/>
  <c r="AG267" i="13"/>
  <c r="AW267" i="13"/>
  <c r="G267" i="13"/>
  <c r="U267" i="13"/>
  <c r="AH267" i="13"/>
  <c r="AX267" i="13"/>
  <c r="BN267" i="13"/>
  <c r="N267" i="13"/>
  <c r="X267" i="13"/>
  <c r="AI267" i="13"/>
  <c r="AY267" i="13"/>
  <c r="BO267" i="13"/>
  <c r="M267" i="13"/>
  <c r="Y267" i="13"/>
  <c r="AJ267" i="13"/>
  <c r="BP267" i="13"/>
  <c r="AB267" i="13"/>
  <c r="BC267" i="13"/>
  <c r="H267" i="13"/>
  <c r="Z267" i="13"/>
  <c r="AK267" i="13"/>
  <c r="BA267" i="13"/>
  <c r="BQ267" i="13"/>
  <c r="AM267" i="13"/>
  <c r="BS267" i="13"/>
  <c r="AA267" i="13"/>
  <c r="AL267" i="13"/>
  <c r="BB267" i="13"/>
  <c r="BR267" i="13"/>
  <c r="J267" i="13"/>
  <c r="O266" i="13"/>
  <c r="V266" i="13"/>
  <c r="BD266" i="13"/>
  <c r="BT266" i="13"/>
  <c r="K266" i="13"/>
  <c r="P266" i="13"/>
  <c r="AC266" i="13"/>
  <c r="AS266" i="13"/>
  <c r="BE266" i="13"/>
  <c r="BU266" i="13"/>
  <c r="D266" i="13"/>
  <c r="Q266" i="13"/>
  <c r="AD266" i="13"/>
  <c r="AT266" i="13"/>
  <c r="BF266" i="13"/>
  <c r="L266" i="13"/>
  <c r="R266" i="13"/>
  <c r="AE266" i="13"/>
  <c r="AU266" i="13"/>
  <c r="BG266" i="13"/>
  <c r="E266" i="13"/>
  <c r="S266" i="13"/>
  <c r="AF266" i="13"/>
  <c r="AV266" i="13"/>
  <c r="BH266" i="13"/>
  <c r="F266" i="13"/>
  <c r="T266" i="13"/>
  <c r="AG266" i="13"/>
  <c r="AW266" i="13"/>
  <c r="G266" i="13"/>
  <c r="U266" i="13"/>
  <c r="AH266" i="13"/>
  <c r="AX266" i="13"/>
  <c r="BN266" i="13"/>
  <c r="N266" i="13"/>
  <c r="X266" i="13"/>
  <c r="AI266" i="13"/>
  <c r="AY266" i="13"/>
  <c r="BO266" i="13"/>
  <c r="M266" i="13"/>
  <c r="Y266" i="13"/>
  <c r="AJ266" i="13"/>
  <c r="BP266" i="13"/>
  <c r="H266" i="13"/>
  <c r="Z266" i="13"/>
  <c r="AK266" i="13"/>
  <c r="BA266" i="13"/>
  <c r="BQ266" i="13"/>
  <c r="AA266" i="13"/>
  <c r="AL266" i="13"/>
  <c r="BB266" i="13"/>
  <c r="BR266" i="13"/>
  <c r="J266" i="13"/>
  <c r="AB266" i="13"/>
  <c r="AM266" i="13"/>
  <c r="BC266" i="13"/>
  <c r="BS266" i="13"/>
  <c r="O265" i="13"/>
  <c r="V265" i="13"/>
  <c r="BD265" i="13"/>
  <c r="BT265" i="13"/>
  <c r="K265" i="13"/>
  <c r="P265" i="13"/>
  <c r="AC265" i="13"/>
  <c r="AS265" i="13"/>
  <c r="BE265" i="13"/>
  <c r="BU265" i="13"/>
  <c r="D265" i="13"/>
  <c r="Q265" i="13"/>
  <c r="AD265" i="13"/>
  <c r="AT265" i="13"/>
  <c r="BF265" i="13"/>
  <c r="L265" i="13"/>
  <c r="R265" i="13"/>
  <c r="AE265" i="13"/>
  <c r="AU265" i="13"/>
  <c r="BG265" i="13"/>
  <c r="E265" i="13"/>
  <c r="S265" i="13"/>
  <c r="AF265" i="13"/>
  <c r="AV265" i="13"/>
  <c r="BH265" i="13"/>
  <c r="F265" i="13"/>
  <c r="T265" i="13"/>
  <c r="AG265" i="13"/>
  <c r="AW265" i="13"/>
  <c r="G265" i="13"/>
  <c r="U265" i="13"/>
  <c r="AH265" i="13"/>
  <c r="AX265" i="13"/>
  <c r="BN265" i="13"/>
  <c r="N265" i="13"/>
  <c r="X265" i="13"/>
  <c r="AI265" i="13"/>
  <c r="AY265" i="13"/>
  <c r="BO265" i="13"/>
  <c r="M265" i="13"/>
  <c r="Y265" i="13"/>
  <c r="AJ265" i="13"/>
  <c r="BP265" i="13"/>
  <c r="H265" i="13"/>
  <c r="Z265" i="13"/>
  <c r="AK265" i="13"/>
  <c r="BA265" i="13"/>
  <c r="BQ265" i="13"/>
  <c r="AA265" i="13"/>
  <c r="AL265" i="13"/>
  <c r="BB265" i="13"/>
  <c r="BR265" i="13"/>
  <c r="J265" i="13"/>
  <c r="AB265" i="13"/>
  <c r="AM265" i="13"/>
  <c r="BC265" i="13"/>
  <c r="BS265" i="13"/>
  <c r="O264" i="13"/>
  <c r="V264" i="13"/>
  <c r="BD264" i="13"/>
  <c r="BT264" i="13"/>
  <c r="AA263" i="13"/>
  <c r="AL263" i="13"/>
  <c r="BB263" i="13"/>
  <c r="BR263" i="13"/>
  <c r="AD264" i="13"/>
  <c r="BF264" i="13"/>
  <c r="BD263" i="13"/>
  <c r="R264" i="13"/>
  <c r="K263" i="13"/>
  <c r="AS263" i="13"/>
  <c r="BP263" i="13"/>
  <c r="K264" i="13"/>
  <c r="P264" i="13"/>
  <c r="AC264" i="13"/>
  <c r="AS264" i="13"/>
  <c r="BE264" i="13"/>
  <c r="BU264" i="13"/>
  <c r="J263" i="13"/>
  <c r="AB263" i="13"/>
  <c r="AM263" i="13"/>
  <c r="BC263" i="13"/>
  <c r="BS263" i="13"/>
  <c r="Q264" i="13"/>
  <c r="V263" i="13"/>
  <c r="AU264" i="13"/>
  <c r="P263" i="13"/>
  <c r="BE263" i="13"/>
  <c r="M263" i="13"/>
  <c r="D264" i="13"/>
  <c r="L264" i="13"/>
  <c r="E264" i="13"/>
  <c r="S264" i="13"/>
  <c r="AF264" i="13"/>
  <c r="AV264" i="13"/>
  <c r="BH264" i="13"/>
  <c r="D263" i="13"/>
  <c r="Q263" i="13"/>
  <c r="AD263" i="13"/>
  <c r="AT263" i="13"/>
  <c r="BF263" i="13"/>
  <c r="T264" i="13"/>
  <c r="AG264" i="13"/>
  <c r="AW264" i="13"/>
  <c r="L263" i="13"/>
  <c r="R263" i="13"/>
  <c r="AE263" i="13"/>
  <c r="AU263" i="13"/>
  <c r="BG263" i="13"/>
  <c r="BB264" i="13"/>
  <c r="F264" i="13"/>
  <c r="G264" i="13"/>
  <c r="U264" i="13"/>
  <c r="AH264" i="13"/>
  <c r="AX264" i="13"/>
  <c r="BN264" i="13"/>
  <c r="E263" i="13"/>
  <c r="S263" i="13"/>
  <c r="AF263" i="13"/>
  <c r="AV263" i="13"/>
  <c r="BH263" i="13"/>
  <c r="X264" i="13"/>
  <c r="AI264" i="13"/>
  <c r="AY264" i="13"/>
  <c r="BO264" i="13"/>
  <c r="F263" i="13"/>
  <c r="T263" i="13"/>
  <c r="AG263" i="13"/>
  <c r="AW263" i="13"/>
  <c r="AL264" i="13"/>
  <c r="AJ263" i="13"/>
  <c r="N264" i="13"/>
  <c r="M264" i="13"/>
  <c r="Y264" i="13"/>
  <c r="AJ264" i="13"/>
  <c r="BP264" i="13"/>
  <c r="G263" i="13"/>
  <c r="U263" i="13"/>
  <c r="AH263" i="13"/>
  <c r="AX263" i="13"/>
  <c r="BN263" i="13"/>
  <c r="Z264" i="13"/>
  <c r="AK264" i="13"/>
  <c r="BA264" i="13"/>
  <c r="BQ264" i="13"/>
  <c r="N263" i="13"/>
  <c r="X263" i="13"/>
  <c r="AI263" i="13"/>
  <c r="AY263" i="13"/>
  <c r="BO263" i="13"/>
  <c r="BR264" i="13"/>
  <c r="H264" i="13"/>
  <c r="AA264" i="13"/>
  <c r="J264" i="13"/>
  <c r="AB264" i="13"/>
  <c r="AM264" i="13"/>
  <c r="BC264" i="13"/>
  <c r="BS264" i="13"/>
  <c r="H263" i="13"/>
  <c r="Z263" i="13"/>
  <c r="AK263" i="13"/>
  <c r="BA263" i="13"/>
  <c r="BQ263" i="13"/>
  <c r="AT264" i="13"/>
  <c r="O263" i="13"/>
  <c r="BT263" i="13"/>
  <c r="AE264" i="13"/>
  <c r="BG264" i="13"/>
  <c r="AC263" i="13"/>
  <c r="BU263" i="13"/>
  <c r="Y263" i="13"/>
  <c r="O262" i="13"/>
  <c r="AS262" i="13"/>
  <c r="AD262" i="13"/>
  <c r="K262" i="13"/>
  <c r="D262" i="13"/>
  <c r="L262" i="13"/>
  <c r="E262" i="13"/>
  <c r="F262" i="13"/>
  <c r="T262" i="13"/>
  <c r="AG262" i="13"/>
  <c r="AW262" i="13"/>
  <c r="G262" i="13"/>
  <c r="U262" i="13"/>
  <c r="AH262" i="13"/>
  <c r="AX262" i="13"/>
  <c r="BN262" i="13"/>
  <c r="X262" i="13"/>
  <c r="AI262" i="13"/>
  <c r="AY262" i="13"/>
  <c r="BO262" i="13"/>
  <c r="AJ262" i="13"/>
  <c r="BP262" i="13"/>
  <c r="N262" i="13"/>
  <c r="Y262" i="13"/>
  <c r="AV262" i="13"/>
  <c r="M262" i="13"/>
  <c r="H262" i="13"/>
  <c r="Z262" i="13"/>
  <c r="AK262" i="13"/>
  <c r="BA262" i="13"/>
  <c r="BQ262" i="13"/>
  <c r="AC262" i="13"/>
  <c r="Q262" i="13"/>
  <c r="BF262" i="13"/>
  <c r="AE262" i="13"/>
  <c r="BG262" i="13"/>
  <c r="S262" i="13"/>
  <c r="BH262" i="13"/>
  <c r="AA262" i="13"/>
  <c r="AL262" i="13"/>
  <c r="BB262" i="13"/>
  <c r="BR262" i="13"/>
  <c r="BT262" i="13"/>
  <c r="P262" i="13"/>
  <c r="BE262" i="13"/>
  <c r="AU262" i="13"/>
  <c r="J262" i="13"/>
  <c r="AB262" i="13"/>
  <c r="AM262" i="13"/>
  <c r="BC262" i="13"/>
  <c r="BS262" i="13"/>
  <c r="V262" i="13"/>
  <c r="BD262" i="13"/>
  <c r="BU262" i="13"/>
  <c r="AT262" i="13"/>
  <c r="R262" i="13"/>
  <c r="AF262" i="13"/>
  <c r="G2074" i="11"/>
  <c r="M2074" i="11" s="1"/>
  <c r="K261" i="13"/>
  <c r="L253" i="13"/>
  <c r="L241" i="13"/>
  <c r="L229" i="13"/>
  <c r="L193" i="13"/>
  <c r="L169" i="13"/>
  <c r="L121" i="13"/>
  <c r="L61" i="13"/>
  <c r="L144" i="13"/>
  <c r="L60" i="13"/>
  <c r="L131" i="13"/>
  <c r="L35" i="13"/>
  <c r="L70" i="13"/>
  <c r="L189" i="13"/>
  <c r="L93" i="13"/>
  <c r="K259" i="13"/>
  <c r="L252" i="13"/>
  <c r="L240" i="13"/>
  <c r="L228" i="13"/>
  <c r="L216" i="13"/>
  <c r="L204" i="13"/>
  <c r="L192" i="13"/>
  <c r="L180" i="13"/>
  <c r="L168" i="13"/>
  <c r="L132" i="13"/>
  <c r="L84" i="13"/>
  <c r="L107" i="13"/>
  <c r="L23" i="13"/>
  <c r="L82" i="13"/>
  <c r="L237" i="13"/>
  <c r="L57" i="13"/>
  <c r="K258" i="13"/>
  <c r="L251" i="13"/>
  <c r="L239" i="13"/>
  <c r="L227" i="13"/>
  <c r="L215" i="13"/>
  <c r="L203" i="13"/>
  <c r="L191" i="13"/>
  <c r="L179" i="13"/>
  <c r="L167" i="13"/>
  <c r="L155" i="13"/>
  <c r="L71" i="13"/>
  <c r="L34" i="13"/>
  <c r="L213" i="13"/>
  <c r="L69" i="13"/>
  <c r="K260" i="13"/>
  <c r="L250" i="13"/>
  <c r="L238" i="13"/>
  <c r="L226" i="13"/>
  <c r="L214" i="13"/>
  <c r="L202" i="13"/>
  <c r="L190" i="13"/>
  <c r="L178" i="13"/>
  <c r="L166" i="13"/>
  <c r="L154" i="13"/>
  <c r="L142" i="13"/>
  <c r="L46" i="13"/>
  <c r="L141" i="13"/>
  <c r="L9" i="13"/>
  <c r="L261" i="13"/>
  <c r="L249" i="13"/>
  <c r="L165" i="13"/>
  <c r="L260" i="13"/>
  <c r="L248" i="13"/>
  <c r="L236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59" i="13"/>
  <c r="L247" i="13"/>
  <c r="L235" i="13"/>
  <c r="L223" i="13"/>
  <c r="L211" i="13"/>
  <c r="L199" i="13"/>
  <c r="L187" i="13"/>
  <c r="L175" i="13"/>
  <c r="L163" i="13"/>
  <c r="L151" i="13"/>
  <c r="L139" i="13"/>
  <c r="L127" i="13"/>
  <c r="L115" i="13"/>
  <c r="L103" i="13"/>
  <c r="L91" i="13"/>
  <c r="L79" i="13"/>
  <c r="L67" i="13"/>
  <c r="L55" i="13"/>
  <c r="L31" i="13"/>
  <c r="L19" i="13"/>
  <c r="L7" i="13"/>
  <c r="L48" i="13"/>
  <c r="L143" i="13"/>
  <c r="L47" i="13"/>
  <c r="L94" i="13"/>
  <c r="L225" i="13"/>
  <c r="L81" i="13"/>
  <c r="L43" i="13"/>
  <c r="L118" i="13"/>
  <c r="L153" i="13"/>
  <c r="L33" i="13"/>
  <c r="L258" i="13"/>
  <c r="L246" i="13"/>
  <c r="L234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55" i="13"/>
  <c r="L219" i="13"/>
  <c r="L183" i="13"/>
  <c r="L159" i="13"/>
  <c r="L135" i="13"/>
  <c r="L99" i="13"/>
  <c r="L63" i="13"/>
  <c r="L27" i="13"/>
  <c r="L254" i="13"/>
  <c r="L218" i="13"/>
  <c r="L182" i="13"/>
  <c r="L158" i="13"/>
  <c r="L134" i="13"/>
  <c r="L98" i="13"/>
  <c r="L62" i="13"/>
  <c r="L38" i="13"/>
  <c r="L14" i="13"/>
  <c r="L181" i="13"/>
  <c r="L145" i="13"/>
  <c r="L97" i="13"/>
  <c r="L73" i="13"/>
  <c r="L25" i="13"/>
  <c r="L120" i="13"/>
  <c r="L72" i="13"/>
  <c r="L12" i="13"/>
  <c r="L83" i="13"/>
  <c r="L130" i="13"/>
  <c r="L22" i="13"/>
  <c r="L177" i="13"/>
  <c r="L105" i="13"/>
  <c r="L21" i="13"/>
  <c r="L257" i="13"/>
  <c r="L245" i="13"/>
  <c r="L233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43" i="13"/>
  <c r="L207" i="13"/>
  <c r="L171" i="13"/>
  <c r="L123" i="13"/>
  <c r="L87" i="13"/>
  <c r="L51" i="13"/>
  <c r="L15" i="13"/>
  <c r="L230" i="13"/>
  <c r="L194" i="13"/>
  <c r="L146" i="13"/>
  <c r="L110" i="13"/>
  <c r="L74" i="13"/>
  <c r="L26" i="13"/>
  <c r="L217" i="13"/>
  <c r="L157" i="13"/>
  <c r="L109" i="13"/>
  <c r="L49" i="13"/>
  <c r="L13" i="13"/>
  <c r="L108" i="13"/>
  <c r="L36" i="13"/>
  <c r="L119" i="13"/>
  <c r="L59" i="13"/>
  <c r="L106" i="13"/>
  <c r="L10" i="13"/>
  <c r="L129" i="13"/>
  <c r="L45" i="13"/>
  <c r="L256" i="13"/>
  <c r="L244" i="13"/>
  <c r="L232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31" i="13"/>
  <c r="L195" i="13"/>
  <c r="L147" i="13"/>
  <c r="L111" i="13"/>
  <c r="L75" i="13"/>
  <c r="L39" i="13"/>
  <c r="L242" i="13"/>
  <c r="L206" i="13"/>
  <c r="L170" i="13"/>
  <c r="L122" i="13"/>
  <c r="L86" i="13"/>
  <c r="L50" i="13"/>
  <c r="L205" i="13"/>
  <c r="L133" i="13"/>
  <c r="L85" i="13"/>
  <c r="L37" i="13"/>
  <c r="L156" i="13"/>
  <c r="L96" i="13"/>
  <c r="L24" i="13"/>
  <c r="L95" i="13"/>
  <c r="L11" i="13"/>
  <c r="L58" i="13"/>
  <c r="L201" i="13"/>
  <c r="L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E208" i="13"/>
  <c r="E196" i="13"/>
  <c r="E184" i="13"/>
  <c r="E172" i="13"/>
  <c r="E160" i="13"/>
  <c r="E148" i="13"/>
  <c r="E136" i="13"/>
  <c r="E124" i="13"/>
  <c r="E112" i="13"/>
  <c r="E100" i="13"/>
  <c r="E88" i="13"/>
  <c r="E76" i="13"/>
  <c r="E64" i="13"/>
  <c r="E52" i="13"/>
  <c r="E40" i="13"/>
  <c r="E28" i="13"/>
  <c r="E16" i="13"/>
  <c r="E4" i="13"/>
  <c r="E250" i="13"/>
  <c r="E238" i="13"/>
  <c r="E226" i="13"/>
  <c r="G261" i="13"/>
  <c r="U261" i="13"/>
  <c r="AG261" i="13"/>
  <c r="BQ261" i="13"/>
  <c r="AT232" i="13"/>
  <c r="E203" i="13"/>
  <c r="E119" i="13"/>
  <c r="E59" i="13"/>
  <c r="E245" i="13"/>
  <c r="AL261" i="13"/>
  <c r="F261" i="13"/>
  <c r="AT260" i="13"/>
  <c r="AT248" i="13"/>
  <c r="AT236" i="13"/>
  <c r="AT224" i="13"/>
  <c r="AT212" i="13"/>
  <c r="AT200" i="13"/>
  <c r="E207" i="13"/>
  <c r="E195" i="13"/>
  <c r="E183" i="13"/>
  <c r="E171" i="13"/>
  <c r="E159" i="13"/>
  <c r="E147" i="13"/>
  <c r="E135" i="13"/>
  <c r="E123" i="13"/>
  <c r="E111" i="13"/>
  <c r="E99" i="13"/>
  <c r="E87" i="13"/>
  <c r="E75" i="13"/>
  <c r="E63" i="13"/>
  <c r="E51" i="13"/>
  <c r="E39" i="13"/>
  <c r="E27" i="13"/>
  <c r="E15" i="13"/>
  <c r="E261" i="13"/>
  <c r="E249" i="13"/>
  <c r="E237" i="13"/>
  <c r="E225" i="13"/>
  <c r="N261" i="13"/>
  <c r="X261" i="13"/>
  <c r="AH261" i="13"/>
  <c r="BA261" i="13"/>
  <c r="BR261" i="13"/>
  <c r="AT220" i="13"/>
  <c r="E167" i="13"/>
  <c r="E107" i="13"/>
  <c r="E47" i="13"/>
  <c r="E257" i="13"/>
  <c r="J261" i="13"/>
  <c r="AT259" i="13"/>
  <c r="AT247" i="13"/>
  <c r="AT235" i="13"/>
  <c r="AT223" i="13"/>
  <c r="AT211" i="13"/>
  <c r="AT199" i="13"/>
  <c r="E206" i="13"/>
  <c r="E194" i="13"/>
  <c r="E182" i="13"/>
  <c r="E170" i="13"/>
  <c r="E158" i="13"/>
  <c r="E146" i="13"/>
  <c r="E134" i="13"/>
  <c r="E122" i="13"/>
  <c r="E110" i="13"/>
  <c r="E98" i="13"/>
  <c r="E86" i="13"/>
  <c r="E74" i="13"/>
  <c r="E62" i="13"/>
  <c r="E50" i="13"/>
  <c r="E38" i="13"/>
  <c r="E26" i="13"/>
  <c r="E14" i="13"/>
  <c r="E260" i="13"/>
  <c r="E248" i="13"/>
  <c r="E236" i="13"/>
  <c r="E224" i="13"/>
  <c r="M261" i="13"/>
  <c r="Y261" i="13"/>
  <c r="AI261" i="13"/>
  <c r="BB261" i="13"/>
  <c r="BS261" i="13"/>
  <c r="AT244" i="13"/>
  <c r="E155" i="13"/>
  <c r="E95" i="13"/>
  <c r="E35" i="13"/>
  <c r="E233" i="13"/>
  <c r="BE261" i="13"/>
  <c r="T261" i="13"/>
  <c r="AT258" i="13"/>
  <c r="AT246" i="13"/>
  <c r="AT234" i="13"/>
  <c r="AT222" i="13"/>
  <c r="AT210" i="13"/>
  <c r="E217" i="13"/>
  <c r="E205" i="13"/>
  <c r="E193" i="13"/>
  <c r="E181" i="13"/>
  <c r="E169" i="13"/>
  <c r="E157" i="13"/>
  <c r="E145" i="13"/>
  <c r="E133" i="13"/>
  <c r="E121" i="13"/>
  <c r="E109" i="13"/>
  <c r="E97" i="13"/>
  <c r="E85" i="13"/>
  <c r="E73" i="13"/>
  <c r="E61" i="13"/>
  <c r="E49" i="13"/>
  <c r="E37" i="13"/>
  <c r="E25" i="13"/>
  <c r="E13" i="13"/>
  <c r="E259" i="13"/>
  <c r="E247" i="13"/>
  <c r="E235" i="13"/>
  <c r="E223" i="13"/>
  <c r="H261" i="13"/>
  <c r="Z261" i="13"/>
  <c r="AJ261" i="13"/>
  <c r="BC261" i="13"/>
  <c r="BT261" i="13"/>
  <c r="AT208" i="13"/>
  <c r="E191" i="13"/>
  <c r="E131" i="13"/>
  <c r="E71" i="13"/>
  <c r="E23" i="13"/>
  <c r="E221" i="13"/>
  <c r="AT257" i="13"/>
  <c r="AT245" i="13"/>
  <c r="AT233" i="13"/>
  <c r="AT221" i="13"/>
  <c r="AT209" i="13"/>
  <c r="E216" i="13"/>
  <c r="E204" i="13"/>
  <c r="E192" i="13"/>
  <c r="E180" i="13"/>
  <c r="E168" i="13"/>
  <c r="E156" i="13"/>
  <c r="E144" i="13"/>
  <c r="E132" i="13"/>
  <c r="E120" i="13"/>
  <c r="E108" i="13"/>
  <c r="E96" i="13"/>
  <c r="E84" i="13"/>
  <c r="E72" i="13"/>
  <c r="E60" i="13"/>
  <c r="E48" i="13"/>
  <c r="E36" i="13"/>
  <c r="E24" i="13"/>
  <c r="E12" i="13"/>
  <c r="E258" i="13"/>
  <c r="E246" i="13"/>
  <c r="E234" i="13"/>
  <c r="E222" i="13"/>
  <c r="AA261" i="13"/>
  <c r="AK261" i="13"/>
  <c r="BD261" i="13"/>
  <c r="BU261" i="13"/>
  <c r="AT256" i="13"/>
  <c r="E215" i="13"/>
  <c r="E179" i="13"/>
  <c r="E143" i="13"/>
  <c r="E83" i="13"/>
  <c r="E11" i="13"/>
  <c r="AB261" i="13"/>
  <c r="AY261" i="13"/>
  <c r="AT255" i="13"/>
  <c r="AT243" i="13"/>
  <c r="AT231" i="13"/>
  <c r="AT219" i="13"/>
  <c r="AT207" i="13"/>
  <c r="E214" i="13"/>
  <c r="E202" i="13"/>
  <c r="E190" i="13"/>
  <c r="E178" i="13"/>
  <c r="E166" i="13"/>
  <c r="E154" i="13"/>
  <c r="E142" i="13"/>
  <c r="E130" i="13"/>
  <c r="E118" i="13"/>
  <c r="E106" i="13"/>
  <c r="E94" i="13"/>
  <c r="E82" i="13"/>
  <c r="E70" i="13"/>
  <c r="E58" i="13"/>
  <c r="E46" i="13"/>
  <c r="E34" i="13"/>
  <c r="E22" i="13"/>
  <c r="E10" i="13"/>
  <c r="E256" i="13"/>
  <c r="E244" i="13"/>
  <c r="E232" i="13"/>
  <c r="E220" i="13"/>
  <c r="O261" i="13"/>
  <c r="V261" i="13"/>
  <c r="AM261" i="13"/>
  <c r="BF261" i="13"/>
  <c r="AT202" i="13"/>
  <c r="E209" i="13"/>
  <c r="E161" i="13"/>
  <c r="E101" i="13"/>
  <c r="E41" i="13"/>
  <c r="E239" i="13"/>
  <c r="AT254" i="13"/>
  <c r="AT242" i="13"/>
  <c r="AT230" i="13"/>
  <c r="AT218" i="13"/>
  <c r="AT206" i="13"/>
  <c r="E213" i="13"/>
  <c r="E201" i="13"/>
  <c r="E189" i="13"/>
  <c r="E177" i="13"/>
  <c r="E165" i="13"/>
  <c r="E153" i="13"/>
  <c r="E141" i="13"/>
  <c r="E129" i="13"/>
  <c r="E117" i="13"/>
  <c r="E105" i="13"/>
  <c r="E93" i="13"/>
  <c r="E81" i="13"/>
  <c r="E69" i="13"/>
  <c r="E57" i="13"/>
  <c r="E45" i="13"/>
  <c r="E33" i="13"/>
  <c r="E21" i="13"/>
  <c r="E9" i="13"/>
  <c r="E255" i="13"/>
  <c r="E243" i="13"/>
  <c r="E231" i="13"/>
  <c r="E219" i="13"/>
  <c r="P261" i="13"/>
  <c r="AC261" i="13"/>
  <c r="AS261" i="13"/>
  <c r="BG261" i="13"/>
  <c r="AT226" i="13"/>
  <c r="E173" i="13"/>
  <c r="E113" i="13"/>
  <c r="E53" i="13"/>
  <c r="E251" i="13"/>
  <c r="AT253" i="13"/>
  <c r="AT241" i="13"/>
  <c r="AT229" i="13"/>
  <c r="AT217" i="13"/>
  <c r="AT205" i="13"/>
  <c r="E212" i="13"/>
  <c r="E200" i="13"/>
  <c r="E188" i="13"/>
  <c r="E176" i="13"/>
  <c r="E164" i="13"/>
  <c r="E152" i="13"/>
  <c r="E140" i="13"/>
  <c r="E128" i="13"/>
  <c r="E116" i="13"/>
  <c r="E104" i="13"/>
  <c r="E92" i="13"/>
  <c r="E80" i="13"/>
  <c r="E68" i="13"/>
  <c r="E56" i="13"/>
  <c r="E44" i="13"/>
  <c r="E32" i="13"/>
  <c r="E20" i="13"/>
  <c r="E8" i="13"/>
  <c r="E254" i="13"/>
  <c r="E242" i="13"/>
  <c r="E230" i="13"/>
  <c r="E218" i="13"/>
  <c r="Q261" i="13"/>
  <c r="AV261" i="13"/>
  <c r="BH261" i="13"/>
  <c r="AT250" i="13"/>
  <c r="E149" i="13"/>
  <c r="E89" i="13"/>
  <c r="E29" i="13"/>
  <c r="BP261" i="13"/>
  <c r="AT252" i="13"/>
  <c r="AT240" i="13"/>
  <c r="AT228" i="13"/>
  <c r="AT216" i="13"/>
  <c r="AT204" i="13"/>
  <c r="E211" i="13"/>
  <c r="E199" i="13"/>
  <c r="E187" i="13"/>
  <c r="E175" i="13"/>
  <c r="E163" i="13"/>
  <c r="E151" i="13"/>
  <c r="E139" i="13"/>
  <c r="E127" i="13"/>
  <c r="E115" i="13"/>
  <c r="E103" i="13"/>
  <c r="E91" i="13"/>
  <c r="E79" i="13"/>
  <c r="E67" i="13"/>
  <c r="E55" i="13"/>
  <c r="E43" i="13"/>
  <c r="E31" i="13"/>
  <c r="E19" i="13"/>
  <c r="E7" i="13"/>
  <c r="E253" i="13"/>
  <c r="E241" i="13"/>
  <c r="E229" i="13"/>
  <c r="R261" i="13"/>
  <c r="AD261" i="13"/>
  <c r="AW261" i="13"/>
  <c r="BN261" i="13"/>
  <c r="AX261" i="13"/>
  <c r="AT238" i="13"/>
  <c r="E197" i="13"/>
  <c r="E137" i="13"/>
  <c r="E77" i="13"/>
  <c r="E5" i="13"/>
  <c r="AF261" i="13"/>
  <c r="AT251" i="13"/>
  <c r="AT239" i="13"/>
  <c r="AT227" i="13"/>
  <c r="AT215" i="13"/>
  <c r="AT203" i="13"/>
  <c r="E210" i="13"/>
  <c r="E198" i="13"/>
  <c r="E186" i="13"/>
  <c r="E174" i="13"/>
  <c r="E162" i="13"/>
  <c r="E150" i="13"/>
  <c r="E138" i="13"/>
  <c r="E126" i="13"/>
  <c r="E114" i="13"/>
  <c r="E102" i="13"/>
  <c r="E90" i="13"/>
  <c r="E78" i="13"/>
  <c r="E66" i="13"/>
  <c r="E54" i="13"/>
  <c r="E42" i="13"/>
  <c r="E30" i="13"/>
  <c r="E18" i="13"/>
  <c r="E6" i="13"/>
  <c r="E252" i="13"/>
  <c r="E240" i="13"/>
  <c r="E228" i="13"/>
  <c r="D261" i="13"/>
  <c r="S261" i="13"/>
  <c r="AE261" i="13"/>
  <c r="BO261" i="13"/>
  <c r="AT214" i="13"/>
  <c r="E185" i="13"/>
  <c r="E125" i="13"/>
  <c r="E65" i="13"/>
  <c r="E17" i="13"/>
  <c r="E227" i="13"/>
  <c r="N3024" i="11"/>
  <c r="BN257" i="13"/>
  <c r="BN245" i="13"/>
  <c r="BN233" i="13"/>
  <c r="BN221" i="13"/>
  <c r="BN209" i="13"/>
  <c r="X260" i="13"/>
  <c r="AB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J260" i="13"/>
  <c r="AV260" i="13"/>
  <c r="BH260" i="13"/>
  <c r="BS243" i="13"/>
  <c r="BS231" i="13"/>
  <c r="BS207" i="13"/>
  <c r="BN253" i="13"/>
  <c r="BN229" i="13"/>
  <c r="O260" i="13"/>
  <c r="AW260" i="13"/>
  <c r="BS254" i="13"/>
  <c r="BS242" i="13"/>
  <c r="BS218" i="13"/>
  <c r="BS206" i="13"/>
  <c r="BN228" i="13"/>
  <c r="D260" i="13"/>
  <c r="P260" i="13"/>
  <c r="AX260" i="13"/>
  <c r="BO260" i="13"/>
  <c r="BS241" i="13"/>
  <c r="BS229" i="13"/>
  <c r="BN251" i="13"/>
  <c r="BN239" i="13"/>
  <c r="BN215" i="13"/>
  <c r="F260" i="13"/>
  <c r="Q260" i="13"/>
  <c r="AY260" i="13"/>
  <c r="BS252" i="13"/>
  <c r="BS240" i="13"/>
  <c r="BS216" i="13"/>
  <c r="BN238" i="13"/>
  <c r="BN214" i="13"/>
  <c r="Z260" i="13"/>
  <c r="AG260" i="13"/>
  <c r="BN237" i="13"/>
  <c r="BN213" i="13"/>
  <c r="S260" i="13"/>
  <c r="AH260" i="13"/>
  <c r="BS260" i="13"/>
  <c r="BS250" i="13"/>
  <c r="BS226" i="13"/>
  <c r="BS214" i="13"/>
  <c r="BN260" i="13"/>
  <c r="BN236" i="13"/>
  <c r="BN224" i="13"/>
  <c r="AA260" i="13"/>
  <c r="T260" i="13"/>
  <c r="BB260" i="13"/>
  <c r="BS249" i="13"/>
  <c r="BS225" i="13"/>
  <c r="BS213" i="13"/>
  <c r="BN247" i="13"/>
  <c r="BN223" i="13"/>
  <c r="BN211" i="13"/>
  <c r="N260" i="13"/>
  <c r="BN256" i="13"/>
  <c r="BN244" i="13"/>
  <c r="BN232" i="13"/>
  <c r="BN220" i="13"/>
  <c r="BN208" i="13"/>
  <c r="H260" i="13"/>
  <c r="V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R260" i="13"/>
  <c r="BP260" i="13"/>
  <c r="BS251" i="13"/>
  <c r="BS239" i="13"/>
  <c r="BS227" i="13"/>
  <c r="BS215" i="13"/>
  <c r="BN249" i="13"/>
  <c r="BN225" i="13"/>
  <c r="G260" i="13"/>
  <c r="BA260" i="13"/>
  <c r="BS238" i="13"/>
  <c r="BN248" i="13"/>
  <c r="BN212" i="13"/>
  <c r="AI260" i="13"/>
  <c r="BT260" i="13"/>
  <c r="BS237" i="13"/>
  <c r="BN259" i="13"/>
  <c r="BN235" i="13"/>
  <c r="U260" i="13"/>
  <c r="BN210" i="13"/>
  <c r="BS247" i="13"/>
  <c r="M260" i="13"/>
  <c r="BS236" i="13"/>
  <c r="BS235" i="13"/>
  <c r="Y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P259" i="13"/>
  <c r="AD259" i="13"/>
  <c r="AW259" i="13"/>
  <c r="BR259" i="13"/>
  <c r="D259" i="13"/>
  <c r="Q259" i="13"/>
  <c r="AE259" i="13"/>
  <c r="AX259" i="13"/>
  <c r="BO259" i="13"/>
  <c r="F259" i="13"/>
  <c r="R259" i="13"/>
  <c r="AF259" i="13"/>
  <c r="AY259" i="13"/>
  <c r="BQ259" i="13"/>
  <c r="Z259" i="13"/>
  <c r="S259" i="13"/>
  <c r="AG259" i="13"/>
  <c r="BP259" i="13"/>
  <c r="G259" i="13"/>
  <c r="T259" i="13"/>
  <c r="AH259" i="13"/>
  <c r="BA259" i="13"/>
  <c r="BT259" i="13"/>
  <c r="AA259" i="13"/>
  <c r="U259" i="13"/>
  <c r="AI259" i="13"/>
  <c r="BB259" i="13"/>
  <c r="BU259" i="13"/>
  <c r="N259" i="13"/>
  <c r="Y259" i="13"/>
  <c r="AJ259" i="13"/>
  <c r="BC259" i="13"/>
  <c r="M259" i="13"/>
  <c r="H259" i="13"/>
  <c r="AK259" i="13"/>
  <c r="BD259" i="13"/>
  <c r="X259" i="13"/>
  <c r="AB259" i="13"/>
  <c r="AL259" i="13"/>
  <c r="BE259" i="13"/>
  <c r="V259" i="13"/>
  <c r="AM259" i="13"/>
  <c r="BF259" i="13"/>
  <c r="J259" i="13"/>
  <c r="AC259" i="13"/>
  <c r="AS259" i="13"/>
  <c r="BG259" i="13"/>
  <c r="O259" i="13"/>
  <c r="AV259" i="13"/>
  <c r="BH259" i="13"/>
  <c r="O258" i="13"/>
  <c r="AS258" i="13"/>
  <c r="BG258" i="13"/>
  <c r="AX258" i="13"/>
  <c r="BR258" i="13"/>
  <c r="Z258" i="13"/>
  <c r="P258" i="13"/>
  <c r="AD258" i="13"/>
  <c r="AV258" i="13"/>
  <c r="BH258" i="13"/>
  <c r="R258" i="13"/>
  <c r="S258" i="13"/>
  <c r="D258" i="13"/>
  <c r="Q258" i="13"/>
  <c r="AE258" i="13"/>
  <c r="AW258" i="13"/>
  <c r="F258" i="13"/>
  <c r="AF258" i="13"/>
  <c r="BO258" i="13"/>
  <c r="G258" i="13"/>
  <c r="T258" i="13"/>
  <c r="AH258" i="13"/>
  <c r="BQ258" i="13"/>
  <c r="J258" i="13"/>
  <c r="AA258" i="13"/>
  <c r="U258" i="13"/>
  <c r="AI258" i="13"/>
  <c r="BA258" i="13"/>
  <c r="BP258" i="13"/>
  <c r="AM258" i="13"/>
  <c r="AY258" i="13"/>
  <c r="N258" i="13"/>
  <c r="Y258" i="13"/>
  <c r="AJ258" i="13"/>
  <c r="BB258" i="13"/>
  <c r="BT258" i="13"/>
  <c r="BF258" i="13"/>
  <c r="M258" i="13"/>
  <c r="H258" i="13"/>
  <c r="AK258" i="13"/>
  <c r="BC258" i="13"/>
  <c r="BU258" i="13"/>
  <c r="V258" i="13"/>
  <c r="AC258" i="13"/>
  <c r="AG258" i="13"/>
  <c r="X258" i="13"/>
  <c r="AB258" i="13"/>
  <c r="AL258" i="13"/>
  <c r="BD258" i="13"/>
  <c r="BE258" i="13"/>
  <c r="O257" i="13"/>
  <c r="AS257" i="13"/>
  <c r="BG257" i="13"/>
  <c r="F256" i="13"/>
  <c r="R256" i="13"/>
  <c r="AF256" i="13"/>
  <c r="AX256" i="13"/>
  <c r="BR256" i="13"/>
  <c r="AE257" i="13"/>
  <c r="G256" i="13"/>
  <c r="AH256" i="13"/>
  <c r="AX257" i="13"/>
  <c r="BP256" i="13"/>
  <c r="N256" i="13"/>
  <c r="T257" i="13"/>
  <c r="BC256" i="13"/>
  <c r="AL256" i="13"/>
  <c r="K257" i="13"/>
  <c r="P257" i="13"/>
  <c r="AD257" i="13"/>
  <c r="AV257" i="13"/>
  <c r="BH257" i="13"/>
  <c r="Z256" i="13"/>
  <c r="S256" i="13"/>
  <c r="AG256" i="13"/>
  <c r="AY256" i="13"/>
  <c r="BO256" i="13"/>
  <c r="Q257" i="13"/>
  <c r="AW257" i="13"/>
  <c r="T256" i="13"/>
  <c r="BQ256" i="13"/>
  <c r="R257" i="13"/>
  <c r="AF257" i="13"/>
  <c r="BR257" i="13"/>
  <c r="BA256" i="13"/>
  <c r="AG257" i="13"/>
  <c r="Y256" i="13"/>
  <c r="D257" i="13"/>
  <c r="AA256" i="13"/>
  <c r="AY257" i="13"/>
  <c r="AJ256" i="13"/>
  <c r="AH257" i="13"/>
  <c r="H256" i="13"/>
  <c r="F257" i="13"/>
  <c r="Z257" i="13"/>
  <c r="BO257" i="13"/>
  <c r="AK256" i="13"/>
  <c r="X256" i="13"/>
  <c r="G257" i="13"/>
  <c r="AA257" i="13"/>
  <c r="U257" i="13"/>
  <c r="AI257" i="13"/>
  <c r="BA257" i="13"/>
  <c r="BD256" i="13"/>
  <c r="N257" i="13"/>
  <c r="Y257" i="13"/>
  <c r="AJ257" i="13"/>
  <c r="BB257" i="13"/>
  <c r="BT257" i="13"/>
  <c r="V256" i="13"/>
  <c r="AM256" i="13"/>
  <c r="BE256" i="13"/>
  <c r="M257" i="13"/>
  <c r="H257" i="13"/>
  <c r="AK257" i="13"/>
  <c r="BC257" i="13"/>
  <c r="BU257" i="13"/>
  <c r="J256" i="13"/>
  <c r="AC256" i="13"/>
  <c r="BF256" i="13"/>
  <c r="X257" i="13"/>
  <c r="AB257" i="13"/>
  <c r="AL257" i="13"/>
  <c r="BD257" i="13"/>
  <c r="O256" i="13"/>
  <c r="AS256" i="13"/>
  <c r="BG256" i="13"/>
  <c r="V257" i="13"/>
  <c r="AM257" i="13"/>
  <c r="BE257" i="13"/>
  <c r="K256" i="13"/>
  <c r="P256" i="13"/>
  <c r="AD256" i="13"/>
  <c r="AV256" i="13"/>
  <c r="BH256" i="13"/>
  <c r="AC257" i="13"/>
  <c r="BF257" i="13"/>
  <c r="D256" i="13"/>
  <c r="Q256" i="13"/>
  <c r="AE256" i="13"/>
  <c r="AW256" i="13"/>
  <c r="U256" i="13"/>
  <c r="BT256" i="13"/>
  <c r="M256" i="13"/>
  <c r="BP257" i="13"/>
  <c r="J257" i="13"/>
  <c r="AI256" i="13"/>
  <c r="S257" i="13"/>
  <c r="BB256" i="13"/>
  <c r="BQ257" i="13"/>
  <c r="BU256" i="13"/>
  <c r="AB256" i="13"/>
  <c r="O255" i="13"/>
  <c r="AS255" i="13"/>
  <c r="BG255" i="13"/>
  <c r="AD255" i="13"/>
  <c r="AK255" i="13"/>
  <c r="K255" i="13"/>
  <c r="D255" i="13"/>
  <c r="F255" i="13"/>
  <c r="R255" i="13"/>
  <c r="AF255" i="13"/>
  <c r="AX255" i="13"/>
  <c r="BR255" i="13"/>
  <c r="S255" i="13"/>
  <c r="AG255" i="13"/>
  <c r="AY255" i="13"/>
  <c r="BO255" i="13"/>
  <c r="Y255" i="13"/>
  <c r="BB255" i="13"/>
  <c r="BU255" i="13"/>
  <c r="Z255" i="13"/>
  <c r="G255" i="13"/>
  <c r="T255" i="13"/>
  <c r="AH255" i="13"/>
  <c r="BQ255" i="13"/>
  <c r="U255" i="13"/>
  <c r="AI255" i="13"/>
  <c r="BA255" i="13"/>
  <c r="BP255" i="13"/>
  <c r="AA255" i="13"/>
  <c r="N255" i="13"/>
  <c r="M255" i="13"/>
  <c r="H255" i="13"/>
  <c r="X255" i="13"/>
  <c r="AB255" i="13"/>
  <c r="AL255" i="13"/>
  <c r="BD255" i="13"/>
  <c r="AM255" i="13"/>
  <c r="BE255" i="13"/>
  <c r="AE255" i="13"/>
  <c r="AJ255" i="13"/>
  <c r="V255" i="13"/>
  <c r="BH255" i="13"/>
  <c r="J255" i="13"/>
  <c r="AC255" i="13"/>
  <c r="BF255" i="13"/>
  <c r="P255" i="13"/>
  <c r="AV255" i="13"/>
  <c r="Q255" i="13"/>
  <c r="AW255" i="13"/>
  <c r="BT255" i="13"/>
  <c r="BC255" i="13"/>
  <c r="K254" i="13"/>
  <c r="P254" i="13"/>
  <c r="AD254" i="13"/>
  <c r="AW254" i="13"/>
  <c r="BR254" i="13"/>
  <c r="D254" i="13"/>
  <c r="Q254" i="13"/>
  <c r="AE254" i="13"/>
  <c r="AX254" i="13"/>
  <c r="BO254" i="13"/>
  <c r="F254" i="13"/>
  <c r="R254" i="13"/>
  <c r="AF254" i="13"/>
  <c r="AY254" i="13"/>
  <c r="BQ254" i="13"/>
  <c r="Z254" i="13"/>
  <c r="S254" i="13"/>
  <c r="AG254" i="13"/>
  <c r="BP254" i="13"/>
  <c r="G254" i="13"/>
  <c r="T254" i="13"/>
  <c r="AH254" i="13"/>
  <c r="BA254" i="13"/>
  <c r="BT254" i="13"/>
  <c r="AA254" i="13"/>
  <c r="U254" i="13"/>
  <c r="AI254" i="13"/>
  <c r="BB254" i="13"/>
  <c r="BU254" i="13"/>
  <c r="N254" i="13"/>
  <c r="Y254" i="13"/>
  <c r="AJ254" i="13"/>
  <c r="BC254" i="13"/>
  <c r="M254" i="13"/>
  <c r="H254" i="13"/>
  <c r="AK254" i="13"/>
  <c r="BD254" i="13"/>
  <c r="X254" i="13"/>
  <c r="AB254" i="13"/>
  <c r="AL254" i="13"/>
  <c r="BE254" i="13"/>
  <c r="V254" i="13"/>
  <c r="AM254" i="13"/>
  <c r="BF254" i="13"/>
  <c r="J254" i="13"/>
  <c r="AC254" i="13"/>
  <c r="AS254" i="13"/>
  <c r="BG254" i="13"/>
  <c r="O254" i="13"/>
  <c r="AV254" i="13"/>
  <c r="BH254" i="13"/>
  <c r="O253" i="13"/>
  <c r="AS253" i="13"/>
  <c r="BG253" i="13"/>
  <c r="AX253" i="13"/>
  <c r="K253" i="13"/>
  <c r="P253" i="13"/>
  <c r="AD253" i="13"/>
  <c r="AV253" i="13"/>
  <c r="BH253" i="13"/>
  <c r="AF253" i="13"/>
  <c r="BR253" i="13"/>
  <c r="D253" i="13"/>
  <c r="Q253" i="13"/>
  <c r="AE253" i="13"/>
  <c r="AW253" i="13"/>
  <c r="R253" i="13"/>
  <c r="F253" i="13"/>
  <c r="Z253" i="13"/>
  <c r="S253" i="13"/>
  <c r="AG253" i="13"/>
  <c r="AY253" i="13"/>
  <c r="BO253" i="13"/>
  <c r="G253" i="13"/>
  <c r="T253" i="13"/>
  <c r="AH253" i="13"/>
  <c r="BQ253" i="13"/>
  <c r="AA253" i="13"/>
  <c r="U253" i="13"/>
  <c r="AI253" i="13"/>
  <c r="BA253" i="13"/>
  <c r="BP253" i="13"/>
  <c r="N253" i="13"/>
  <c r="Y253" i="13"/>
  <c r="AJ253" i="13"/>
  <c r="BB253" i="13"/>
  <c r="BT253" i="13"/>
  <c r="AM253" i="13"/>
  <c r="AC253" i="13"/>
  <c r="M253" i="13"/>
  <c r="H253" i="13"/>
  <c r="AK253" i="13"/>
  <c r="BC253" i="13"/>
  <c r="BU253" i="13"/>
  <c r="V253" i="13"/>
  <c r="BF253" i="13"/>
  <c r="X253" i="13"/>
  <c r="AB253" i="13"/>
  <c r="AL253" i="13"/>
  <c r="BD253" i="13"/>
  <c r="BE253" i="13"/>
  <c r="J253" i="13"/>
  <c r="K252" i="13"/>
  <c r="P252" i="13"/>
  <c r="AD252" i="13"/>
  <c r="AV252" i="13"/>
  <c r="BH252" i="13"/>
  <c r="Q252" i="13"/>
  <c r="AW252" i="13"/>
  <c r="D252" i="13"/>
  <c r="AE252" i="13"/>
  <c r="F252" i="13"/>
  <c r="R252" i="13"/>
  <c r="AF252" i="13"/>
  <c r="AX252" i="13"/>
  <c r="BR252" i="13"/>
  <c r="AH252" i="13"/>
  <c r="Z252" i="13"/>
  <c r="S252" i="13"/>
  <c r="AG252" i="13"/>
  <c r="AY252" i="13"/>
  <c r="BO252" i="13"/>
  <c r="T252" i="13"/>
  <c r="G252" i="13"/>
  <c r="BQ252" i="13"/>
  <c r="AA252" i="13"/>
  <c r="U252" i="13"/>
  <c r="AI252" i="13"/>
  <c r="BA252" i="13"/>
  <c r="BP252" i="13"/>
  <c r="AL252" i="13"/>
  <c r="N252" i="13"/>
  <c r="Y252" i="13"/>
  <c r="AJ252" i="13"/>
  <c r="BB252" i="13"/>
  <c r="BT252" i="13"/>
  <c r="BD252" i="13"/>
  <c r="M252" i="13"/>
  <c r="H252" i="13"/>
  <c r="AK252" i="13"/>
  <c r="BC252" i="13"/>
  <c r="BU252" i="13"/>
  <c r="X252" i="13"/>
  <c r="AB252" i="13"/>
  <c r="V252" i="13"/>
  <c r="AM252" i="13"/>
  <c r="BE252" i="13"/>
  <c r="BG252" i="13"/>
  <c r="J252" i="13"/>
  <c r="AC252" i="13"/>
  <c r="BF252" i="13"/>
  <c r="AS252" i="13"/>
  <c r="O252" i="13"/>
  <c r="O251" i="13"/>
  <c r="AS251" i="13"/>
  <c r="BG251" i="13"/>
  <c r="P251" i="13"/>
  <c r="AV251" i="13"/>
  <c r="R251" i="13"/>
  <c r="AX251" i="13"/>
  <c r="K251" i="13"/>
  <c r="AD251" i="13"/>
  <c r="BH251" i="13"/>
  <c r="AF251" i="13"/>
  <c r="BR251" i="13"/>
  <c r="D251" i="13"/>
  <c r="Q251" i="13"/>
  <c r="AE251" i="13"/>
  <c r="AW251" i="13"/>
  <c r="F251" i="13"/>
  <c r="Z251" i="13"/>
  <c r="S251" i="13"/>
  <c r="AG251" i="13"/>
  <c r="AY251" i="13"/>
  <c r="BO251" i="13"/>
  <c r="G251" i="13"/>
  <c r="AH251" i="13"/>
  <c r="BQ251" i="13"/>
  <c r="BE251" i="13"/>
  <c r="T251" i="13"/>
  <c r="BF251" i="13"/>
  <c r="AA251" i="13"/>
  <c r="U251" i="13"/>
  <c r="AI251" i="13"/>
  <c r="BA251" i="13"/>
  <c r="BP251" i="13"/>
  <c r="Y251" i="13"/>
  <c r="AJ251" i="13"/>
  <c r="BB251" i="13"/>
  <c r="BT251" i="13"/>
  <c r="AC251" i="13"/>
  <c r="N251" i="13"/>
  <c r="M251" i="13"/>
  <c r="H251" i="13"/>
  <c r="AK251" i="13"/>
  <c r="BC251" i="13"/>
  <c r="BU251" i="13"/>
  <c r="X251" i="13"/>
  <c r="AL251" i="13"/>
  <c r="BD251" i="13"/>
  <c r="AM251" i="13"/>
  <c r="AB251" i="13"/>
  <c r="V251" i="13"/>
  <c r="J251" i="13"/>
  <c r="O250" i="13"/>
  <c r="K250" i="13"/>
  <c r="D250" i="13"/>
  <c r="F250" i="13"/>
  <c r="R250" i="13"/>
  <c r="AF250" i="13"/>
  <c r="AX250" i="13"/>
  <c r="BR250" i="13"/>
  <c r="S250" i="13"/>
  <c r="AG250" i="13"/>
  <c r="AY250" i="13"/>
  <c r="BO250" i="13"/>
  <c r="T250" i="13"/>
  <c r="AH250" i="13"/>
  <c r="BQ250" i="13"/>
  <c r="U250" i="13"/>
  <c r="AI250" i="13"/>
  <c r="BA250" i="13"/>
  <c r="BP250" i="13"/>
  <c r="Y250" i="13"/>
  <c r="AJ250" i="13"/>
  <c r="BB250" i="13"/>
  <c r="BT250" i="13"/>
  <c r="H250" i="13"/>
  <c r="AK250" i="13"/>
  <c r="BC250" i="13"/>
  <c r="BU250" i="13"/>
  <c r="Z250" i="13"/>
  <c r="G250" i="13"/>
  <c r="AA250" i="13"/>
  <c r="N250" i="13"/>
  <c r="M250" i="13"/>
  <c r="X250" i="13"/>
  <c r="V250" i="13"/>
  <c r="AM250" i="13"/>
  <c r="BE250" i="13"/>
  <c r="J250" i="13"/>
  <c r="AC250" i="13"/>
  <c r="BF250" i="13"/>
  <c r="AS250" i="13"/>
  <c r="BG250" i="13"/>
  <c r="P250" i="13"/>
  <c r="AD250" i="13"/>
  <c r="AV250" i="13"/>
  <c r="BH250" i="13"/>
  <c r="Q250" i="13"/>
  <c r="AE250" i="13"/>
  <c r="AW250" i="13"/>
  <c r="AB250" i="13"/>
  <c r="AL250" i="13"/>
  <c r="BD250" i="13"/>
  <c r="M249" i="13"/>
  <c r="M237" i="13"/>
  <c r="M225" i="13"/>
  <c r="M213" i="13"/>
  <c r="M201" i="13"/>
  <c r="M189" i="13"/>
  <c r="M177" i="13"/>
  <c r="M165" i="13"/>
  <c r="M153" i="13"/>
  <c r="M141" i="13"/>
  <c r="M129" i="13"/>
  <c r="M117" i="13"/>
  <c r="M105" i="13"/>
  <c r="M93" i="13"/>
  <c r="M81" i="13"/>
  <c r="M69" i="13"/>
  <c r="M57" i="13"/>
  <c r="M45" i="13"/>
  <c r="M33" i="13"/>
  <c r="M21" i="13"/>
  <c r="M9" i="13"/>
  <c r="N249" i="13"/>
  <c r="H249" i="13"/>
  <c r="AK249" i="13"/>
  <c r="AY249" i="13"/>
  <c r="M163" i="13"/>
  <c r="M115" i="13"/>
  <c r="M79" i="13"/>
  <c r="M31" i="13"/>
  <c r="Q249" i="13"/>
  <c r="BF249" i="13"/>
  <c r="M30" i="13"/>
  <c r="J249" i="13"/>
  <c r="M218" i="13"/>
  <c r="M182" i="13"/>
  <c r="M146" i="13"/>
  <c r="M122" i="13"/>
  <c r="M74" i="13"/>
  <c r="M14" i="13"/>
  <c r="BB249" i="13"/>
  <c r="M133" i="13"/>
  <c r="M73" i="13"/>
  <c r="M13" i="13"/>
  <c r="M248" i="13"/>
  <c r="M236" i="13"/>
  <c r="M224" i="13"/>
  <c r="M212" i="13"/>
  <c r="M200" i="13"/>
  <c r="M188" i="13"/>
  <c r="M176" i="13"/>
  <c r="M164" i="13"/>
  <c r="M152" i="13"/>
  <c r="M140" i="13"/>
  <c r="M128" i="13"/>
  <c r="M116" i="13"/>
  <c r="M104" i="13"/>
  <c r="M92" i="13"/>
  <c r="M80" i="13"/>
  <c r="M68" i="13"/>
  <c r="M56" i="13"/>
  <c r="M44" i="13"/>
  <c r="M32" i="13"/>
  <c r="M20" i="13"/>
  <c r="M8" i="13"/>
  <c r="R249" i="13"/>
  <c r="AB249" i="13"/>
  <c r="AL249" i="13"/>
  <c r="BE249" i="13"/>
  <c r="M175" i="13"/>
  <c r="M103" i="13"/>
  <c r="M67" i="13"/>
  <c r="M43" i="13"/>
  <c r="M19" i="13"/>
  <c r="V249" i="13"/>
  <c r="M54" i="13"/>
  <c r="M6" i="13"/>
  <c r="BG249" i="13"/>
  <c r="M206" i="13"/>
  <c r="M98" i="13"/>
  <c r="M50" i="13"/>
  <c r="D249" i="13"/>
  <c r="M145" i="13"/>
  <c r="M61" i="13"/>
  <c r="AG249" i="13"/>
  <c r="M247" i="13"/>
  <c r="M235" i="13"/>
  <c r="M223" i="13"/>
  <c r="M211" i="13"/>
  <c r="M199" i="13"/>
  <c r="M187" i="13"/>
  <c r="M151" i="13"/>
  <c r="M139" i="13"/>
  <c r="M127" i="13"/>
  <c r="M91" i="13"/>
  <c r="M55" i="13"/>
  <c r="M7" i="13"/>
  <c r="AM249" i="13"/>
  <c r="AC249" i="13"/>
  <c r="M230" i="13"/>
  <c r="M170" i="13"/>
  <c r="M134" i="13"/>
  <c r="M86" i="13"/>
  <c r="M26" i="13"/>
  <c r="BO249" i="13"/>
  <c r="M169" i="13"/>
  <c r="M97" i="13"/>
  <c r="M37" i="13"/>
  <c r="BQ249" i="13"/>
  <c r="M246" i="13"/>
  <c r="M234" i="13"/>
  <c r="M222" i="13"/>
  <c r="M210" i="13"/>
  <c r="M198" i="13"/>
  <c r="M186" i="13"/>
  <c r="M174" i="13"/>
  <c r="M162" i="13"/>
  <c r="M150" i="13"/>
  <c r="M138" i="13"/>
  <c r="M126" i="13"/>
  <c r="M114" i="13"/>
  <c r="M102" i="13"/>
  <c r="M90" i="13"/>
  <c r="M78" i="13"/>
  <c r="M66" i="13"/>
  <c r="M42" i="13"/>
  <c r="M18" i="13"/>
  <c r="M194" i="13"/>
  <c r="M110" i="13"/>
  <c r="M38" i="13"/>
  <c r="P249" i="13"/>
  <c r="M157" i="13"/>
  <c r="M85" i="13"/>
  <c r="M25" i="13"/>
  <c r="AW249" i="13"/>
  <c r="M245" i="13"/>
  <c r="M233" i="13"/>
  <c r="M221" i="13"/>
  <c r="M209" i="13"/>
  <c r="M197" i="13"/>
  <c r="M185" i="13"/>
  <c r="M173" i="13"/>
  <c r="M161" i="13"/>
  <c r="M149" i="13"/>
  <c r="M137" i="13"/>
  <c r="M125" i="13"/>
  <c r="M113" i="13"/>
  <c r="M101" i="13"/>
  <c r="M89" i="13"/>
  <c r="M77" i="13"/>
  <c r="M65" i="13"/>
  <c r="M53" i="13"/>
  <c r="M41" i="13"/>
  <c r="M29" i="13"/>
  <c r="M17" i="13"/>
  <c r="M5" i="13"/>
  <c r="X249" i="13"/>
  <c r="AS249" i="13"/>
  <c r="BH249" i="13"/>
  <c r="M160" i="13"/>
  <c r="M136" i="13"/>
  <c r="M112" i="13"/>
  <c r="M88" i="13"/>
  <c r="M64" i="13"/>
  <c r="M40" i="13"/>
  <c r="M16" i="13"/>
  <c r="O249" i="13"/>
  <c r="BP249" i="13"/>
  <c r="M244" i="13"/>
  <c r="M232" i="13"/>
  <c r="M220" i="13"/>
  <c r="M208" i="13"/>
  <c r="M196" i="13"/>
  <c r="M184" i="13"/>
  <c r="M172" i="13"/>
  <c r="M148" i="13"/>
  <c r="M124" i="13"/>
  <c r="M100" i="13"/>
  <c r="M76" i="13"/>
  <c r="M52" i="13"/>
  <c r="M28" i="13"/>
  <c r="M4" i="13"/>
  <c r="AD249" i="13"/>
  <c r="AV249" i="13"/>
  <c r="M158" i="13"/>
  <c r="M62" i="13"/>
  <c r="AF249" i="13"/>
  <c r="M243" i="13"/>
  <c r="M231" i="13"/>
  <c r="M219" i="13"/>
  <c r="M207" i="13"/>
  <c r="M195" i="13"/>
  <c r="M183" i="13"/>
  <c r="M171" i="13"/>
  <c r="M159" i="13"/>
  <c r="M147" i="13"/>
  <c r="M135" i="13"/>
  <c r="M123" i="13"/>
  <c r="M111" i="13"/>
  <c r="M99" i="13"/>
  <c r="M87" i="13"/>
  <c r="M75" i="13"/>
  <c r="M63" i="13"/>
  <c r="M51" i="13"/>
  <c r="M39" i="13"/>
  <c r="M27" i="13"/>
  <c r="M15" i="13"/>
  <c r="K249" i="13"/>
  <c r="AE249" i="13"/>
  <c r="BA249" i="13"/>
  <c r="BR249" i="13"/>
  <c r="M242" i="13"/>
  <c r="M241" i="13"/>
  <c r="M229" i="13"/>
  <c r="M217" i="13"/>
  <c r="M205" i="13"/>
  <c r="M193" i="13"/>
  <c r="M181" i="13"/>
  <c r="M109" i="13"/>
  <c r="M49" i="13"/>
  <c r="S249" i="13"/>
  <c r="M240" i="13"/>
  <c r="M228" i="13"/>
  <c r="M216" i="13"/>
  <c r="M204" i="13"/>
  <c r="M192" i="13"/>
  <c r="M180" i="13"/>
  <c r="M168" i="13"/>
  <c r="M156" i="13"/>
  <c r="M144" i="13"/>
  <c r="M132" i="13"/>
  <c r="M120" i="13"/>
  <c r="M108" i="13"/>
  <c r="M96" i="13"/>
  <c r="M84" i="13"/>
  <c r="M72" i="13"/>
  <c r="M60" i="13"/>
  <c r="M48" i="13"/>
  <c r="M36" i="13"/>
  <c r="M24" i="13"/>
  <c r="M12" i="13"/>
  <c r="Z249" i="13"/>
  <c r="T249" i="13"/>
  <c r="AH249" i="13"/>
  <c r="BC249" i="13"/>
  <c r="BT249" i="13"/>
  <c r="M239" i="13"/>
  <c r="M227" i="13"/>
  <c r="M215" i="13"/>
  <c r="M203" i="13"/>
  <c r="M191" i="13"/>
  <c r="M179" i="13"/>
  <c r="M167" i="13"/>
  <c r="M155" i="13"/>
  <c r="M143" i="13"/>
  <c r="M131" i="13"/>
  <c r="M119" i="13"/>
  <c r="M107" i="13"/>
  <c r="M95" i="13"/>
  <c r="M83" i="13"/>
  <c r="M71" i="13"/>
  <c r="M59" i="13"/>
  <c r="M47" i="13"/>
  <c r="M35" i="13"/>
  <c r="M23" i="13"/>
  <c r="M11" i="13"/>
  <c r="G249" i="13"/>
  <c r="U249" i="13"/>
  <c r="AI249" i="13"/>
  <c r="BD249" i="13"/>
  <c r="BU249" i="13"/>
  <c r="M238" i="13"/>
  <c r="M226" i="13"/>
  <c r="M214" i="13"/>
  <c r="M202" i="13"/>
  <c r="M190" i="13"/>
  <c r="M178" i="13"/>
  <c r="M166" i="13"/>
  <c r="M154" i="13"/>
  <c r="M142" i="13"/>
  <c r="M130" i="13"/>
  <c r="M118" i="13"/>
  <c r="M106" i="13"/>
  <c r="M94" i="13"/>
  <c r="M82" i="13"/>
  <c r="M70" i="13"/>
  <c r="M58" i="13"/>
  <c r="M46" i="13"/>
  <c r="M34" i="13"/>
  <c r="M22" i="13"/>
  <c r="M10" i="13"/>
  <c r="AA249" i="13"/>
  <c r="Y249" i="13"/>
  <c r="AJ249" i="13"/>
  <c r="AX249" i="13"/>
  <c r="M121" i="13"/>
  <c r="F249" i="13"/>
  <c r="O248" i="13"/>
  <c r="AD248" i="13"/>
  <c r="K248" i="13"/>
  <c r="AE248" i="13"/>
  <c r="AV248" i="13"/>
  <c r="P248" i="13"/>
  <c r="AF248" i="13"/>
  <c r="BA248" i="13"/>
  <c r="BP248" i="13"/>
  <c r="AH248" i="13"/>
  <c r="BO248" i="13"/>
  <c r="BE248" i="13"/>
  <c r="D248" i="13"/>
  <c r="F248" i="13"/>
  <c r="S248" i="13"/>
  <c r="AG248" i="13"/>
  <c r="BB248" i="13"/>
  <c r="BR248" i="13"/>
  <c r="AW248" i="13"/>
  <c r="Z248" i="13"/>
  <c r="G248" i="13"/>
  <c r="U248" i="13"/>
  <c r="AI248" i="13"/>
  <c r="BC248" i="13"/>
  <c r="BQ248" i="13"/>
  <c r="Y248" i="13"/>
  <c r="AJ248" i="13"/>
  <c r="BD248" i="13"/>
  <c r="BT248" i="13"/>
  <c r="AK248" i="13"/>
  <c r="AX248" i="13"/>
  <c r="AB248" i="13"/>
  <c r="AY248" i="13"/>
  <c r="AA248" i="13"/>
  <c r="N248" i="13"/>
  <c r="H248" i="13"/>
  <c r="BU248" i="13"/>
  <c r="AL248" i="13"/>
  <c r="V248" i="13"/>
  <c r="R248" i="13"/>
  <c r="Q248" i="13"/>
  <c r="J248" i="13"/>
  <c r="AC248" i="13"/>
  <c r="BF248" i="13"/>
  <c r="X248" i="13"/>
  <c r="BG248" i="13"/>
  <c r="AS248" i="13"/>
  <c r="BH248" i="13"/>
  <c r="T248" i="13"/>
  <c r="AM248" i="13"/>
  <c r="BU247" i="13"/>
  <c r="AX247" i="13"/>
  <c r="AF247" i="13"/>
  <c r="S247" i="13"/>
  <c r="Z247" i="13"/>
  <c r="T247" i="13"/>
  <c r="AH247" i="13"/>
  <c r="AW247" i="13"/>
  <c r="BO247" i="13"/>
  <c r="G247" i="13"/>
  <c r="U247" i="13"/>
  <c r="AI247" i="13"/>
  <c r="BC247" i="13"/>
  <c r="BQ247" i="13"/>
  <c r="AA247" i="13"/>
  <c r="Y247" i="13"/>
  <c r="AJ247" i="13"/>
  <c r="BD247" i="13"/>
  <c r="BT247" i="13"/>
  <c r="H247" i="13"/>
  <c r="AK247" i="13"/>
  <c r="N247" i="13"/>
  <c r="R247" i="13"/>
  <c r="AB247" i="13"/>
  <c r="AL247" i="13"/>
  <c r="AY247" i="13"/>
  <c r="Q247" i="13"/>
  <c r="V247" i="13"/>
  <c r="AM247" i="13"/>
  <c r="BE247" i="13"/>
  <c r="AD247" i="13"/>
  <c r="BH247" i="13"/>
  <c r="AE247" i="13"/>
  <c r="AV247" i="13"/>
  <c r="P247" i="13"/>
  <c r="BP247" i="13"/>
  <c r="BB247" i="13"/>
  <c r="AG247" i="13"/>
  <c r="J247" i="13"/>
  <c r="AC247" i="13"/>
  <c r="BF247" i="13"/>
  <c r="X247" i="13"/>
  <c r="BG247" i="13"/>
  <c r="O247" i="13"/>
  <c r="AS247" i="13"/>
  <c r="K247" i="13"/>
  <c r="D247" i="13"/>
  <c r="BA247" i="13"/>
  <c r="F247" i="13"/>
  <c r="BR247" i="13"/>
  <c r="K246" i="13"/>
  <c r="AE246" i="13"/>
  <c r="BA246" i="13"/>
  <c r="BR246" i="13"/>
  <c r="P246" i="13"/>
  <c r="AF246" i="13"/>
  <c r="BB246" i="13"/>
  <c r="BO246" i="13"/>
  <c r="S246" i="13"/>
  <c r="AW246" i="13"/>
  <c r="D246" i="13"/>
  <c r="F246" i="13"/>
  <c r="Z246" i="13"/>
  <c r="T246" i="13"/>
  <c r="AH246" i="13"/>
  <c r="BC246" i="13"/>
  <c r="BT246" i="13"/>
  <c r="G246" i="13"/>
  <c r="U246" i="13"/>
  <c r="AI246" i="13"/>
  <c r="BD246" i="13"/>
  <c r="BU246" i="13"/>
  <c r="AK246" i="13"/>
  <c r="AC246" i="13"/>
  <c r="AS246" i="13"/>
  <c r="AD246" i="13"/>
  <c r="AG246" i="13"/>
  <c r="AA246" i="13"/>
  <c r="Y246" i="13"/>
  <c r="AJ246" i="13"/>
  <c r="AX246" i="13"/>
  <c r="H246" i="13"/>
  <c r="AY246" i="13"/>
  <c r="BG246" i="13"/>
  <c r="AV246" i="13"/>
  <c r="BQ246" i="13"/>
  <c r="N246" i="13"/>
  <c r="R246" i="13"/>
  <c r="AB246" i="13"/>
  <c r="AL246" i="13"/>
  <c r="BE246" i="13"/>
  <c r="V246" i="13"/>
  <c r="AM246" i="13"/>
  <c r="BF246" i="13"/>
  <c r="BH246" i="13"/>
  <c r="BP246" i="13"/>
  <c r="Q246" i="13"/>
  <c r="J246" i="13"/>
  <c r="X246" i="13"/>
  <c r="O246" i="13"/>
  <c r="O245" i="13"/>
  <c r="K245" i="13"/>
  <c r="D245" i="13"/>
  <c r="P245" i="13"/>
  <c r="AF245" i="13"/>
  <c r="BA245" i="13"/>
  <c r="BP245" i="13"/>
  <c r="F245" i="13"/>
  <c r="S245" i="13"/>
  <c r="AG245" i="13"/>
  <c r="BB245" i="13"/>
  <c r="BR245" i="13"/>
  <c r="Z245" i="13"/>
  <c r="T245" i="13"/>
  <c r="AH245" i="13"/>
  <c r="AW245" i="13"/>
  <c r="BO245" i="13"/>
  <c r="Y245" i="13"/>
  <c r="AJ245" i="13"/>
  <c r="BD245" i="13"/>
  <c r="BT245" i="13"/>
  <c r="H245" i="13"/>
  <c r="AK245" i="13"/>
  <c r="AX245" i="13"/>
  <c r="V245" i="13"/>
  <c r="G245" i="13"/>
  <c r="U245" i="13"/>
  <c r="AI245" i="13"/>
  <c r="BC245" i="13"/>
  <c r="BQ245" i="13"/>
  <c r="AA245" i="13"/>
  <c r="N245" i="13"/>
  <c r="BU245" i="13"/>
  <c r="BE245" i="13"/>
  <c r="R245" i="13"/>
  <c r="AB245" i="13"/>
  <c r="AL245" i="13"/>
  <c r="AY245" i="13"/>
  <c r="AM245" i="13"/>
  <c r="Q245" i="13"/>
  <c r="J245" i="13"/>
  <c r="AC245" i="13"/>
  <c r="BF245" i="13"/>
  <c r="BG245" i="13"/>
  <c r="AD245" i="13"/>
  <c r="AS245" i="13"/>
  <c r="BH245" i="13"/>
  <c r="AE245" i="13"/>
  <c r="AV245" i="13"/>
  <c r="X245" i="13"/>
  <c r="X244" i="13"/>
  <c r="BG244" i="13"/>
  <c r="O244" i="13"/>
  <c r="AD244" i="13"/>
  <c r="AS244" i="13"/>
  <c r="BH244" i="13"/>
  <c r="K244" i="13"/>
  <c r="D244" i="13"/>
  <c r="P244" i="13"/>
  <c r="AF244" i="13"/>
  <c r="BA244" i="13"/>
  <c r="BP244" i="13"/>
  <c r="F244" i="13"/>
  <c r="S244" i="13"/>
  <c r="AG244" i="13"/>
  <c r="BB244" i="13"/>
  <c r="BR244" i="13"/>
  <c r="Z244" i="13"/>
  <c r="T244" i="13"/>
  <c r="AH244" i="13"/>
  <c r="AW244" i="13"/>
  <c r="BO244" i="13"/>
  <c r="G244" i="13"/>
  <c r="U244" i="13"/>
  <c r="AI244" i="13"/>
  <c r="BC244" i="13"/>
  <c r="BQ244" i="13"/>
  <c r="AA244" i="13"/>
  <c r="Y244" i="13"/>
  <c r="AJ244" i="13"/>
  <c r="BD244" i="13"/>
  <c r="BT244" i="13"/>
  <c r="N244" i="13"/>
  <c r="H244" i="13"/>
  <c r="AK244" i="13"/>
  <c r="AX244" i="13"/>
  <c r="BU244" i="13"/>
  <c r="R244" i="13"/>
  <c r="AB244" i="13"/>
  <c r="AL244" i="13"/>
  <c r="AY244" i="13"/>
  <c r="AM244" i="13"/>
  <c r="AV244" i="13"/>
  <c r="Q244" i="13"/>
  <c r="V244" i="13"/>
  <c r="BE244" i="13"/>
  <c r="J244" i="13"/>
  <c r="AC244" i="13"/>
  <c r="BF244" i="13"/>
  <c r="AE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K243" i="13"/>
  <c r="AF243" i="13"/>
  <c r="BB243" i="13"/>
  <c r="BO243" i="13"/>
  <c r="T218" i="13"/>
  <c r="T206" i="13"/>
  <c r="T170" i="13"/>
  <c r="T158" i="13"/>
  <c r="T134" i="13"/>
  <c r="T110" i="13"/>
  <c r="T86" i="13"/>
  <c r="T62" i="13"/>
  <c r="T38" i="13"/>
  <c r="T14" i="13"/>
  <c r="P243" i="13"/>
  <c r="AW243" i="13"/>
  <c r="T205" i="13"/>
  <c r="T181" i="13"/>
  <c r="T157" i="13"/>
  <c r="T133" i="13"/>
  <c r="T109" i="13"/>
  <c r="T85" i="13"/>
  <c r="T61" i="13"/>
  <c r="T37" i="13"/>
  <c r="T13" i="13"/>
  <c r="F243" i="13"/>
  <c r="S243" i="13"/>
  <c r="AH243" i="13"/>
  <c r="BC243" i="13"/>
  <c r="BT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Z243" i="13"/>
  <c r="U243" i="13"/>
  <c r="AI243" i="13"/>
  <c r="BD243" i="13"/>
  <c r="BU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E243" i="13"/>
  <c r="BA243" i="13"/>
  <c r="BR243" i="13"/>
  <c r="T230" i="13"/>
  <c r="T194" i="13"/>
  <c r="T182" i="13"/>
  <c r="T146" i="13"/>
  <c r="T122" i="13"/>
  <c r="T98" i="13"/>
  <c r="T74" i="13"/>
  <c r="T50" i="13"/>
  <c r="T26" i="13"/>
  <c r="D243" i="13"/>
  <c r="AG243" i="13"/>
  <c r="BQ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AB243" i="13"/>
  <c r="AX243" i="13"/>
  <c r="T225" i="13"/>
  <c r="T201" i="13"/>
  <c r="T177" i="13"/>
  <c r="T153" i="13"/>
  <c r="T129" i="13"/>
  <c r="T105" i="13"/>
  <c r="T83" i="13"/>
  <c r="T66" i="13"/>
  <c r="T44" i="13"/>
  <c r="T22" i="13"/>
  <c r="T5" i="13"/>
  <c r="V243" i="13"/>
  <c r="AY243" i="13"/>
  <c r="T224" i="13"/>
  <c r="T200" i="13"/>
  <c r="T176" i="13"/>
  <c r="T152" i="13"/>
  <c r="T128" i="13"/>
  <c r="T104" i="13"/>
  <c r="T82" i="13"/>
  <c r="T65" i="13"/>
  <c r="T43" i="13"/>
  <c r="T21" i="13"/>
  <c r="G243" i="13"/>
  <c r="AC243" i="13"/>
  <c r="BE243" i="13"/>
  <c r="T223" i="13"/>
  <c r="T199" i="13"/>
  <c r="T175" i="13"/>
  <c r="T151" i="13"/>
  <c r="T127" i="13"/>
  <c r="T103" i="13"/>
  <c r="T81" i="13"/>
  <c r="T59" i="13"/>
  <c r="T42" i="13"/>
  <c r="T20" i="13"/>
  <c r="AA243" i="13"/>
  <c r="BF243" i="13"/>
  <c r="T222" i="13"/>
  <c r="T198" i="13"/>
  <c r="T174" i="13"/>
  <c r="T150" i="13"/>
  <c r="T126" i="13"/>
  <c r="T102" i="13"/>
  <c r="T80" i="13"/>
  <c r="T58" i="13"/>
  <c r="T41" i="13"/>
  <c r="T19" i="13"/>
  <c r="N243" i="13"/>
  <c r="AD243" i="13"/>
  <c r="BG243" i="13"/>
  <c r="T221" i="13"/>
  <c r="T197" i="13"/>
  <c r="T173" i="13"/>
  <c r="T149" i="13"/>
  <c r="T125" i="13"/>
  <c r="T101" i="13"/>
  <c r="T79" i="13"/>
  <c r="T57" i="13"/>
  <c r="T35" i="13"/>
  <c r="T18" i="13"/>
  <c r="R243" i="13"/>
  <c r="AJ243" i="13"/>
  <c r="BH243" i="13"/>
  <c r="T214" i="13"/>
  <c r="T190" i="13"/>
  <c r="T166" i="13"/>
  <c r="T142" i="13"/>
  <c r="T118" i="13"/>
  <c r="T95" i="13"/>
  <c r="T78" i="13"/>
  <c r="T56" i="13"/>
  <c r="T34" i="13"/>
  <c r="T17" i="13"/>
  <c r="Q243" i="13"/>
  <c r="AK243" i="13"/>
  <c r="BP243" i="13"/>
  <c r="T213" i="13"/>
  <c r="T189" i="13"/>
  <c r="T165" i="13"/>
  <c r="T141" i="13"/>
  <c r="T117" i="13"/>
  <c r="T94" i="13"/>
  <c r="T77" i="13"/>
  <c r="T212" i="13"/>
  <c r="T140" i="13"/>
  <c r="T71" i="13"/>
  <c r="T30" i="13"/>
  <c r="AL243" i="13"/>
  <c r="AM243" i="13"/>
  <c r="T138" i="13"/>
  <c r="T11" i="13"/>
  <c r="T209" i="13"/>
  <c r="T10" i="13"/>
  <c r="T188" i="13"/>
  <c r="T55" i="13"/>
  <c r="AV243" i="13"/>
  <c r="T115" i="13"/>
  <c r="T8" i="13"/>
  <c r="T211" i="13"/>
  <c r="T139" i="13"/>
  <c r="T70" i="13"/>
  <c r="T29" i="13"/>
  <c r="T210" i="13"/>
  <c r="T69" i="13"/>
  <c r="T137" i="13"/>
  <c r="T68" i="13"/>
  <c r="AS243" i="13"/>
  <c r="T116" i="13"/>
  <c r="T9" i="13"/>
  <c r="T187" i="13"/>
  <c r="T54" i="13"/>
  <c r="T186" i="13"/>
  <c r="T114" i="13"/>
  <c r="T53" i="13"/>
  <c r="T7" i="13"/>
  <c r="T185" i="13"/>
  <c r="T113" i="13"/>
  <c r="T47" i="13"/>
  <c r="J243" i="13"/>
  <c r="T164" i="13"/>
  <c r="T93" i="13"/>
  <c r="T46" i="13"/>
  <c r="X243" i="13"/>
  <c r="T163" i="13"/>
  <c r="T92" i="13"/>
  <c r="T33" i="13"/>
  <c r="T162" i="13"/>
  <c r="T91" i="13"/>
  <c r="T32" i="13"/>
  <c r="Y243" i="13"/>
  <c r="T161" i="13"/>
  <c r="T90" i="13"/>
  <c r="T31" i="13"/>
  <c r="H243" i="13"/>
  <c r="AL242" i="13"/>
  <c r="Z242" i="13"/>
  <c r="U242" i="13"/>
  <c r="AI242" i="13"/>
  <c r="BC242" i="13"/>
  <c r="BQ242" i="13"/>
  <c r="G242" i="13"/>
  <c r="Y242" i="13"/>
  <c r="AJ242" i="13"/>
  <c r="BD242" i="13"/>
  <c r="BT242" i="13"/>
  <c r="AA242" i="13"/>
  <c r="H242" i="13"/>
  <c r="BU242" i="13"/>
  <c r="AY242" i="13"/>
  <c r="R242" i="13"/>
  <c r="V242" i="13"/>
  <c r="AM242" i="13"/>
  <c r="BE242" i="13"/>
  <c r="BH242" i="13"/>
  <c r="AV242" i="13"/>
  <c r="BA242" i="13"/>
  <c r="P242" i="13"/>
  <c r="BB242" i="13"/>
  <c r="S242" i="13"/>
  <c r="AX242" i="13"/>
  <c r="Q242" i="13"/>
  <c r="AC242" i="13"/>
  <c r="BF242" i="13"/>
  <c r="X242" i="13"/>
  <c r="O242" i="13"/>
  <c r="K242" i="13"/>
  <c r="BP242" i="13"/>
  <c r="BR242" i="13"/>
  <c r="AH242" i="13"/>
  <c r="BO242" i="13"/>
  <c r="N242" i="13"/>
  <c r="J242" i="13"/>
  <c r="BG242" i="13"/>
  <c r="AD242" i="13"/>
  <c r="AS242" i="13"/>
  <c r="AE242" i="13"/>
  <c r="AF242" i="13"/>
  <c r="D242" i="13"/>
  <c r="AG242" i="13"/>
  <c r="F242" i="13"/>
  <c r="AW242" i="13"/>
  <c r="AK242" i="13"/>
  <c r="AB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U241" i="13"/>
  <c r="U229" i="13"/>
  <c r="U205" i="13"/>
  <c r="U157" i="13"/>
  <c r="U109" i="13"/>
  <c r="U61" i="13"/>
  <c r="F241" i="13"/>
  <c r="U119" i="13"/>
  <c r="U47" i="13"/>
  <c r="AL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Z241" i="13"/>
  <c r="H241" i="13"/>
  <c r="AK241" i="13"/>
  <c r="AY241" i="13"/>
  <c r="U107" i="13"/>
  <c r="G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AB241" i="13"/>
  <c r="BO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AA241" i="13"/>
  <c r="V241" i="13"/>
  <c r="AM241" i="13"/>
  <c r="BG241" i="13"/>
  <c r="AV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N241" i="13"/>
  <c r="AC241" i="13"/>
  <c r="BH241" i="13"/>
  <c r="U115" i="13"/>
  <c r="U67" i="13"/>
  <c r="U43" i="13"/>
  <c r="U19" i="13"/>
  <c r="AD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S241" i="13"/>
  <c r="BP241" i="13"/>
  <c r="U7" i="13"/>
  <c r="J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R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X241" i="13"/>
  <c r="AF241" i="13"/>
  <c r="BB241" i="13"/>
  <c r="BQ241" i="13"/>
  <c r="U112" i="13"/>
  <c r="U88" i="13"/>
  <c r="U64" i="13"/>
  <c r="U40" i="13"/>
  <c r="U16" i="13"/>
  <c r="U4" i="13"/>
  <c r="AG241" i="13"/>
  <c r="AW241" i="13"/>
  <c r="U26" i="13"/>
  <c r="D241" i="13"/>
  <c r="BD241" i="13"/>
  <c r="U181" i="13"/>
  <c r="U121" i="13"/>
  <c r="U73" i="13"/>
  <c r="U25" i="13"/>
  <c r="Y241" i="13"/>
  <c r="U83" i="13"/>
  <c r="U35" i="13"/>
  <c r="BF241" i="13"/>
  <c r="AE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T241" i="13"/>
  <c r="P241" i="13"/>
  <c r="U193" i="13"/>
  <c r="U145" i="13"/>
  <c r="U97" i="13"/>
  <c r="U49" i="13"/>
  <c r="U13" i="13"/>
  <c r="AX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K241" i="13"/>
  <c r="AH241" i="13"/>
  <c r="BC241" i="13"/>
  <c r="BU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I241" i="13"/>
  <c r="U217" i="13"/>
  <c r="U169" i="13"/>
  <c r="U133" i="13"/>
  <c r="U85" i="13"/>
  <c r="U37" i="13"/>
  <c r="AJ241" i="13"/>
  <c r="U23" i="13"/>
  <c r="BA241" i="13"/>
  <c r="O240" i="13"/>
  <c r="AG240" i="13"/>
  <c r="BB240" i="13"/>
  <c r="BO240" i="13"/>
  <c r="BU240" i="13"/>
  <c r="K240" i="13"/>
  <c r="AH240" i="13"/>
  <c r="AW240" i="13"/>
  <c r="BQ240" i="13"/>
  <c r="P240" i="13"/>
  <c r="AI240" i="13"/>
  <c r="BC240" i="13"/>
  <c r="BT240" i="13"/>
  <c r="D240" i="13"/>
  <c r="F240" i="13"/>
  <c r="Y240" i="13"/>
  <c r="AJ240" i="13"/>
  <c r="BD240" i="13"/>
  <c r="Z240" i="13"/>
  <c r="H240" i="13"/>
  <c r="AK240" i="13"/>
  <c r="AX240" i="13"/>
  <c r="G240" i="13"/>
  <c r="AB240" i="13"/>
  <c r="AL240" i="13"/>
  <c r="AY240" i="13"/>
  <c r="AA240" i="13"/>
  <c r="V240" i="13"/>
  <c r="AM240" i="13"/>
  <c r="BF240" i="13"/>
  <c r="N240" i="13"/>
  <c r="AC240" i="13"/>
  <c r="BG240" i="13"/>
  <c r="R240" i="13"/>
  <c r="BH240" i="13"/>
  <c r="BA240" i="13"/>
  <c r="Q240" i="13"/>
  <c r="AD240" i="13"/>
  <c r="AS240" i="13"/>
  <c r="AF240" i="13"/>
  <c r="BR240" i="13"/>
  <c r="J240" i="13"/>
  <c r="AE240" i="13"/>
  <c r="AV240" i="13"/>
  <c r="BP240" i="13"/>
  <c r="X240" i="13"/>
  <c r="G239" i="13"/>
  <c r="G226" i="13"/>
  <c r="G224" i="13"/>
  <c r="G223" i="13"/>
  <c r="G236" i="13"/>
  <c r="G233" i="13"/>
  <c r="G229" i="13"/>
  <c r="G238" i="13"/>
  <c r="G225" i="13"/>
  <c r="G237" i="13"/>
  <c r="G235" i="13"/>
  <c r="G234" i="13"/>
  <c r="G231" i="13"/>
  <c r="G232" i="13"/>
  <c r="G230" i="13"/>
  <c r="G228" i="13"/>
  <c r="G227" i="13"/>
  <c r="O239" i="13"/>
  <c r="AG239" i="13"/>
  <c r="BB239" i="13"/>
  <c r="BO239" i="13"/>
  <c r="K239" i="13"/>
  <c r="AH239" i="13"/>
  <c r="BQ239" i="13"/>
  <c r="P239" i="13"/>
  <c r="AI239" i="13"/>
  <c r="BT239" i="13"/>
  <c r="BP239" i="13"/>
  <c r="AF239" i="13"/>
  <c r="AW239" i="13"/>
  <c r="D239" i="13"/>
  <c r="BC239" i="13"/>
  <c r="J239" i="13"/>
  <c r="F239" i="13"/>
  <c r="Y239" i="13"/>
  <c r="AJ239" i="13"/>
  <c r="BD239" i="13"/>
  <c r="BU239" i="13"/>
  <c r="AM239" i="13"/>
  <c r="BF239" i="13"/>
  <c r="N239" i="13"/>
  <c r="AD239" i="13"/>
  <c r="AV239" i="13"/>
  <c r="X239" i="13"/>
  <c r="Z239" i="13"/>
  <c r="H239" i="13"/>
  <c r="AK239" i="13"/>
  <c r="AX239" i="13"/>
  <c r="V239" i="13"/>
  <c r="BG239" i="13"/>
  <c r="BH239" i="13"/>
  <c r="Q239" i="13"/>
  <c r="BA239" i="13"/>
  <c r="AB239" i="13"/>
  <c r="AL239" i="13"/>
  <c r="AY239" i="13"/>
  <c r="AA239" i="13"/>
  <c r="AC239" i="13"/>
  <c r="R239" i="13"/>
  <c r="AS239" i="13"/>
  <c r="AE239" i="13"/>
  <c r="BR239" i="13"/>
  <c r="O238" i="13"/>
  <c r="AG238" i="13"/>
  <c r="BB238" i="13"/>
  <c r="BO238" i="13"/>
  <c r="K238" i="13"/>
  <c r="AH238" i="13"/>
  <c r="AW238" i="13"/>
  <c r="BQ238" i="13"/>
  <c r="D238" i="13"/>
  <c r="P238" i="13"/>
  <c r="AI238" i="13"/>
  <c r="BC238" i="13"/>
  <c r="BT238" i="13"/>
  <c r="F238" i="13"/>
  <c r="Y238" i="13"/>
  <c r="AJ238" i="13"/>
  <c r="BD238" i="13"/>
  <c r="BU238" i="13"/>
  <c r="Z238" i="13"/>
  <c r="H238" i="13"/>
  <c r="AK238" i="13"/>
  <c r="AX238" i="13"/>
  <c r="AB238" i="13"/>
  <c r="AL238" i="13"/>
  <c r="AY238" i="13"/>
  <c r="AA238" i="13"/>
  <c r="V238" i="13"/>
  <c r="AM238" i="13"/>
  <c r="BF238" i="13"/>
  <c r="N238" i="13"/>
  <c r="AC238" i="13"/>
  <c r="BG238" i="13"/>
  <c r="R238" i="13"/>
  <c r="BH238" i="13"/>
  <c r="Q238" i="13"/>
  <c r="AD238" i="13"/>
  <c r="AS238" i="13"/>
  <c r="J238" i="13"/>
  <c r="AE238" i="13"/>
  <c r="AV238" i="13"/>
  <c r="BP238" i="13"/>
  <c r="X238" i="13"/>
  <c r="AF238" i="13"/>
  <c r="BA238" i="13"/>
  <c r="BR238" i="13"/>
  <c r="O237" i="13"/>
  <c r="AG237" i="13"/>
  <c r="BB237" i="13"/>
  <c r="BO237" i="13"/>
  <c r="BG237" i="13"/>
  <c r="K237" i="13"/>
  <c r="AH237" i="13"/>
  <c r="AW237" i="13"/>
  <c r="BQ237" i="13"/>
  <c r="R237" i="13"/>
  <c r="Q237" i="13"/>
  <c r="J237" i="13"/>
  <c r="AF237" i="13"/>
  <c r="D237" i="13"/>
  <c r="P237" i="13"/>
  <c r="AI237" i="13"/>
  <c r="BC237" i="13"/>
  <c r="BT237" i="13"/>
  <c r="BH237" i="13"/>
  <c r="AE237" i="13"/>
  <c r="BR237" i="13"/>
  <c r="F237" i="13"/>
  <c r="Y237" i="13"/>
  <c r="AJ237" i="13"/>
  <c r="BD237" i="13"/>
  <c r="BU237" i="13"/>
  <c r="AA237" i="13"/>
  <c r="BF237" i="13"/>
  <c r="N237" i="13"/>
  <c r="AS237" i="13"/>
  <c r="BP237" i="13"/>
  <c r="X237" i="13"/>
  <c r="Z237" i="13"/>
  <c r="H237" i="13"/>
  <c r="AK237" i="13"/>
  <c r="AX237" i="13"/>
  <c r="V237" i="13"/>
  <c r="AB237" i="13"/>
  <c r="AL237" i="13"/>
  <c r="AY237" i="13"/>
  <c r="AM237" i="13"/>
  <c r="AC237" i="13"/>
  <c r="AD237" i="13"/>
  <c r="BA237" i="13"/>
  <c r="AV237" i="13"/>
  <c r="BU225" i="13"/>
  <c r="BU213" i="13"/>
  <c r="AB236" i="13"/>
  <c r="AL236" i="13"/>
  <c r="BF236" i="13"/>
  <c r="BU236" i="13"/>
  <c r="BU224" i="13"/>
  <c r="BU212" i="13"/>
  <c r="AA236" i="13"/>
  <c r="V236" i="13"/>
  <c r="AM236" i="13"/>
  <c r="BG236" i="13"/>
  <c r="BU235" i="13"/>
  <c r="BU223" i="13"/>
  <c r="BU211" i="13"/>
  <c r="N236" i="13"/>
  <c r="AC236" i="13"/>
  <c r="BH236" i="13"/>
  <c r="BU234" i="13"/>
  <c r="BU222" i="13"/>
  <c r="BU210" i="13"/>
  <c r="R236" i="13"/>
  <c r="AS236" i="13"/>
  <c r="BP236" i="13"/>
  <c r="BU233" i="13"/>
  <c r="BU221" i="13"/>
  <c r="BU209" i="13"/>
  <c r="Q236" i="13"/>
  <c r="AD236" i="13"/>
  <c r="AV236" i="13"/>
  <c r="BR236" i="13"/>
  <c r="BU232" i="13"/>
  <c r="BU220" i="13"/>
  <c r="BU208" i="13"/>
  <c r="J236" i="13"/>
  <c r="AE236" i="13"/>
  <c r="BA236" i="13"/>
  <c r="BO236" i="13"/>
  <c r="BU231" i="13"/>
  <c r="BU219" i="13"/>
  <c r="BU207" i="13"/>
  <c r="X236" i="13"/>
  <c r="AF236" i="13"/>
  <c r="BB236" i="13"/>
  <c r="BQ236" i="13"/>
  <c r="BU230" i="13"/>
  <c r="BU218" i="13"/>
  <c r="BU206" i="13"/>
  <c r="O236" i="13"/>
  <c r="AG236" i="13"/>
  <c r="AW236" i="13"/>
  <c r="BT236" i="13"/>
  <c r="BU229" i="13"/>
  <c r="BU217" i="13"/>
  <c r="K236" i="13"/>
  <c r="AH236" i="13"/>
  <c r="BC236" i="13"/>
  <c r="BU228" i="13"/>
  <c r="BU216" i="13"/>
  <c r="D236" i="13"/>
  <c r="P236" i="13"/>
  <c r="AI236" i="13"/>
  <c r="BD236" i="13"/>
  <c r="BU227" i="13"/>
  <c r="BU215" i="13"/>
  <c r="F236" i="13"/>
  <c r="Y236" i="13"/>
  <c r="AJ236" i="13"/>
  <c r="AX236" i="13"/>
  <c r="BU226" i="13"/>
  <c r="BU214" i="13"/>
  <c r="Z236" i="13"/>
  <c r="H236" i="13"/>
  <c r="AK236" i="13"/>
  <c r="AY236" i="13"/>
  <c r="O235" i="13"/>
  <c r="AG235" i="13"/>
  <c r="BB235" i="13"/>
  <c r="BO235" i="13"/>
  <c r="K235" i="13"/>
  <c r="AH235" i="13"/>
  <c r="AW235" i="13"/>
  <c r="BQ235" i="13"/>
  <c r="D235" i="13"/>
  <c r="P235" i="13"/>
  <c r="AI235" i="13"/>
  <c r="BC235" i="13"/>
  <c r="BT235" i="13"/>
  <c r="F235" i="13"/>
  <c r="Y235" i="13"/>
  <c r="AJ235" i="13"/>
  <c r="BD235" i="13"/>
  <c r="Z235" i="13"/>
  <c r="H235" i="13"/>
  <c r="AK235" i="13"/>
  <c r="AX235" i="13"/>
  <c r="AB235" i="13"/>
  <c r="AL235" i="13"/>
  <c r="AY235" i="13"/>
  <c r="AA235" i="13"/>
  <c r="V235" i="13"/>
  <c r="AM235" i="13"/>
  <c r="BF235" i="13"/>
  <c r="N235" i="13"/>
  <c r="AC235" i="13"/>
  <c r="BG235" i="13"/>
  <c r="R235" i="13"/>
  <c r="BH235" i="13"/>
  <c r="Q235" i="13"/>
  <c r="AD235" i="13"/>
  <c r="AS235" i="13"/>
  <c r="J235" i="13"/>
  <c r="AE235" i="13"/>
  <c r="AV235" i="13"/>
  <c r="BP235" i="13"/>
  <c r="X235" i="13"/>
  <c r="AF235" i="13"/>
  <c r="BA235" i="13"/>
  <c r="BR235" i="13"/>
  <c r="AA234" i="13"/>
  <c r="V234" i="13"/>
  <c r="AM234" i="13"/>
  <c r="BG234" i="13"/>
  <c r="N234" i="13"/>
  <c r="AC234" i="13"/>
  <c r="BH234" i="13"/>
  <c r="R234" i="13"/>
  <c r="AS234" i="13"/>
  <c r="AV234" i="13"/>
  <c r="X234" i="13"/>
  <c r="AF234" i="13"/>
  <c r="BB234" i="13"/>
  <c r="BQ234" i="13"/>
  <c r="BC234" i="13"/>
  <c r="AY234" i="13"/>
  <c r="AL234" i="13"/>
  <c r="BR234" i="13"/>
  <c r="BA234" i="13"/>
  <c r="O234" i="13"/>
  <c r="AG234" i="13"/>
  <c r="AW234" i="13"/>
  <c r="BT234" i="13"/>
  <c r="AH234" i="13"/>
  <c r="AX234" i="13"/>
  <c r="Z234" i="13"/>
  <c r="AK234" i="13"/>
  <c r="J234" i="13"/>
  <c r="K234" i="13"/>
  <c r="BF234" i="13"/>
  <c r="Q234" i="13"/>
  <c r="AE234" i="13"/>
  <c r="D234" i="13"/>
  <c r="P234" i="13"/>
  <c r="AI234" i="13"/>
  <c r="BD234" i="13"/>
  <c r="F234" i="13"/>
  <c r="Y234" i="13"/>
  <c r="AJ234" i="13"/>
  <c r="H234" i="13"/>
  <c r="AB234" i="13"/>
  <c r="BP234" i="13"/>
  <c r="AD234" i="13"/>
  <c r="BO234" i="13"/>
  <c r="O233" i="13"/>
  <c r="AG233" i="13"/>
  <c r="BB233" i="13"/>
  <c r="BO233" i="13"/>
  <c r="AC233" i="13"/>
  <c r="BH233" i="13"/>
  <c r="AS233" i="13"/>
  <c r="BP233" i="13"/>
  <c r="BR233" i="13"/>
  <c r="K233" i="13"/>
  <c r="AH233" i="13"/>
  <c r="AW233" i="13"/>
  <c r="BQ233" i="13"/>
  <c r="BT233" i="13"/>
  <c r="Z233" i="13"/>
  <c r="AK233" i="13"/>
  <c r="AA233" i="13"/>
  <c r="BF233" i="13"/>
  <c r="Q233" i="13"/>
  <c r="AV233" i="13"/>
  <c r="BA233" i="13"/>
  <c r="D233" i="13"/>
  <c r="P233" i="13"/>
  <c r="AI233" i="13"/>
  <c r="BC233" i="13"/>
  <c r="H233" i="13"/>
  <c r="AX233" i="13"/>
  <c r="AL233" i="13"/>
  <c r="V233" i="13"/>
  <c r="BG233" i="13"/>
  <c r="AD233" i="13"/>
  <c r="AE233" i="13"/>
  <c r="X233" i="13"/>
  <c r="F233" i="13"/>
  <c r="Y233" i="13"/>
  <c r="AJ233" i="13"/>
  <c r="BD233" i="13"/>
  <c r="AB233" i="13"/>
  <c r="AY233" i="13"/>
  <c r="AM233" i="13"/>
  <c r="N233" i="13"/>
  <c r="R233" i="13"/>
  <c r="J233" i="13"/>
  <c r="AF233" i="13"/>
  <c r="O232" i="13"/>
  <c r="AG232" i="13"/>
  <c r="BB232" i="13"/>
  <c r="BO232" i="13"/>
  <c r="P232" i="13"/>
  <c r="AI232" i="13"/>
  <c r="BT232" i="13"/>
  <c r="AY232" i="13"/>
  <c r="BF232" i="13"/>
  <c r="AS232" i="13"/>
  <c r="J232" i="13"/>
  <c r="BP232" i="13"/>
  <c r="X232" i="13"/>
  <c r="BR232" i="13"/>
  <c r="K232" i="13"/>
  <c r="AH232" i="13"/>
  <c r="AW232" i="13"/>
  <c r="BQ232" i="13"/>
  <c r="D232" i="13"/>
  <c r="BC232" i="13"/>
  <c r="AB232" i="13"/>
  <c r="V232" i="13"/>
  <c r="N232" i="13"/>
  <c r="BG232" i="13"/>
  <c r="R232" i="13"/>
  <c r="AD232" i="13"/>
  <c r="AE232" i="13"/>
  <c r="BA232" i="13"/>
  <c r="F232" i="13"/>
  <c r="Y232" i="13"/>
  <c r="AJ232" i="13"/>
  <c r="BD232" i="13"/>
  <c r="Z232" i="13"/>
  <c r="H232" i="13"/>
  <c r="AK232" i="13"/>
  <c r="AX232" i="13"/>
  <c r="AL232" i="13"/>
  <c r="AA232" i="13"/>
  <c r="AM232" i="13"/>
  <c r="AC232" i="13"/>
  <c r="BH232" i="13"/>
  <c r="Q232" i="13"/>
  <c r="AV232" i="13"/>
  <c r="AF232" i="13"/>
  <c r="J231" i="13"/>
  <c r="J219" i="13"/>
  <c r="J207" i="13"/>
  <c r="J195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J224" i="13"/>
  <c r="J164" i="13"/>
  <c r="J128" i="13"/>
  <c r="J92" i="13"/>
  <c r="J56" i="13"/>
  <c r="J20" i="13"/>
  <c r="J187" i="13"/>
  <c r="J151" i="13"/>
  <c r="J103" i="13"/>
  <c r="J55" i="13"/>
  <c r="J7" i="13"/>
  <c r="J230" i="13"/>
  <c r="J218" i="13"/>
  <c r="J206" i="13"/>
  <c r="J194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J213" i="13"/>
  <c r="J201" i="13"/>
  <c r="J177" i="13"/>
  <c r="J153" i="13"/>
  <c r="J117" i="13"/>
  <c r="J81" i="13"/>
  <c r="J45" i="13"/>
  <c r="J9" i="13"/>
  <c r="J212" i="13"/>
  <c r="J176" i="13"/>
  <c r="J140" i="13"/>
  <c r="J104" i="13"/>
  <c r="J68" i="13"/>
  <c r="J32" i="13"/>
  <c r="J211" i="13"/>
  <c r="J163" i="13"/>
  <c r="J115" i="13"/>
  <c r="J67" i="13"/>
  <c r="J31" i="13"/>
  <c r="J198" i="13"/>
  <c r="J162" i="13"/>
  <c r="J126" i="13"/>
  <c r="J90" i="13"/>
  <c r="J54" i="13"/>
  <c r="J18" i="13"/>
  <c r="J221" i="13"/>
  <c r="J185" i="13"/>
  <c r="J161" i="13"/>
  <c r="J125" i="13"/>
  <c r="J89" i="13"/>
  <c r="J53" i="13"/>
  <c r="J5" i="13"/>
  <c r="J220" i="13"/>
  <c r="J184" i="13"/>
  <c r="J148" i="13"/>
  <c r="J112" i="13"/>
  <c r="J76" i="13"/>
  <c r="J40" i="13"/>
  <c r="J4" i="13"/>
  <c r="J229" i="13"/>
  <c r="J217" i="13"/>
  <c r="J205" i="13"/>
  <c r="J193" i="13"/>
  <c r="J181" i="13"/>
  <c r="J169" i="13"/>
  <c r="J228" i="13"/>
  <c r="J216" i="13"/>
  <c r="J204" i="13"/>
  <c r="J192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J225" i="13"/>
  <c r="J165" i="13"/>
  <c r="J141" i="13"/>
  <c r="J105" i="13"/>
  <c r="J57" i="13"/>
  <c r="J33" i="13"/>
  <c r="J199" i="13"/>
  <c r="J127" i="13"/>
  <c r="J79" i="13"/>
  <c r="J19" i="13"/>
  <c r="J210" i="13"/>
  <c r="J150" i="13"/>
  <c r="J114" i="13"/>
  <c r="J78" i="13"/>
  <c r="J42" i="13"/>
  <c r="J6" i="13"/>
  <c r="J209" i="13"/>
  <c r="J149" i="13"/>
  <c r="J113" i="13"/>
  <c r="J77" i="13"/>
  <c r="J41" i="13"/>
  <c r="J208" i="13"/>
  <c r="J172" i="13"/>
  <c r="J136" i="13"/>
  <c r="J100" i="13"/>
  <c r="J52" i="13"/>
  <c r="J28" i="13"/>
  <c r="J227" i="13"/>
  <c r="J215" i="13"/>
  <c r="J203" i="13"/>
  <c r="J191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J226" i="13"/>
  <c r="J214" i="13"/>
  <c r="J202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J189" i="13"/>
  <c r="J129" i="13"/>
  <c r="J93" i="13"/>
  <c r="J69" i="13"/>
  <c r="J21" i="13"/>
  <c r="J200" i="13"/>
  <c r="J188" i="13"/>
  <c r="J152" i="13"/>
  <c r="J116" i="13"/>
  <c r="J80" i="13"/>
  <c r="J44" i="13"/>
  <c r="J8" i="13"/>
  <c r="J223" i="13"/>
  <c r="J175" i="13"/>
  <c r="J139" i="13"/>
  <c r="J91" i="13"/>
  <c r="J43" i="13"/>
  <c r="J222" i="13"/>
  <c r="J186" i="13"/>
  <c r="J174" i="13"/>
  <c r="J138" i="13"/>
  <c r="J102" i="13"/>
  <c r="J66" i="13"/>
  <c r="J30" i="13"/>
  <c r="J197" i="13"/>
  <c r="J173" i="13"/>
  <c r="J137" i="13"/>
  <c r="J101" i="13"/>
  <c r="J65" i="13"/>
  <c r="J29" i="13"/>
  <c r="J17" i="13"/>
  <c r="J196" i="13"/>
  <c r="J160" i="13"/>
  <c r="J124" i="13"/>
  <c r="J88" i="13"/>
  <c r="J64" i="13"/>
  <c r="J16" i="13"/>
  <c r="AH231" i="13"/>
  <c r="AW231" i="13"/>
  <c r="BQ231" i="13"/>
  <c r="BR220" i="13"/>
  <c r="BR208" i="13"/>
  <c r="K231" i="13"/>
  <c r="P231" i="13"/>
  <c r="AI231" i="13"/>
  <c r="BC231" i="13"/>
  <c r="BT231" i="13"/>
  <c r="BR219" i="13"/>
  <c r="BR207" i="13"/>
  <c r="D231" i="13"/>
  <c r="Y231" i="13"/>
  <c r="AJ231" i="13"/>
  <c r="BD231" i="13"/>
  <c r="BR230" i="13"/>
  <c r="BR218" i="13"/>
  <c r="BR206" i="13"/>
  <c r="F231" i="13"/>
  <c r="H231" i="13"/>
  <c r="AK231" i="13"/>
  <c r="AX231" i="13"/>
  <c r="BR229" i="13"/>
  <c r="BR217" i="13"/>
  <c r="Z231" i="13"/>
  <c r="AB231" i="13"/>
  <c r="AL231" i="13"/>
  <c r="AY231" i="13"/>
  <c r="BR228" i="13"/>
  <c r="BR216" i="13"/>
  <c r="V231" i="13"/>
  <c r="AM231" i="13"/>
  <c r="BF231" i="13"/>
  <c r="BR227" i="13"/>
  <c r="BR215" i="13"/>
  <c r="AA231" i="13"/>
  <c r="AC231" i="13"/>
  <c r="BG231" i="13"/>
  <c r="BR226" i="13"/>
  <c r="BR214" i="13"/>
  <c r="N231" i="13"/>
  <c r="BH231" i="13"/>
  <c r="BR225" i="13"/>
  <c r="BR213" i="13"/>
  <c r="R231" i="13"/>
  <c r="AD231" i="13"/>
  <c r="AS231" i="13"/>
  <c r="BR224" i="13"/>
  <c r="BR212" i="13"/>
  <c r="Q231" i="13"/>
  <c r="AE231" i="13"/>
  <c r="AV231" i="13"/>
  <c r="BP231" i="13"/>
  <c r="BR223" i="13"/>
  <c r="BR211" i="13"/>
  <c r="X231" i="13"/>
  <c r="AF231" i="13"/>
  <c r="BA231" i="13"/>
  <c r="BR231" i="13"/>
  <c r="BR222" i="13"/>
  <c r="BR210" i="13"/>
  <c r="O231" i="13"/>
  <c r="AG231" i="13"/>
  <c r="BB231" i="13"/>
  <c r="BO231" i="13"/>
  <c r="BR221" i="13"/>
  <c r="BR209" i="13"/>
  <c r="N2986" i="11"/>
  <c r="N2914" i="11"/>
  <c r="N2735" i="11"/>
  <c r="X227" i="13"/>
  <c r="X215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X226" i="13"/>
  <c r="X214" i="13"/>
  <c r="X202" i="13"/>
  <c r="X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X225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224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222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221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220" i="13"/>
  <c r="X208" i="13"/>
  <c r="X196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X219" i="13"/>
  <c r="X207" i="13"/>
  <c r="X195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X230" i="13"/>
  <c r="X218" i="13"/>
  <c r="X206" i="13"/>
  <c r="X194" i="13"/>
  <c r="X182" i="13"/>
  <c r="X170" i="13"/>
  <c r="X158" i="13"/>
  <c r="X146" i="13"/>
  <c r="X134" i="13"/>
  <c r="X217" i="13"/>
  <c r="X169" i="13"/>
  <c r="X122" i="13"/>
  <c r="X86" i="13"/>
  <c r="X50" i="13"/>
  <c r="X14" i="13"/>
  <c r="X84" i="13"/>
  <c r="X12" i="13"/>
  <c r="X157" i="13"/>
  <c r="X43" i="13"/>
  <c r="X204" i="13"/>
  <c r="X110" i="13"/>
  <c r="X199" i="13"/>
  <c r="X73" i="13"/>
  <c r="X145" i="13"/>
  <c r="X144" i="13"/>
  <c r="X98" i="13"/>
  <c r="X229" i="13"/>
  <c r="X25" i="13"/>
  <c r="X132" i="13"/>
  <c r="X24" i="13"/>
  <c r="X223" i="13"/>
  <c r="X91" i="13"/>
  <c r="X216" i="13"/>
  <c r="X168" i="13"/>
  <c r="X121" i="13"/>
  <c r="X85" i="13"/>
  <c r="X49" i="13"/>
  <c r="X13" i="13"/>
  <c r="X211" i="13"/>
  <c r="X163" i="13"/>
  <c r="X120" i="13"/>
  <c r="X48" i="13"/>
  <c r="X205" i="13"/>
  <c r="X115" i="13"/>
  <c r="X79" i="13"/>
  <c r="X7" i="13"/>
  <c r="X156" i="13"/>
  <c r="X74" i="13"/>
  <c r="X38" i="13"/>
  <c r="X151" i="13"/>
  <c r="X37" i="13"/>
  <c r="X193" i="13"/>
  <c r="X72" i="13"/>
  <c r="X36" i="13"/>
  <c r="X192" i="13"/>
  <c r="X67" i="13"/>
  <c r="X31" i="13"/>
  <c r="X187" i="13"/>
  <c r="X62" i="13"/>
  <c r="X181" i="13"/>
  <c r="X97" i="13"/>
  <c r="X228" i="13"/>
  <c r="X60" i="13"/>
  <c r="X175" i="13"/>
  <c r="X19" i="13"/>
  <c r="X109" i="13"/>
  <c r="X108" i="13"/>
  <c r="X103" i="13"/>
  <c r="X139" i="13"/>
  <c r="X26" i="13"/>
  <c r="X133" i="13"/>
  <c r="X61" i="13"/>
  <c r="X180" i="13"/>
  <c r="X96" i="13"/>
  <c r="X127" i="13"/>
  <c r="X55" i="13"/>
  <c r="Q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R230" i="13"/>
  <c r="AF230" i="13"/>
  <c r="BB230" i="13"/>
  <c r="BC229" i="13"/>
  <c r="BC217" i="13"/>
  <c r="BC205" i="13"/>
  <c r="AW225" i="13"/>
  <c r="AW213" i="13"/>
  <c r="AW201" i="13"/>
  <c r="O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P230" i="13"/>
  <c r="AI230" i="13"/>
  <c r="AY230" i="13"/>
  <c r="BC226" i="13"/>
  <c r="BC214" i="13"/>
  <c r="BC202" i="13"/>
  <c r="AW222" i="13"/>
  <c r="AW210" i="13"/>
  <c r="K230" i="13"/>
  <c r="Y230" i="13"/>
  <c r="AJ230" i="13"/>
  <c r="BF230" i="13"/>
  <c r="BC225" i="13"/>
  <c r="BC213" i="13"/>
  <c r="BC201" i="13"/>
  <c r="AW221" i="13"/>
  <c r="AW209" i="13"/>
  <c r="D230" i="13"/>
  <c r="H230" i="13"/>
  <c r="AK230" i="13"/>
  <c r="BG230" i="13"/>
  <c r="BC224" i="13"/>
  <c r="BC212" i="13"/>
  <c r="BC200" i="13"/>
  <c r="AW220" i="13"/>
  <c r="AW208" i="13"/>
  <c r="F230" i="13"/>
  <c r="AB230" i="13"/>
  <c r="AL230" i="13"/>
  <c r="BH230" i="13"/>
  <c r="BC223" i="13"/>
  <c r="BC211" i="13"/>
  <c r="BC199" i="13"/>
  <c r="AW219" i="13"/>
  <c r="AW207" i="13"/>
  <c r="Z230" i="13"/>
  <c r="V230" i="13"/>
  <c r="AM230" i="13"/>
  <c r="BP230" i="13"/>
  <c r="BC222" i="13"/>
  <c r="BC210" i="13"/>
  <c r="AW230" i="13"/>
  <c r="AW218" i="13"/>
  <c r="AW206" i="13"/>
  <c r="BC221" i="13"/>
  <c r="N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AA230" i="13"/>
  <c r="AW216" i="13"/>
  <c r="BQ230" i="13"/>
  <c r="O229" i="13"/>
  <c r="AG229" i="13"/>
  <c r="BB229" i="13"/>
  <c r="AI229" i="13"/>
  <c r="D229" i="13"/>
  <c r="AJ229" i="13"/>
  <c r="AY229" i="13"/>
  <c r="F229" i="13"/>
  <c r="AH229" i="13"/>
  <c r="BD229" i="13"/>
  <c r="P229" i="13"/>
  <c r="AX229" i="13"/>
  <c r="Y229" i="13"/>
  <c r="K229" i="13"/>
  <c r="Z229" i="13"/>
  <c r="AB229" i="13"/>
  <c r="AL229" i="13"/>
  <c r="BG229" i="13"/>
  <c r="AC229" i="13"/>
  <c r="Q229" i="13"/>
  <c r="BT229" i="13"/>
  <c r="V229" i="13"/>
  <c r="AM229" i="13"/>
  <c r="BH229" i="13"/>
  <c r="BP229" i="13"/>
  <c r="BA229" i="13"/>
  <c r="AK229" i="13"/>
  <c r="AA229" i="13"/>
  <c r="BF229" i="13"/>
  <c r="N229" i="13"/>
  <c r="AD229" i="13"/>
  <c r="AS229" i="13"/>
  <c r="BO229" i="13"/>
  <c r="R229" i="13"/>
  <c r="AE229" i="13"/>
  <c r="AV229" i="13"/>
  <c r="BQ229" i="13"/>
  <c r="AF229" i="13"/>
  <c r="H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N228" i="13"/>
  <c r="BQ228" i="13"/>
  <c r="AC228" i="13"/>
  <c r="AA228" i="13"/>
  <c r="BO228" i="13"/>
  <c r="AM228" i="13"/>
  <c r="V228" i="13"/>
  <c r="BP228" i="13"/>
  <c r="AL228" i="13"/>
  <c r="AB228" i="13"/>
  <c r="Z228" i="13"/>
  <c r="BH228" i="13"/>
  <c r="AK228" i="13"/>
  <c r="H228" i="13"/>
  <c r="F228" i="13"/>
  <c r="BG228" i="13"/>
  <c r="AJ228" i="13"/>
  <c r="Y228" i="13"/>
  <c r="D228" i="13"/>
  <c r="BF228" i="13"/>
  <c r="AI228" i="13"/>
  <c r="P228" i="13"/>
  <c r="K228" i="13"/>
  <c r="AY228" i="13"/>
  <c r="AH228" i="13"/>
  <c r="AX228" i="13"/>
  <c r="AG228" i="13"/>
  <c r="O228" i="13"/>
  <c r="BD228" i="13"/>
  <c r="AF228" i="13"/>
  <c r="Q228" i="13"/>
  <c r="BA228" i="13"/>
  <c r="AE228" i="13"/>
  <c r="R228" i="13"/>
  <c r="AV228" i="13"/>
  <c r="AD228" i="13"/>
  <c r="BQ227" i="13"/>
  <c r="BQ215" i="13"/>
  <c r="K227" i="13"/>
  <c r="Y227" i="13"/>
  <c r="AJ227" i="13"/>
  <c r="BH227" i="13"/>
  <c r="BQ226" i="13"/>
  <c r="BQ214" i="13"/>
  <c r="H227" i="13"/>
  <c r="BP227" i="13"/>
  <c r="BQ213" i="13"/>
  <c r="BO227" i="13"/>
  <c r="AV227" i="13"/>
  <c r="AD227" i="13"/>
  <c r="R227" i="13"/>
  <c r="AL227" i="13"/>
  <c r="AE227" i="13"/>
  <c r="BQ224" i="13"/>
  <c r="BQ212" i="13"/>
  <c r="Z227" i="13"/>
  <c r="V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Q227" i="13"/>
  <c r="AF227" i="13"/>
  <c r="AX227" i="13"/>
  <c r="P227" i="13"/>
  <c r="AK227" i="13"/>
  <c r="AB227" i="13"/>
  <c r="N227" i="13"/>
  <c r="BQ208" i="13"/>
  <c r="BQ218" i="13"/>
  <c r="BQ206" i="13"/>
  <c r="O227" i="13"/>
  <c r="AG227" i="13"/>
  <c r="AY227" i="13"/>
  <c r="AI227" i="13"/>
  <c r="F227" i="13"/>
  <c r="BQ210" i="13"/>
  <c r="BA227" i="13"/>
  <c r="BQ217" i="13"/>
  <c r="AH227" i="13"/>
  <c r="BF227" i="13"/>
  <c r="BQ216" i="13"/>
  <c r="BG227" i="13"/>
  <c r="D227" i="13"/>
  <c r="BQ225" i="13"/>
  <c r="AA227" i="13"/>
  <c r="BQ209" i="13"/>
  <c r="BA216" i="13"/>
  <c r="BA204" i="13"/>
  <c r="N226" i="13"/>
  <c r="AD226" i="13"/>
  <c r="AV226" i="13"/>
  <c r="BA203" i="13"/>
  <c r="R226" i="13"/>
  <c r="Q226" i="13"/>
  <c r="AX226" i="13"/>
  <c r="O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P226" i="13"/>
  <c r="AI226" i="13"/>
  <c r="BG226" i="13"/>
  <c r="BA210" i="13"/>
  <c r="K226" i="13"/>
  <c r="Y226" i="13"/>
  <c r="AJ226" i="13"/>
  <c r="BH226" i="13"/>
  <c r="BA222" i="13"/>
  <c r="BA221" i="13"/>
  <c r="BA209" i="13"/>
  <c r="D226" i="13"/>
  <c r="H226" i="13"/>
  <c r="AK226" i="13"/>
  <c r="BP226" i="13"/>
  <c r="AC226" i="13"/>
  <c r="AA226" i="13"/>
  <c r="AS226" i="13"/>
  <c r="AF226" i="13"/>
  <c r="BA201" i="13"/>
  <c r="BA220" i="13"/>
  <c r="BA208" i="13"/>
  <c r="F226" i="13"/>
  <c r="AB226" i="13"/>
  <c r="AL226" i="13"/>
  <c r="BO226" i="13"/>
  <c r="BA206" i="13"/>
  <c r="BA205" i="13"/>
  <c r="AE226" i="13"/>
  <c r="BA214" i="13"/>
  <c r="AG226" i="13"/>
  <c r="BA219" i="13"/>
  <c r="BA207" i="13"/>
  <c r="Z226" i="13"/>
  <c r="V226" i="13"/>
  <c r="AM226" i="13"/>
  <c r="BT226" i="13"/>
  <c r="BD226" i="13"/>
  <c r="BA202" i="13"/>
  <c r="BA213" i="13"/>
  <c r="AY226" i="13"/>
  <c r="BA218" i="13"/>
  <c r="BA217" i="13"/>
  <c r="K225" i="13"/>
  <c r="Y225" i="13"/>
  <c r="AJ225" i="13"/>
  <c r="BH225" i="13"/>
  <c r="D225" i="13"/>
  <c r="H225" i="13"/>
  <c r="AK225" i="13"/>
  <c r="BP225" i="13"/>
  <c r="F225" i="13"/>
  <c r="AB225" i="13"/>
  <c r="AL225" i="13"/>
  <c r="BO225" i="13"/>
  <c r="Z225" i="13"/>
  <c r="V225" i="13"/>
  <c r="AM225" i="13"/>
  <c r="BT225" i="13"/>
  <c r="AC225" i="13"/>
  <c r="AA225" i="13"/>
  <c r="AS225" i="13"/>
  <c r="N225" i="13"/>
  <c r="AD225" i="13"/>
  <c r="AV225" i="13"/>
  <c r="R225" i="13"/>
  <c r="AE225" i="13"/>
  <c r="BD225" i="13"/>
  <c r="Q225" i="13"/>
  <c r="AF225" i="13"/>
  <c r="AX225" i="13"/>
  <c r="O225" i="13"/>
  <c r="AG225" i="13"/>
  <c r="AY225" i="13"/>
  <c r="AH225" i="13"/>
  <c r="BF225" i="13"/>
  <c r="P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AA224" i="13"/>
  <c r="AD224" i="13"/>
  <c r="BD224" i="13"/>
  <c r="AF224" i="13"/>
  <c r="AG224" i="13"/>
  <c r="AH224" i="13"/>
  <c r="P224" i="13"/>
  <c r="BH224" i="13"/>
  <c r="Y224" i="13"/>
  <c r="K224" i="13"/>
  <c r="AK224" i="13"/>
  <c r="AB224" i="13"/>
  <c r="V224" i="13"/>
  <c r="Z224" i="13"/>
  <c r="AV224" i="13"/>
  <c r="N224" i="13"/>
  <c r="AE224" i="13"/>
  <c r="AX224" i="13"/>
  <c r="R224" i="13"/>
  <c r="AY224" i="13"/>
  <c r="Q224" i="13"/>
  <c r="BF224" i="13"/>
  <c r="O224" i="13"/>
  <c r="BG224" i="13"/>
  <c r="AI224" i="13"/>
  <c r="AJ224" i="13"/>
  <c r="H224" i="13"/>
  <c r="BP224" i="13"/>
  <c r="D224" i="13"/>
  <c r="AL224" i="13"/>
  <c r="F224" i="13"/>
  <c r="AM224" i="13"/>
  <c r="AC224" i="13"/>
  <c r="AS224" i="13"/>
  <c r="N2935" i="11"/>
  <c r="N2525" i="11"/>
  <c r="N2475" i="11"/>
  <c r="N2977" i="11"/>
  <c r="N3046" i="11"/>
  <c r="AH223" i="13"/>
  <c r="AY223" i="13"/>
  <c r="Y223" i="13"/>
  <c r="D223" i="13"/>
  <c r="AK223" i="13"/>
  <c r="F223" i="13"/>
  <c r="AB223" i="13"/>
  <c r="V223" i="13"/>
  <c r="AC223" i="13"/>
  <c r="AA223" i="13"/>
  <c r="N223" i="13"/>
  <c r="AE223" i="13"/>
  <c r="AV223" i="13"/>
  <c r="P223" i="13"/>
  <c r="AI223" i="13"/>
  <c r="BF223" i="13"/>
  <c r="K223" i="13"/>
  <c r="AJ223" i="13"/>
  <c r="BG223" i="13"/>
  <c r="H223" i="13"/>
  <c r="BH223" i="13"/>
  <c r="AL223" i="13"/>
  <c r="Z223" i="13"/>
  <c r="AM223" i="13"/>
  <c r="BP223" i="13"/>
  <c r="AD223" i="13"/>
  <c r="AS223" i="13"/>
  <c r="R223" i="13"/>
  <c r="Q223" i="13"/>
  <c r="AF223" i="13"/>
  <c r="BD223" i="13"/>
  <c r="O223" i="13"/>
  <c r="AG223" i="13"/>
  <c r="AX223" i="13"/>
  <c r="G221" i="11"/>
  <c r="M221" i="11" s="1"/>
  <c r="J2873" i="11"/>
  <c r="J2724" i="11"/>
  <c r="J943" i="11"/>
  <c r="N3039" i="11"/>
  <c r="AA222" i="13"/>
  <c r="AA210" i="13"/>
  <c r="AA209" i="13"/>
  <c r="AA208" i="13"/>
  <c r="AA207" i="13"/>
  <c r="AA218" i="13"/>
  <c r="AA206" i="13"/>
  <c r="AA217" i="13"/>
  <c r="AA205" i="13"/>
  <c r="AA221" i="13"/>
  <c r="AA204" i="13"/>
  <c r="AA211" i="13"/>
  <c r="AA220" i="13"/>
  <c r="AA219" i="13"/>
  <c r="AA216" i="13"/>
  <c r="AA215" i="13"/>
  <c r="AA203" i="13"/>
  <c r="AA214" i="13"/>
  <c r="AA213" i="13"/>
  <c r="AA212" i="13"/>
  <c r="K221" i="13"/>
  <c r="O221" i="13"/>
  <c r="AJ221" i="13"/>
  <c r="BH221" i="13"/>
  <c r="Y222" i="13"/>
  <c r="AH222" i="13"/>
  <c r="BF222" i="13"/>
  <c r="AB221" i="13"/>
  <c r="K222" i="13"/>
  <c r="AJ222" i="13"/>
  <c r="BH222" i="13"/>
  <c r="V221" i="13"/>
  <c r="H222" i="13"/>
  <c r="AK222" i="13"/>
  <c r="G221" i="13"/>
  <c r="F222" i="13"/>
  <c r="AL222" i="13"/>
  <c r="Z222" i="13"/>
  <c r="AM222" i="13"/>
  <c r="AV221" i="13"/>
  <c r="R221" i="13"/>
  <c r="AE221" i="13"/>
  <c r="AS222" i="13"/>
  <c r="AF221" i="13"/>
  <c r="AX221" i="13"/>
  <c r="N222" i="13"/>
  <c r="AD222" i="13"/>
  <c r="AV222" i="13"/>
  <c r="P221" i="13"/>
  <c r="AG221" i="13"/>
  <c r="AY221" i="13"/>
  <c r="R222" i="13"/>
  <c r="AE222" i="13"/>
  <c r="BD222" i="13"/>
  <c r="Y221" i="13"/>
  <c r="AH221" i="13"/>
  <c r="BF221" i="13"/>
  <c r="AF222" i="13"/>
  <c r="AX222" i="13"/>
  <c r="Q221" i="13"/>
  <c r="AI221" i="13"/>
  <c r="BG221" i="13"/>
  <c r="P222" i="13"/>
  <c r="AG222" i="13"/>
  <c r="AY222" i="13"/>
  <c r="D221" i="13"/>
  <c r="H221" i="13"/>
  <c r="AK221" i="13"/>
  <c r="BP221" i="13"/>
  <c r="Q222" i="13"/>
  <c r="AI222" i="13"/>
  <c r="BG222" i="13"/>
  <c r="F221" i="13"/>
  <c r="AL221" i="13"/>
  <c r="O222" i="13"/>
  <c r="Z221" i="13"/>
  <c r="AM221" i="13"/>
  <c r="D222" i="13"/>
  <c r="BP222" i="13"/>
  <c r="AC221" i="13"/>
  <c r="AB222" i="13"/>
  <c r="AS221" i="13"/>
  <c r="V222" i="13"/>
  <c r="N221" i="13"/>
  <c r="AD221" i="13"/>
  <c r="G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Z219" i="13"/>
  <c r="AM219" i="13"/>
  <c r="D219" i="13"/>
  <c r="Q220" i="13"/>
  <c r="AI220" i="13"/>
  <c r="BF220" i="13"/>
  <c r="O220" i="13"/>
  <c r="H220" i="13"/>
  <c r="BH220" i="13"/>
  <c r="V220" i="13"/>
  <c r="K220" i="13"/>
  <c r="D220" i="13"/>
  <c r="F220" i="13"/>
  <c r="Z220" i="13"/>
  <c r="G220" i="13"/>
  <c r="N220" i="13"/>
  <c r="AD220" i="13"/>
  <c r="AS220" i="13"/>
  <c r="BD220" i="13"/>
  <c r="R220" i="13"/>
  <c r="AE220" i="13"/>
  <c r="AV220" i="13"/>
  <c r="BP220" i="13"/>
  <c r="AF220" i="13"/>
  <c r="P220" i="13"/>
  <c r="AG220" i="13"/>
  <c r="AX220" i="13"/>
  <c r="AJ220" i="13"/>
  <c r="AK220" i="13"/>
  <c r="AL220" i="13"/>
  <c r="AM220" i="13"/>
  <c r="AC220" i="13"/>
  <c r="Y220" i="13"/>
  <c r="AH220" i="13"/>
  <c r="AY220" i="13"/>
  <c r="BG220" i="13"/>
  <c r="AB220" i="13"/>
  <c r="K219" i="13"/>
  <c r="BG219" i="13"/>
  <c r="AI219" i="13"/>
  <c r="Q219" i="13"/>
  <c r="BF219" i="13"/>
  <c r="AH219" i="13"/>
  <c r="Y219" i="13"/>
  <c r="AY219" i="13"/>
  <c r="AG219" i="13"/>
  <c r="P219" i="13"/>
  <c r="AX219" i="13"/>
  <c r="AF219" i="13"/>
  <c r="BD219" i="13"/>
  <c r="AE219" i="13"/>
  <c r="R219" i="13"/>
  <c r="AV219" i="13"/>
  <c r="AD219" i="13"/>
  <c r="N219" i="13"/>
  <c r="AS219" i="13"/>
  <c r="AC219" i="13"/>
  <c r="G219" i="13"/>
  <c r="V219" i="13"/>
  <c r="AL219" i="13"/>
  <c r="AB219" i="13"/>
  <c r="F219" i="13"/>
  <c r="BP219" i="13"/>
  <c r="AK219" i="13"/>
  <c r="H219" i="13"/>
  <c r="BH219" i="13"/>
  <c r="AJ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I217" i="13"/>
  <c r="AZ217" i="13"/>
  <c r="I218" i="13"/>
  <c r="AZ218" i="13"/>
  <c r="O26" i="39"/>
  <c r="O25" i="39"/>
  <c r="O24" i="39"/>
  <c r="O23" i="39" l="1"/>
  <c r="I215" i="13" l="1"/>
  <c r="AZ215" i="13"/>
  <c r="I216" i="13"/>
  <c r="AZ216" i="13"/>
  <c r="O22" i="39"/>
  <c r="O21" i="39"/>
  <c r="O20" i="39"/>
  <c r="O3" i="42" l="1"/>
  <c r="O19" i="39"/>
  <c r="O11" i="41"/>
  <c r="I214" i="13" l="1"/>
  <c r="AZ214" i="13"/>
  <c r="O18" i="39"/>
  <c r="L23" i="38" l="1"/>
  <c r="I213" i="13"/>
  <c r="AZ213" i="13"/>
  <c r="I212" i="13"/>
  <c r="AZ212" i="13"/>
  <c r="O17" i="39"/>
  <c r="C29" i="41" l="1"/>
  <c r="F29" i="41"/>
  <c r="I210" i="13" l="1"/>
  <c r="AZ210" i="13"/>
  <c r="I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I209" i="13" s="1"/>
  <c r="K232" i="36"/>
  <c r="L232" i="36" s="1"/>
  <c r="P232" i="36"/>
  <c r="N232" i="36" l="1"/>
  <c r="O232" i="36" s="1"/>
  <c r="M232" i="36"/>
  <c r="AZ209" i="13" s="1"/>
  <c r="I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I207" i="13"/>
  <c r="AZ207" i="13"/>
  <c r="L22" i="38"/>
  <c r="V2925" i="11"/>
  <c r="O4" i="39"/>
  <c r="L21" i="38"/>
  <c r="V2915" i="11"/>
  <c r="O13" i="41"/>
  <c r="O8" i="41"/>
  <c r="O15" i="41" s="1"/>
  <c r="O16" i="41" l="1"/>
  <c r="I206" i="13" l="1"/>
  <c r="AZ206" i="13"/>
  <c r="V2910" i="11"/>
  <c r="V2909" i="11"/>
  <c r="F13" i="41" l="1"/>
  <c r="F8" i="41"/>
  <c r="F15" i="41" s="1"/>
  <c r="F16" i="41" l="1"/>
  <c r="L20" i="38"/>
  <c r="I205" i="13"/>
  <c r="AZ205" i="13"/>
  <c r="I203" i="13"/>
  <c r="AZ203" i="13"/>
  <c r="I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I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I201" i="13"/>
  <c r="AZ201" i="13"/>
  <c r="I200" i="13"/>
  <c r="AZ200" i="13"/>
  <c r="V2813" i="11"/>
  <c r="V2812" i="11"/>
  <c r="V2788" i="11"/>
  <c r="V2787" i="11"/>
  <c r="I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I198" i="13"/>
  <c r="AZ198" i="13"/>
  <c r="I196" i="13"/>
  <c r="AZ196" i="13"/>
  <c r="J226" i="36"/>
  <c r="J227" i="36"/>
  <c r="I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I195" i="13"/>
  <c r="AZ195" i="13"/>
  <c r="I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I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I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I191" i="13" l="1"/>
  <c r="AZ191" i="13"/>
  <c r="J216" i="36" l="1"/>
  <c r="K216" i="36"/>
  <c r="L216" i="36" s="1"/>
  <c r="P216" i="36"/>
  <c r="I187" i="13"/>
  <c r="AZ187" i="13"/>
  <c r="J210" i="36"/>
  <c r="I186" i="13" s="1"/>
  <c r="J211" i="36"/>
  <c r="J212" i="36"/>
  <c r="J213" i="36"/>
  <c r="J214" i="36"/>
  <c r="I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I188" i="13" l="1"/>
  <c r="M216" i="36"/>
  <c r="N216" i="36"/>
  <c r="O216" i="36" s="1"/>
  <c r="M211" i="36"/>
  <c r="M214" i="36"/>
  <c r="M213" i="36"/>
  <c r="I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I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I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I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I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I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I173" i="13"/>
  <c r="AZ170" i="13"/>
  <c r="I170" i="13"/>
  <c r="I149" i="13"/>
  <c r="I148" i="13"/>
  <c r="I147" i="13"/>
  <c r="I146" i="13"/>
  <c r="I145" i="13"/>
  <c r="I144" i="13"/>
  <c r="I143" i="13"/>
  <c r="I142" i="13"/>
  <c r="I141" i="13"/>
  <c r="I140" i="13"/>
  <c r="I139" i="13"/>
  <c r="I138" i="13"/>
  <c r="I137" i="13"/>
  <c r="I136" i="13"/>
  <c r="I135" i="13"/>
  <c r="I134" i="13"/>
  <c r="I133" i="13"/>
  <c r="I132" i="13"/>
  <c r="I131" i="13"/>
  <c r="I130" i="13"/>
  <c r="I129" i="13"/>
  <c r="I128" i="13"/>
  <c r="I127" i="13"/>
  <c r="I126" i="13"/>
  <c r="I125" i="13"/>
  <c r="I124" i="13"/>
  <c r="I123" i="13"/>
  <c r="I122" i="13"/>
  <c r="I121" i="13"/>
  <c r="I120" i="13"/>
  <c r="I119" i="13"/>
  <c r="I118" i="13"/>
  <c r="I117" i="13"/>
  <c r="I116" i="13"/>
  <c r="I115" i="13"/>
  <c r="I114" i="13"/>
  <c r="I113" i="13"/>
  <c r="I112" i="13"/>
  <c r="I111" i="13"/>
  <c r="I110" i="13"/>
  <c r="I109" i="13"/>
  <c r="I108" i="13"/>
  <c r="I107" i="13"/>
  <c r="I106" i="13"/>
  <c r="I105" i="13"/>
  <c r="I104" i="13"/>
  <c r="I103" i="13"/>
  <c r="I102" i="13"/>
  <c r="I101" i="13"/>
  <c r="I100" i="13"/>
  <c r="I99" i="13"/>
  <c r="I98" i="13"/>
  <c r="I97" i="13"/>
  <c r="I96" i="13"/>
  <c r="I95" i="13"/>
  <c r="I94" i="13"/>
  <c r="I93" i="13"/>
  <c r="I92" i="13"/>
  <c r="I91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I70" i="13"/>
  <c r="I69" i="13"/>
  <c r="I68" i="13"/>
  <c r="I67" i="13"/>
  <c r="I66" i="13"/>
  <c r="I65" i="13"/>
  <c r="I64" i="13"/>
  <c r="I63" i="13"/>
  <c r="I62" i="13"/>
  <c r="I61" i="13"/>
  <c r="I60" i="13"/>
  <c r="I59" i="13"/>
  <c r="I58" i="13"/>
  <c r="I57" i="13"/>
  <c r="I56" i="13"/>
  <c r="I55" i="13"/>
  <c r="I54" i="13"/>
  <c r="I53" i="13"/>
  <c r="I52" i="13"/>
  <c r="I51" i="13"/>
  <c r="I50" i="13"/>
  <c r="I49" i="13"/>
  <c r="I48" i="13"/>
  <c r="I47" i="13"/>
  <c r="I46" i="13"/>
  <c r="I45" i="13"/>
  <c r="I44" i="13"/>
  <c r="I43" i="13"/>
  <c r="I42" i="13"/>
  <c r="I41" i="13"/>
  <c r="I40" i="13"/>
  <c r="I39" i="13"/>
  <c r="I38" i="13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I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I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I217" i="13"/>
  <c r="BF217" i="13"/>
  <c r="R218" i="13"/>
  <c r="AE218" i="13"/>
  <c r="BD218" i="13"/>
  <c r="P218" i="13"/>
  <c r="O218" i="13"/>
  <c r="K217" i="13"/>
  <c r="O217" i="13"/>
  <c r="AJ217" i="13"/>
  <c r="BG217" i="13"/>
  <c r="AF218" i="13"/>
  <c r="AX218" i="13"/>
  <c r="AY218" i="13"/>
  <c r="G217" i="13"/>
  <c r="D217" i="13"/>
  <c r="H217" i="13"/>
  <c r="AK217" i="13"/>
  <c r="BH217" i="13"/>
  <c r="AG218" i="13"/>
  <c r="BH218" i="13"/>
  <c r="F217" i="13"/>
  <c r="AB217" i="13"/>
  <c r="AL217" i="13"/>
  <c r="Y218" i="13"/>
  <c r="AH218" i="13"/>
  <c r="BF218" i="13"/>
  <c r="AC217" i="13"/>
  <c r="Z217" i="13"/>
  <c r="V217" i="13"/>
  <c r="AM217" i="13"/>
  <c r="BP217" i="13"/>
  <c r="Q218" i="13"/>
  <c r="AI218" i="13"/>
  <c r="BG218" i="13"/>
  <c r="AJ218" i="13"/>
  <c r="K218" i="13"/>
  <c r="D218" i="13"/>
  <c r="H218" i="13"/>
  <c r="AK218" i="13"/>
  <c r="BP218" i="13"/>
  <c r="Y217" i="13"/>
  <c r="AD218" i="13"/>
  <c r="AV218" i="13"/>
  <c r="N217" i="13"/>
  <c r="AD217" i="13"/>
  <c r="AS217" i="13"/>
  <c r="F218" i="13"/>
  <c r="AB218" i="13"/>
  <c r="AL218" i="13"/>
  <c r="AX217" i="13"/>
  <c r="N218" i="13"/>
  <c r="R217" i="13"/>
  <c r="AE217" i="13"/>
  <c r="AV217" i="13"/>
  <c r="Z218" i="13"/>
  <c r="V218" i="13"/>
  <c r="AM218" i="13"/>
  <c r="AS218" i="13"/>
  <c r="AY217" i="13"/>
  <c r="AF217" i="13"/>
  <c r="BD217" i="13"/>
  <c r="G218" i="13"/>
  <c r="AC218" i="13"/>
  <c r="P217" i="13"/>
  <c r="AG217" i="13"/>
  <c r="AH217" i="13"/>
  <c r="Q215" i="13"/>
  <c r="AI215" i="13"/>
  <c r="BF215" i="13"/>
  <c r="Y216" i="13"/>
  <c r="BG216" i="13"/>
  <c r="K215" i="13"/>
  <c r="O215" i="13"/>
  <c r="AJ215" i="13"/>
  <c r="BG215" i="13"/>
  <c r="R216" i="13"/>
  <c r="AE216" i="13"/>
  <c r="BD216" i="13"/>
  <c r="AJ216" i="13"/>
  <c r="D215" i="13"/>
  <c r="AH216" i="13"/>
  <c r="F215" i="13"/>
  <c r="AB215" i="13"/>
  <c r="AL215" i="13"/>
  <c r="P216" i="13"/>
  <c r="AG216" i="13"/>
  <c r="AY216" i="13"/>
  <c r="V215" i="13"/>
  <c r="Q216" i="13"/>
  <c r="BH216" i="13"/>
  <c r="Z215" i="13"/>
  <c r="G215" i="13"/>
  <c r="N215" i="13"/>
  <c r="AD215" i="13"/>
  <c r="AS215" i="13"/>
  <c r="D216" i="13"/>
  <c r="H216" i="13"/>
  <c r="AK216" i="13"/>
  <c r="BP216" i="13"/>
  <c r="AE215" i="13"/>
  <c r="AV215" i="13"/>
  <c r="F216" i="13"/>
  <c r="AB216" i="13"/>
  <c r="AL216" i="13"/>
  <c r="BH215" i="13"/>
  <c r="BF216" i="13"/>
  <c r="R215" i="13"/>
  <c r="AF215" i="13"/>
  <c r="BD215" i="13"/>
  <c r="Z216" i="13"/>
  <c r="V216" i="13"/>
  <c r="AM216" i="13"/>
  <c r="AH215" i="13"/>
  <c r="AS216" i="13"/>
  <c r="N216" i="13"/>
  <c r="AD216" i="13"/>
  <c r="AK215" i="13"/>
  <c r="AX216" i="13"/>
  <c r="AI216" i="13"/>
  <c r="K216" i="13"/>
  <c r="P215" i="13"/>
  <c r="AG215" i="13"/>
  <c r="AX215" i="13"/>
  <c r="G216" i="13"/>
  <c r="AC216" i="13"/>
  <c r="AY215" i="13"/>
  <c r="AV216" i="13"/>
  <c r="H215" i="13"/>
  <c r="AF216" i="13"/>
  <c r="BP215" i="13"/>
  <c r="AC215" i="13"/>
  <c r="Y215" i="13"/>
  <c r="AM215" i="13"/>
  <c r="O216" i="13"/>
  <c r="Z204" i="13"/>
  <c r="Z192" i="13"/>
  <c r="Z180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Z11" i="13"/>
  <c r="Z202" i="13"/>
  <c r="Z178" i="13"/>
  <c r="Z166" i="13"/>
  <c r="Z142" i="13"/>
  <c r="Z118" i="13"/>
  <c r="Z94" i="13"/>
  <c r="Z70" i="13"/>
  <c r="Z46" i="13"/>
  <c r="Z22" i="13"/>
  <c r="Z79" i="13"/>
  <c r="Z7" i="13"/>
  <c r="Z50" i="13"/>
  <c r="Z169" i="13"/>
  <c r="Z49" i="13"/>
  <c r="Z203" i="13"/>
  <c r="Z191" i="13"/>
  <c r="Z179" i="13"/>
  <c r="Z167" i="13"/>
  <c r="Z155" i="13"/>
  <c r="Z143" i="13"/>
  <c r="Z131" i="13"/>
  <c r="Z119" i="13"/>
  <c r="Z107" i="13"/>
  <c r="Z95" i="13"/>
  <c r="Z83" i="13"/>
  <c r="Z71" i="13"/>
  <c r="Z59" i="13"/>
  <c r="Z47" i="13"/>
  <c r="Z35" i="13"/>
  <c r="Z23" i="13"/>
  <c r="Z190" i="13"/>
  <c r="Z154" i="13"/>
  <c r="Z130" i="13"/>
  <c r="Z106" i="13"/>
  <c r="Z82" i="13"/>
  <c r="Z58" i="13"/>
  <c r="Z34" i="13"/>
  <c r="Z10" i="13"/>
  <c r="Z19" i="13"/>
  <c r="Z122" i="13"/>
  <c r="Z26" i="13"/>
  <c r="Z193" i="13"/>
  <c r="Z73" i="13"/>
  <c r="Z214" i="13"/>
  <c r="Z55" i="13"/>
  <c r="Z181" i="13"/>
  <c r="Z37" i="13"/>
  <c r="Z213" i="13"/>
  <c r="Z201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Z31" i="13"/>
  <c r="Z62" i="13"/>
  <c r="Z121" i="13"/>
  <c r="Z212" i="13"/>
  <c r="Z200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Z199" i="13"/>
  <c r="Z187" i="13"/>
  <c r="Z175" i="13"/>
  <c r="Z163" i="13"/>
  <c r="Z211" i="13"/>
  <c r="Z151" i="13"/>
  <c r="Z139" i="13"/>
  <c r="Z127" i="13"/>
  <c r="Z115" i="13"/>
  <c r="Z103" i="13"/>
  <c r="Z91" i="13"/>
  <c r="Z67" i="13"/>
  <c r="Z43" i="13"/>
  <c r="Z110" i="13"/>
  <c r="Z145" i="13"/>
  <c r="Z109" i="13"/>
  <c r="Z25" i="13"/>
  <c r="Z210" i="13"/>
  <c r="Z198" i="13"/>
  <c r="Z186" i="13"/>
  <c r="Z174" i="13"/>
  <c r="Z162" i="13"/>
  <c r="Z150" i="13"/>
  <c r="Z138" i="13"/>
  <c r="Z126" i="13"/>
  <c r="Z114" i="13"/>
  <c r="Z102" i="13"/>
  <c r="Z90" i="13"/>
  <c r="Z78" i="13"/>
  <c r="Z66" i="13"/>
  <c r="Z54" i="13"/>
  <c r="Z42" i="13"/>
  <c r="Z30" i="13"/>
  <c r="Z18" i="13"/>
  <c r="Z6" i="13"/>
  <c r="Z86" i="13"/>
  <c r="Z205" i="13"/>
  <c r="Z97" i="13"/>
  <c r="Z209" i="13"/>
  <c r="Z197" i="13"/>
  <c r="Z185" i="13"/>
  <c r="Z173" i="13"/>
  <c r="Z161" i="13"/>
  <c r="Z149" i="13"/>
  <c r="Z137" i="13"/>
  <c r="Z125" i="13"/>
  <c r="Z113" i="13"/>
  <c r="Z101" i="13"/>
  <c r="Z89" i="13"/>
  <c r="Z77" i="13"/>
  <c r="Z65" i="13"/>
  <c r="Z53" i="13"/>
  <c r="Z41" i="13"/>
  <c r="Z29" i="13"/>
  <c r="Z17" i="13"/>
  <c r="Z5" i="13"/>
  <c r="Z148" i="13"/>
  <c r="Z100" i="13"/>
  <c r="Z76" i="13"/>
  <c r="Z52" i="13"/>
  <c r="Z28" i="13"/>
  <c r="Z16" i="13"/>
  <c r="Z195" i="13"/>
  <c r="Z159" i="13"/>
  <c r="Z135" i="13"/>
  <c r="Z111" i="13"/>
  <c r="Z87" i="13"/>
  <c r="Z63" i="13"/>
  <c r="Z39" i="13"/>
  <c r="Z15" i="13"/>
  <c r="Z206" i="13"/>
  <c r="Z194" i="13"/>
  <c r="Z182" i="13"/>
  <c r="Z170" i="13"/>
  <c r="Z146" i="13"/>
  <c r="Z134" i="13"/>
  <c r="Z74" i="13"/>
  <c r="Z14" i="13"/>
  <c r="Z157" i="13"/>
  <c r="Z85" i="13"/>
  <c r="Z13" i="13"/>
  <c r="Z208" i="13"/>
  <c r="Z196" i="13"/>
  <c r="Z184" i="13"/>
  <c r="Z172" i="13"/>
  <c r="Z160" i="13"/>
  <c r="Z136" i="13"/>
  <c r="Z124" i="13"/>
  <c r="Z112" i="13"/>
  <c r="Z88" i="13"/>
  <c r="Z64" i="13"/>
  <c r="Z40" i="13"/>
  <c r="Z4" i="13"/>
  <c r="Z207" i="13"/>
  <c r="Z183" i="13"/>
  <c r="Z171" i="13"/>
  <c r="Z147" i="13"/>
  <c r="Z123" i="13"/>
  <c r="Z99" i="13"/>
  <c r="Z75" i="13"/>
  <c r="Z51" i="13"/>
  <c r="Z27" i="13"/>
  <c r="Z158" i="13"/>
  <c r="Z98" i="13"/>
  <c r="Z38" i="13"/>
  <c r="Z133" i="13"/>
  <c r="Z61" i="13"/>
  <c r="H214" i="13"/>
  <c r="AJ214" i="13"/>
  <c r="BG214" i="13"/>
  <c r="AH214" i="13"/>
  <c r="K214" i="13"/>
  <c r="AB214" i="13"/>
  <c r="AK214" i="13"/>
  <c r="BH214" i="13"/>
  <c r="AY214" i="13"/>
  <c r="D214" i="13"/>
  <c r="N214" i="13"/>
  <c r="AL214" i="13"/>
  <c r="AG214" i="13"/>
  <c r="F214" i="13"/>
  <c r="V214" i="13"/>
  <c r="AM214" i="13"/>
  <c r="BP214" i="13"/>
  <c r="AV214" i="13"/>
  <c r="Y214" i="13"/>
  <c r="AC214" i="13"/>
  <c r="O214" i="13"/>
  <c r="Q214" i="13"/>
  <c r="BD214" i="13"/>
  <c r="AI214" i="13"/>
  <c r="G214" i="13"/>
  <c r="AD214" i="13"/>
  <c r="AS214" i="13"/>
  <c r="AF214" i="13"/>
  <c r="AX214" i="13"/>
  <c r="P214" i="13"/>
  <c r="AE214" i="13"/>
  <c r="BF214" i="13"/>
  <c r="R214" i="13"/>
  <c r="H213" i="13"/>
  <c r="AJ213" i="13"/>
  <c r="BG213" i="13"/>
  <c r="K213" i="13"/>
  <c r="AB213" i="13"/>
  <c r="AK213" i="13"/>
  <c r="BH213" i="13"/>
  <c r="D213" i="13"/>
  <c r="N213" i="13"/>
  <c r="AL213" i="13"/>
  <c r="F213" i="13"/>
  <c r="V213" i="13"/>
  <c r="AM213" i="13"/>
  <c r="BP213" i="13"/>
  <c r="Y213" i="13"/>
  <c r="AC213" i="13"/>
  <c r="Q213" i="13"/>
  <c r="G213" i="13"/>
  <c r="AD213" i="13"/>
  <c r="AS213" i="13"/>
  <c r="AE213" i="13"/>
  <c r="BF213" i="13"/>
  <c r="R213" i="13"/>
  <c r="AF213" i="13"/>
  <c r="BD213" i="13"/>
  <c r="O213" i="13"/>
  <c r="AG213" i="13"/>
  <c r="AX213" i="13"/>
  <c r="AH213" i="13"/>
  <c r="AY213" i="13"/>
  <c r="P213" i="13"/>
  <c r="AI213" i="13"/>
  <c r="AV213" i="13"/>
  <c r="H212" i="13"/>
  <c r="AJ212" i="13"/>
  <c r="BG212" i="13"/>
  <c r="K212" i="13"/>
  <c r="AB212" i="13"/>
  <c r="AK212" i="13"/>
  <c r="D212" i="13"/>
  <c r="N212" i="13"/>
  <c r="AL212" i="13"/>
  <c r="AC212" i="13"/>
  <c r="Q212" i="13"/>
  <c r="F212" i="13"/>
  <c r="V212" i="13"/>
  <c r="AM212" i="13"/>
  <c r="BP212" i="13"/>
  <c r="Y212" i="13"/>
  <c r="G212" i="13"/>
  <c r="AD212" i="13"/>
  <c r="AS212" i="13"/>
  <c r="O212" i="13"/>
  <c r="BH212" i="13"/>
  <c r="AE212" i="13"/>
  <c r="BF212" i="13"/>
  <c r="AG212" i="13"/>
  <c r="R212" i="13"/>
  <c r="AF212" i="13"/>
  <c r="BD212" i="13"/>
  <c r="AX212" i="13"/>
  <c r="AH212" i="13"/>
  <c r="AY212" i="13"/>
  <c r="P212" i="13"/>
  <c r="AI212" i="13"/>
  <c r="AV212" i="13"/>
  <c r="BD211" i="13"/>
  <c r="BD199" i="13"/>
  <c r="O209" i="13"/>
  <c r="AJ209" i="13"/>
  <c r="BP209" i="13"/>
  <c r="O210" i="13"/>
  <c r="AJ210" i="13"/>
  <c r="BP210" i="13"/>
  <c r="O211" i="13"/>
  <c r="AJ211" i="13"/>
  <c r="BP211" i="13"/>
  <c r="BD209" i="13"/>
  <c r="V209" i="13"/>
  <c r="P209" i="13"/>
  <c r="AL209" i="13"/>
  <c r="V210" i="13"/>
  <c r="P210" i="13"/>
  <c r="AL210" i="13"/>
  <c r="V211" i="13"/>
  <c r="P211" i="13"/>
  <c r="AL211" i="13"/>
  <c r="BD210" i="13"/>
  <c r="K209" i="13"/>
  <c r="AK209" i="13"/>
  <c r="K210" i="13"/>
  <c r="AK210" i="13"/>
  <c r="K211" i="13"/>
  <c r="AK211" i="13"/>
  <c r="BD208" i="13"/>
  <c r="H209" i="13"/>
  <c r="AC209" i="13"/>
  <c r="AM209" i="13"/>
  <c r="H210" i="13"/>
  <c r="AC210" i="13"/>
  <c r="AM210" i="13"/>
  <c r="H211" i="13"/>
  <c r="AC211" i="13"/>
  <c r="AM211" i="13"/>
  <c r="BD207" i="13"/>
  <c r="D209" i="13"/>
  <c r="G209" i="13"/>
  <c r="D210" i="13"/>
  <c r="G210" i="13"/>
  <c r="D211" i="13"/>
  <c r="G211" i="13"/>
  <c r="BD206" i="13"/>
  <c r="F209" i="13"/>
  <c r="BG209" i="13"/>
  <c r="F210" i="13"/>
  <c r="BG210" i="13"/>
  <c r="F211" i="13"/>
  <c r="BG211" i="13"/>
  <c r="BD205" i="13"/>
  <c r="AB209" i="13"/>
  <c r="AD209" i="13"/>
  <c r="AS209" i="13"/>
  <c r="AB210" i="13"/>
  <c r="AD210" i="13"/>
  <c r="AS210" i="13"/>
  <c r="AB211" i="13"/>
  <c r="AD211" i="13"/>
  <c r="AS211" i="13"/>
  <c r="BD204" i="13"/>
  <c r="N209" i="13"/>
  <c r="AE209" i="13"/>
  <c r="BF209" i="13"/>
  <c r="N210" i="13"/>
  <c r="AE210" i="13"/>
  <c r="BF210" i="13"/>
  <c r="N211" i="13"/>
  <c r="AE211" i="13"/>
  <c r="BF211" i="13"/>
  <c r="BD203" i="13"/>
  <c r="Y209" i="13"/>
  <c r="AF209" i="13"/>
  <c r="AV209" i="13"/>
  <c r="Y210" i="13"/>
  <c r="AF210" i="13"/>
  <c r="AV210" i="13"/>
  <c r="Y211" i="13"/>
  <c r="AF211" i="13"/>
  <c r="AV211" i="13"/>
  <c r="BD202" i="13"/>
  <c r="Q209" i="13"/>
  <c r="AG209" i="13"/>
  <c r="AX209" i="13"/>
  <c r="Q210" i="13"/>
  <c r="AG210" i="13"/>
  <c r="AX210" i="13"/>
  <c r="Q211" i="13"/>
  <c r="AG211" i="13"/>
  <c r="AX211" i="13"/>
  <c r="BD201" i="13"/>
  <c r="AH209" i="13"/>
  <c r="AY209" i="13"/>
  <c r="AH210" i="13"/>
  <c r="AY210" i="13"/>
  <c r="AH211" i="13"/>
  <c r="AY211" i="13"/>
  <c r="BD200" i="13"/>
  <c r="R209" i="13"/>
  <c r="AI209" i="13"/>
  <c r="BH211" i="13"/>
  <c r="BH209" i="13"/>
  <c r="R210" i="13"/>
  <c r="AI210" i="13"/>
  <c r="BH210" i="13"/>
  <c r="R211" i="13"/>
  <c r="AI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K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K208" i="13"/>
  <c r="P208" i="13"/>
  <c r="AL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V208" i="13"/>
  <c r="AC208" i="13"/>
  <c r="AM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H208" i="13"/>
  <c r="G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D208" i="13"/>
  <c r="BG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D208" i="13"/>
  <c r="AS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AB208" i="13"/>
  <c r="AE208" i="13"/>
  <c r="BF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N208" i="13"/>
  <c r="AF208" i="13"/>
  <c r="AV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Y208" i="13"/>
  <c r="AG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H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I208" i="13"/>
  <c r="BH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J208" i="13"/>
  <c r="BP208" i="13"/>
  <c r="R207" i="13"/>
  <c r="AS200" i="13"/>
  <c r="BG200" i="13"/>
  <c r="BH204" i="13"/>
  <c r="BG201" i="13"/>
  <c r="N206" i="13"/>
  <c r="AA202" i="13"/>
  <c r="BG202" i="13"/>
  <c r="N202" i="13"/>
  <c r="BP207" i="13"/>
  <c r="AY199" i="13"/>
  <c r="V205" i="13"/>
  <c r="Y203" i="13"/>
  <c r="D205" i="13"/>
  <c r="BH201" i="13"/>
  <c r="Y204" i="13"/>
  <c r="AX206" i="13"/>
  <c r="AV199" i="13"/>
  <c r="G205" i="13"/>
  <c r="BF204" i="13"/>
  <c r="AS205" i="13"/>
  <c r="AA201" i="13"/>
  <c r="AY207" i="13"/>
  <c r="AX205" i="13"/>
  <c r="BG199" i="13"/>
  <c r="Y207" i="13"/>
  <c r="AX204" i="13"/>
  <c r="AH199" i="13"/>
  <c r="Y205" i="13"/>
  <c r="AS203" i="13"/>
  <c r="BG206" i="13"/>
  <c r="BH207" i="13"/>
  <c r="D207" i="13"/>
  <c r="BG203" i="13"/>
  <c r="BF207" i="13"/>
  <c r="BF200" i="13"/>
  <c r="BF201" i="13"/>
  <c r="G204" i="13"/>
  <c r="AV203" i="13"/>
  <c r="BH205" i="13"/>
  <c r="AS201" i="13"/>
  <c r="N207" i="13"/>
  <c r="AS202" i="13"/>
  <c r="BG207" i="13"/>
  <c r="BH199" i="13"/>
  <c r="BH203" i="13"/>
  <c r="V206" i="13"/>
  <c r="N205" i="13"/>
  <c r="N203" i="13"/>
  <c r="AX207" i="13"/>
  <c r="AV202" i="13"/>
  <c r="R206" i="13"/>
  <c r="BH202" i="13"/>
  <c r="N204" i="13"/>
  <c r="AV207" i="13"/>
  <c r="BP206" i="13"/>
  <c r="BX206" i="13" s="1"/>
  <c r="BM207" i="13" s="1"/>
  <c r="AX199" i="13"/>
  <c r="V204" i="13"/>
  <c r="Y202" i="13"/>
  <c r="BF205" i="13"/>
  <c r="AY201" i="13"/>
  <c r="V203" i="13"/>
  <c r="AV206" i="13"/>
  <c r="N200" i="13"/>
  <c r="BF199" i="13"/>
  <c r="V207" i="13"/>
  <c r="AS204" i="13"/>
  <c r="BG205" i="13"/>
  <c r="AY200" i="13"/>
  <c r="N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D206" i="13"/>
  <c r="BF202" i="13"/>
  <c r="AS207" i="13"/>
  <c r="AY204" i="13"/>
  <c r="AX202" i="13"/>
  <c r="BH200" i="13"/>
  <c r="AS199" i="13"/>
  <c r="Y201" i="13"/>
  <c r="Y206" i="13"/>
  <c r="AY206" i="13"/>
  <c r="BG204" i="13"/>
  <c r="AV205" i="13"/>
  <c r="BF206" i="13"/>
  <c r="BF203" i="13"/>
  <c r="K207" i="13"/>
  <c r="P207" i="13"/>
  <c r="AL207" i="13"/>
  <c r="AC207" i="13"/>
  <c r="AM207" i="13"/>
  <c r="F207" i="13"/>
  <c r="AE207" i="13"/>
  <c r="AF207" i="13"/>
  <c r="H207" i="13"/>
  <c r="AG207" i="13"/>
  <c r="Q207" i="13"/>
  <c r="AH207" i="13"/>
  <c r="AJ207" i="13"/>
  <c r="AK207" i="13"/>
  <c r="AB207" i="13"/>
  <c r="AI207" i="13"/>
  <c r="G207" i="13"/>
  <c r="AD207" i="13"/>
  <c r="K206" i="13"/>
  <c r="AL206" i="13"/>
  <c r="P206" i="13"/>
  <c r="AC206" i="13"/>
  <c r="G206" i="13"/>
  <c r="H206" i="13"/>
  <c r="AD206" i="13"/>
  <c r="F206" i="13"/>
  <c r="AE206" i="13"/>
  <c r="AB206" i="13"/>
  <c r="AF206" i="13"/>
  <c r="AG206" i="13"/>
  <c r="AI206" i="13"/>
  <c r="AK206" i="13"/>
  <c r="AM206" i="13"/>
  <c r="AH206" i="13"/>
  <c r="Q206" i="13"/>
  <c r="AJ206" i="13"/>
  <c r="AH205" i="13"/>
  <c r="AK205" i="13"/>
  <c r="AM205" i="13"/>
  <c r="Q205" i="13"/>
  <c r="AJ205" i="13"/>
  <c r="K205" i="13"/>
  <c r="AF205" i="13"/>
  <c r="AL205" i="13"/>
  <c r="AC205" i="13"/>
  <c r="P205" i="13"/>
  <c r="H205" i="13"/>
  <c r="AD205" i="13"/>
  <c r="F205" i="13"/>
  <c r="AE205" i="13"/>
  <c r="AB205" i="13"/>
  <c r="R205" i="13"/>
  <c r="AG205" i="13"/>
  <c r="AI205" i="13"/>
  <c r="K203" i="13"/>
  <c r="AL203" i="13"/>
  <c r="AH204" i="13"/>
  <c r="AF203" i="13"/>
  <c r="AM203" i="13"/>
  <c r="AI204" i="13"/>
  <c r="AC203" i="13"/>
  <c r="Q204" i="13"/>
  <c r="AJ204" i="13"/>
  <c r="H203" i="13"/>
  <c r="P203" i="13"/>
  <c r="AK204" i="13"/>
  <c r="AE203" i="13"/>
  <c r="AF204" i="13"/>
  <c r="AM204" i="13"/>
  <c r="D203" i="13"/>
  <c r="AD203" i="13"/>
  <c r="K204" i="13"/>
  <c r="AL204" i="13"/>
  <c r="F203" i="13"/>
  <c r="AB203" i="13"/>
  <c r="R203" i="13"/>
  <c r="AC204" i="13"/>
  <c r="AG203" i="13"/>
  <c r="H204" i="13"/>
  <c r="P204" i="13"/>
  <c r="AH203" i="13"/>
  <c r="D204" i="13"/>
  <c r="AD204" i="13"/>
  <c r="G203" i="13"/>
  <c r="AI203" i="13"/>
  <c r="F204" i="13"/>
  <c r="AE204" i="13"/>
  <c r="AK203" i="13"/>
  <c r="AG204" i="13"/>
  <c r="Q203" i="13"/>
  <c r="AJ203" i="13"/>
  <c r="AB204" i="13"/>
  <c r="R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G202" i="13"/>
  <c r="Q202" i="13"/>
  <c r="AL202" i="13"/>
  <c r="AM202" i="13"/>
  <c r="AF202" i="13"/>
  <c r="AC202" i="13"/>
  <c r="AE202" i="13"/>
  <c r="F202" i="13"/>
  <c r="AB202" i="13"/>
  <c r="AJ202" i="13"/>
  <c r="AK202" i="13"/>
  <c r="K202" i="13"/>
  <c r="V202" i="13"/>
  <c r="P202" i="13"/>
  <c r="H202" i="13"/>
  <c r="D202" i="13"/>
  <c r="R202" i="13"/>
  <c r="AG202" i="13"/>
  <c r="AH202" i="13"/>
  <c r="AM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AA200" i="13"/>
  <c r="K201" i="13"/>
  <c r="AF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K200" i="13"/>
  <c r="V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C201" i="13"/>
  <c r="AB201" i="13"/>
  <c r="AJ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H200" i="13"/>
  <c r="AF200" i="13"/>
  <c r="AK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D200" i="13"/>
  <c r="AI200" i="13"/>
  <c r="AL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H186" i="13"/>
  <c r="AH170" i="13"/>
  <c r="AH156" i="13"/>
  <c r="AH142" i="13"/>
  <c r="AH128" i="13"/>
  <c r="AH114" i="13"/>
  <c r="AH98" i="13"/>
  <c r="AH84" i="13"/>
  <c r="H201" i="13"/>
  <c r="Q185" i="13"/>
  <c r="Q164" i="13"/>
  <c r="Q140" i="13"/>
  <c r="Q122" i="13"/>
  <c r="Q101" i="13"/>
  <c r="Q77" i="13"/>
  <c r="Q56" i="13"/>
  <c r="Q39" i="13"/>
  <c r="Q17" i="13"/>
  <c r="AH194" i="13"/>
  <c r="AH177" i="13"/>
  <c r="AH155" i="13"/>
  <c r="AH138" i="13"/>
  <c r="AH119" i="13"/>
  <c r="AH97" i="13"/>
  <c r="AH80" i="13"/>
  <c r="AH62" i="13"/>
  <c r="AH46" i="13"/>
  <c r="AH26" i="13"/>
  <c r="AH10" i="13"/>
  <c r="G200" i="13"/>
  <c r="AH61" i="13"/>
  <c r="AH9" i="13"/>
  <c r="F201" i="13"/>
  <c r="Q162" i="13"/>
  <c r="Q99" i="13"/>
  <c r="Q75" i="13"/>
  <c r="Q37" i="13"/>
  <c r="AH192" i="13"/>
  <c r="AH134" i="13"/>
  <c r="AH95" i="13"/>
  <c r="AH60" i="13"/>
  <c r="AH24" i="13"/>
  <c r="Q200" i="13"/>
  <c r="Q182" i="13"/>
  <c r="Q116" i="13"/>
  <c r="Q74" i="13"/>
  <c r="Q31" i="13"/>
  <c r="AH191" i="13"/>
  <c r="AH152" i="13"/>
  <c r="AH113" i="13"/>
  <c r="AH77" i="13"/>
  <c r="AH59" i="13"/>
  <c r="AH23" i="13"/>
  <c r="P200" i="13"/>
  <c r="Q201" i="13"/>
  <c r="Q181" i="13"/>
  <c r="Q136" i="13"/>
  <c r="AH132" i="13"/>
  <c r="AH93" i="13"/>
  <c r="AH38" i="13"/>
  <c r="AH6" i="13"/>
  <c r="Q198" i="13"/>
  <c r="Q153" i="13"/>
  <c r="Q135" i="13"/>
  <c r="Q114" i="13"/>
  <c r="Q90" i="13"/>
  <c r="Q69" i="13"/>
  <c r="Q51" i="13"/>
  <c r="Q29" i="13"/>
  <c r="Q10" i="13"/>
  <c r="AH189" i="13"/>
  <c r="AH167" i="13"/>
  <c r="AH150" i="13"/>
  <c r="AH131" i="13"/>
  <c r="AH92" i="13"/>
  <c r="AH73" i="13"/>
  <c r="AH37" i="13"/>
  <c r="AH5" i="13"/>
  <c r="Q197" i="13"/>
  <c r="Q173" i="13"/>
  <c r="Q152" i="13"/>
  <c r="Q134" i="13"/>
  <c r="Q110" i="13"/>
  <c r="Q89" i="13"/>
  <c r="Q28" i="13"/>
  <c r="AH185" i="13"/>
  <c r="AH149" i="13"/>
  <c r="AH108" i="13"/>
  <c r="AH70" i="13"/>
  <c r="AH36" i="13"/>
  <c r="V200" i="13"/>
  <c r="Q196" i="13"/>
  <c r="Q172" i="13"/>
  <c r="Q109" i="13"/>
  <c r="Q44" i="13"/>
  <c r="AH182" i="13"/>
  <c r="AH126" i="13"/>
  <c r="AH69" i="13"/>
  <c r="AC200" i="13"/>
  <c r="Q171" i="13"/>
  <c r="Q150" i="13"/>
  <c r="Q87" i="13"/>
  <c r="Q26" i="13"/>
  <c r="AH145" i="13"/>
  <c r="D201" i="13"/>
  <c r="Q184" i="13"/>
  <c r="Q163" i="13"/>
  <c r="Q139" i="13"/>
  <c r="Q121" i="13"/>
  <c r="Q100" i="13"/>
  <c r="Q76" i="13"/>
  <c r="Q55" i="13"/>
  <c r="Q38" i="13"/>
  <c r="Q16" i="13"/>
  <c r="AH193" i="13"/>
  <c r="AH176" i="13"/>
  <c r="AH154" i="13"/>
  <c r="AH137" i="13"/>
  <c r="AH118" i="13"/>
  <c r="AH96" i="13"/>
  <c r="AH79" i="13"/>
  <c r="AH45" i="13"/>
  <c r="AH25" i="13"/>
  <c r="AE200" i="13"/>
  <c r="Q183" i="13"/>
  <c r="Q138" i="13"/>
  <c r="Q117" i="13"/>
  <c r="Q54" i="13"/>
  <c r="Q15" i="13"/>
  <c r="AH175" i="13"/>
  <c r="AH153" i="13"/>
  <c r="AH117" i="13"/>
  <c r="AH78" i="13"/>
  <c r="AH42" i="13"/>
  <c r="AH8" i="13"/>
  <c r="G201" i="13"/>
  <c r="Q158" i="13"/>
  <c r="Q137" i="13"/>
  <c r="Q92" i="13"/>
  <c r="Q53" i="13"/>
  <c r="Q14" i="13"/>
  <c r="AH169" i="13"/>
  <c r="AH133" i="13"/>
  <c r="AH94" i="13"/>
  <c r="AH41" i="13"/>
  <c r="AH7" i="13"/>
  <c r="Q199" i="13"/>
  <c r="Q157" i="13"/>
  <c r="Q115" i="13"/>
  <c r="Q91" i="13"/>
  <c r="Q73" i="13"/>
  <c r="Q52" i="13"/>
  <c r="Q30" i="13"/>
  <c r="Q13" i="13"/>
  <c r="AH190" i="13"/>
  <c r="AH168" i="13"/>
  <c r="AH151" i="13"/>
  <c r="AH110" i="13"/>
  <c r="AH74" i="13"/>
  <c r="AH56" i="13"/>
  <c r="AH22" i="13"/>
  <c r="R200" i="13"/>
  <c r="Q177" i="13"/>
  <c r="AH109" i="13"/>
  <c r="AH55" i="13"/>
  <c r="AH21" i="13"/>
  <c r="AG200" i="13"/>
  <c r="P201" i="13"/>
  <c r="Q68" i="13"/>
  <c r="Q9" i="13"/>
  <c r="AH166" i="13"/>
  <c r="AH127" i="13"/>
  <c r="AH91" i="13"/>
  <c r="AH54" i="13"/>
  <c r="AH20" i="13"/>
  <c r="AJ200" i="13"/>
  <c r="AE201" i="13"/>
  <c r="Q151" i="13"/>
  <c r="Q88" i="13"/>
  <c r="Q67" i="13"/>
  <c r="Q8" i="13"/>
  <c r="AH165" i="13"/>
  <c r="AH107" i="13"/>
  <c r="AH35" i="13"/>
  <c r="AK200" i="13"/>
  <c r="Q195" i="13"/>
  <c r="Q129" i="13"/>
  <c r="Q66" i="13"/>
  <c r="AH181" i="13"/>
  <c r="Q45" i="13"/>
  <c r="Q133" i="13"/>
  <c r="Q27" i="13"/>
  <c r="AH146" i="13"/>
  <c r="AH90" i="13"/>
  <c r="AH53" i="13"/>
  <c r="AH19" i="13"/>
  <c r="R201" i="13"/>
  <c r="Q105" i="13"/>
  <c r="Q43" i="13"/>
  <c r="Q7" i="13"/>
  <c r="AH164" i="13"/>
  <c r="Q165" i="13"/>
  <c r="Q81" i="13"/>
  <c r="AH197" i="13"/>
  <c r="AH121" i="13"/>
  <c r="AH66" i="13"/>
  <c r="AH12" i="13"/>
  <c r="AG201" i="13"/>
  <c r="Q149" i="13"/>
  <c r="Q62" i="13"/>
  <c r="AH180" i="13"/>
  <c r="AH120" i="13"/>
  <c r="AH65" i="13"/>
  <c r="AH11" i="13"/>
  <c r="AH201" i="13"/>
  <c r="Q148" i="13"/>
  <c r="Q61" i="13"/>
  <c r="AH179" i="13"/>
  <c r="AH106" i="13"/>
  <c r="AH50" i="13"/>
  <c r="F200" i="13"/>
  <c r="AI201" i="13"/>
  <c r="Q147" i="13"/>
  <c r="Q57" i="13"/>
  <c r="AH178" i="13"/>
  <c r="AH105" i="13"/>
  <c r="AH49" i="13"/>
  <c r="AB200" i="13"/>
  <c r="Q102" i="13"/>
  <c r="AH81" i="13"/>
  <c r="Q86" i="13"/>
  <c r="AH125" i="13"/>
  <c r="AH18" i="13"/>
  <c r="Q85" i="13"/>
  <c r="AH67" i="13"/>
  <c r="Q125" i="13"/>
  <c r="Q42" i="13"/>
  <c r="AH163" i="13"/>
  <c r="AH104" i="13"/>
  <c r="AH48" i="13"/>
  <c r="AH103" i="13"/>
  <c r="Y200" i="13"/>
  <c r="Q123" i="13"/>
  <c r="AH34" i="13"/>
  <c r="Q104" i="13"/>
  <c r="Q25" i="13"/>
  <c r="AH141" i="13"/>
  <c r="AH33" i="13"/>
  <c r="AL200" i="13"/>
  <c r="Q187" i="13"/>
  <c r="Q22" i="13"/>
  <c r="AH140" i="13"/>
  <c r="AH82" i="13"/>
  <c r="AM200" i="13"/>
  <c r="Q186" i="13"/>
  <c r="AH139" i="13"/>
  <c r="Q170" i="13"/>
  <c r="AH68" i="13"/>
  <c r="Q169" i="13"/>
  <c r="AH122" i="13"/>
  <c r="Q124" i="13"/>
  <c r="Q41" i="13"/>
  <c r="AH162" i="13"/>
  <c r="AH47" i="13"/>
  <c r="Q40" i="13"/>
  <c r="AH161" i="13"/>
  <c r="AH89" i="13"/>
  <c r="Q188" i="13"/>
  <c r="AH83" i="13"/>
  <c r="Q103" i="13"/>
  <c r="AH32" i="13"/>
  <c r="Q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I177" i="13"/>
  <c r="I179" i="13"/>
  <c r="AA199" i="13"/>
  <c r="P199" i="13"/>
  <c r="AC199" i="13"/>
  <c r="AG199" i="13"/>
  <c r="D199" i="13"/>
  <c r="AI199" i="13"/>
  <c r="AB199" i="13"/>
  <c r="AJ199" i="13"/>
  <c r="N199" i="13"/>
  <c r="AK199" i="13"/>
  <c r="AL199" i="13"/>
  <c r="G199" i="13"/>
  <c r="AE199" i="13"/>
  <c r="K199" i="13"/>
  <c r="V199" i="13"/>
  <c r="R199" i="13"/>
  <c r="H199" i="13"/>
  <c r="AF199" i="13"/>
  <c r="F199" i="13"/>
  <c r="Y199" i="13"/>
  <c r="AM199" i="13"/>
  <c r="K198" i="13"/>
  <c r="AA198" i="13"/>
  <c r="AA196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E196" i="13"/>
  <c r="V197" i="13"/>
  <c r="P197" i="13"/>
  <c r="AA37" i="13"/>
  <c r="AA192" i="13"/>
  <c r="AA132" i="13"/>
  <c r="AA84" i="13"/>
  <c r="AA48" i="13"/>
  <c r="H196" i="13"/>
  <c r="F198" i="13"/>
  <c r="AA155" i="13"/>
  <c r="AA107" i="13"/>
  <c r="AA71" i="13"/>
  <c r="AA23" i="13"/>
  <c r="AI196" i="13"/>
  <c r="AB198" i="13"/>
  <c r="AA130" i="13"/>
  <c r="AA70" i="13"/>
  <c r="AA34" i="13"/>
  <c r="F196" i="13"/>
  <c r="AA175" i="13"/>
  <c r="AA115" i="13"/>
  <c r="AA67" i="13"/>
  <c r="AA7" i="13"/>
  <c r="AA162" i="13"/>
  <c r="AA54" i="13"/>
  <c r="R196" i="13"/>
  <c r="AA197" i="13"/>
  <c r="AA101" i="13"/>
  <c r="AA53" i="13"/>
  <c r="AA17" i="13"/>
  <c r="V198" i="13"/>
  <c r="AA195" i="13"/>
  <c r="AA183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K196" i="13"/>
  <c r="AC197" i="13"/>
  <c r="AG197" i="13"/>
  <c r="AC196" i="13"/>
  <c r="AI197" i="13"/>
  <c r="AF198" i="13"/>
  <c r="AA168" i="13"/>
  <c r="AA156" i="13"/>
  <c r="AA120" i="13"/>
  <c r="AA96" i="13"/>
  <c r="AA60" i="13"/>
  <c r="AA36" i="13"/>
  <c r="AA12" i="13"/>
  <c r="F197" i="13"/>
  <c r="AJ197" i="13"/>
  <c r="AA179" i="13"/>
  <c r="AA143" i="13"/>
  <c r="AA119" i="13"/>
  <c r="AA83" i="13"/>
  <c r="AA59" i="13"/>
  <c r="AA35" i="13"/>
  <c r="D196" i="13"/>
  <c r="AK197" i="13"/>
  <c r="AJ198" i="13"/>
  <c r="AA178" i="13"/>
  <c r="AA166" i="13"/>
  <c r="AA142" i="13"/>
  <c r="AA106" i="13"/>
  <c r="AA94" i="13"/>
  <c r="AA58" i="13"/>
  <c r="AA22" i="13"/>
  <c r="AJ196" i="13"/>
  <c r="AL197" i="13"/>
  <c r="R198" i="13"/>
  <c r="AA151" i="13"/>
  <c r="AA139" i="13"/>
  <c r="AA91" i="13"/>
  <c r="AA55" i="13"/>
  <c r="AA19" i="13"/>
  <c r="AM196" i="13"/>
  <c r="AA174" i="13"/>
  <c r="AA150" i="13"/>
  <c r="AA138" i="13"/>
  <c r="AA114" i="13"/>
  <c r="AA90" i="13"/>
  <c r="AA78" i="13"/>
  <c r="AA30" i="13"/>
  <c r="AA6" i="13"/>
  <c r="AA185" i="13"/>
  <c r="AA173" i="13"/>
  <c r="AA149" i="13"/>
  <c r="AA113" i="13"/>
  <c r="AA89" i="13"/>
  <c r="AA65" i="13"/>
  <c r="AA29" i="13"/>
  <c r="AA5" i="13"/>
  <c r="AC198" i="13"/>
  <c r="P198" i="13"/>
  <c r="AA194" i="13"/>
  <c r="AA182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V196" i="13"/>
  <c r="P196" i="13"/>
  <c r="H197" i="13"/>
  <c r="AF197" i="13"/>
  <c r="H198" i="13"/>
  <c r="AG198" i="13"/>
  <c r="AA193" i="13"/>
  <c r="AA181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25" i="13"/>
  <c r="AA13" i="13"/>
  <c r="AG196" i="13"/>
  <c r="D197" i="13"/>
  <c r="D198" i="13"/>
  <c r="AA180" i="13"/>
  <c r="AA144" i="13"/>
  <c r="AA108" i="13"/>
  <c r="AA72" i="13"/>
  <c r="AA24" i="13"/>
  <c r="AF196" i="13"/>
  <c r="AI198" i="13"/>
  <c r="AA191" i="13"/>
  <c r="AA167" i="13"/>
  <c r="AA131" i="13"/>
  <c r="AA95" i="13"/>
  <c r="AA47" i="13"/>
  <c r="AA11" i="13"/>
  <c r="AB197" i="13"/>
  <c r="AA190" i="13"/>
  <c r="AA154" i="13"/>
  <c r="AA118" i="13"/>
  <c r="AA82" i="13"/>
  <c r="AA46" i="13"/>
  <c r="AA10" i="13"/>
  <c r="N197" i="13"/>
  <c r="AA187" i="13"/>
  <c r="AA163" i="13"/>
  <c r="AA127" i="13"/>
  <c r="AA79" i="13"/>
  <c r="AA31" i="13"/>
  <c r="G197" i="13"/>
  <c r="G198" i="13"/>
  <c r="AA126" i="13"/>
  <c r="AA102" i="13"/>
  <c r="AA66" i="13"/>
  <c r="AA18" i="13"/>
  <c r="AE197" i="13"/>
  <c r="AE198" i="13"/>
  <c r="AA161" i="13"/>
  <c r="AA125" i="13"/>
  <c r="AA77" i="13"/>
  <c r="AA41" i="13"/>
  <c r="G196" i="13"/>
  <c r="N198" i="13"/>
  <c r="AK198" i="13"/>
  <c r="AA189" i="13"/>
  <c r="AA177" i="13"/>
  <c r="AA165" i="13"/>
  <c r="AA153" i="13"/>
  <c r="AA141" i="13"/>
  <c r="AA129" i="13"/>
  <c r="AA117" i="13"/>
  <c r="AA105" i="13"/>
  <c r="AA93" i="13"/>
  <c r="AA81" i="13"/>
  <c r="AA69" i="13"/>
  <c r="AA57" i="13"/>
  <c r="AA45" i="13"/>
  <c r="AA33" i="13"/>
  <c r="AA21" i="13"/>
  <c r="AA9" i="13"/>
  <c r="AB196" i="13"/>
  <c r="AK196" i="13"/>
  <c r="Y197" i="13"/>
  <c r="AM197" i="13"/>
  <c r="Y198" i="13"/>
  <c r="AL198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44" i="13"/>
  <c r="AA32" i="13"/>
  <c r="AA20" i="13"/>
  <c r="AA8" i="13"/>
  <c r="N196" i="13"/>
  <c r="AL196" i="13"/>
  <c r="R197" i="13"/>
  <c r="AM198" i="13"/>
  <c r="AA103" i="13"/>
  <c r="AA43" i="13"/>
  <c r="Y196" i="13"/>
  <c r="AA186" i="13"/>
  <c r="AA42" i="13"/>
  <c r="AA137" i="13"/>
  <c r="K197" i="13"/>
  <c r="AE195" i="13"/>
  <c r="AE194" i="13"/>
  <c r="AF195" i="13"/>
  <c r="K195" i="13"/>
  <c r="K194" i="13"/>
  <c r="H194" i="13"/>
  <c r="V195" i="13"/>
  <c r="P195" i="13"/>
  <c r="V194" i="13"/>
  <c r="P194" i="13"/>
  <c r="AF194" i="13"/>
  <c r="AC195" i="13"/>
  <c r="AG195" i="13"/>
  <c r="AC194" i="13"/>
  <c r="AG194" i="13"/>
  <c r="H195" i="13"/>
  <c r="D195" i="13"/>
  <c r="AI195" i="13"/>
  <c r="D194" i="13"/>
  <c r="AI194" i="13"/>
  <c r="N195" i="13"/>
  <c r="F195" i="13"/>
  <c r="AJ195" i="13"/>
  <c r="F194" i="13"/>
  <c r="AJ194" i="13"/>
  <c r="AL195" i="13"/>
  <c r="AL194" i="13"/>
  <c r="AB195" i="13"/>
  <c r="AK195" i="13"/>
  <c r="AB194" i="13"/>
  <c r="AK194" i="13"/>
  <c r="N194" i="13"/>
  <c r="Y195" i="13"/>
  <c r="AM195" i="13"/>
  <c r="Y194" i="13"/>
  <c r="AM194" i="13"/>
  <c r="G194" i="13"/>
  <c r="R195" i="13"/>
  <c r="R194" i="13"/>
  <c r="G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H193" i="13"/>
  <c r="AJ193" i="13"/>
  <c r="AE49" i="13"/>
  <c r="G179" i="13"/>
  <c r="G155" i="13"/>
  <c r="G131" i="13"/>
  <c r="G107" i="13"/>
  <c r="G83" i="13"/>
  <c r="G59" i="13"/>
  <c r="G35" i="13"/>
  <c r="G11" i="13"/>
  <c r="AK193" i="13"/>
  <c r="G162" i="13"/>
  <c r="G102" i="13"/>
  <c r="G66" i="13"/>
  <c r="G6" i="13"/>
  <c r="G169" i="13"/>
  <c r="G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G191" i="13"/>
  <c r="G167" i="13"/>
  <c r="G143" i="13"/>
  <c r="G119" i="13"/>
  <c r="G95" i="13"/>
  <c r="G71" i="13"/>
  <c r="G47" i="13"/>
  <c r="G23" i="13"/>
  <c r="D193" i="13"/>
  <c r="G114" i="13"/>
  <c r="G18" i="13"/>
  <c r="G145" i="13"/>
  <c r="G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F193" i="13"/>
  <c r="AL193" i="13"/>
  <c r="G164" i="13"/>
  <c r="G30" i="13"/>
  <c r="G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AB193" i="13"/>
  <c r="AM193" i="13"/>
  <c r="G176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N193" i="13"/>
  <c r="G174" i="13"/>
  <c r="G126" i="13"/>
  <c r="G78" i="13"/>
  <c r="G42" i="13"/>
  <c r="R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G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Y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G186" i="13"/>
  <c r="G150" i="13"/>
  <c r="G138" i="13"/>
  <c r="G90" i="13"/>
  <c r="G54" i="13"/>
  <c r="G121" i="13"/>
  <c r="G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AE28" i="13"/>
  <c r="G122" i="13"/>
  <c r="G62" i="13"/>
  <c r="G26" i="13"/>
  <c r="AE171" i="13"/>
  <c r="AE135" i="13"/>
  <c r="AE99" i="13"/>
  <c r="AE39" i="13"/>
  <c r="AE27" i="13"/>
  <c r="G181" i="13"/>
  <c r="G109" i="13"/>
  <c r="G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P193" i="13"/>
  <c r="AE136" i="13"/>
  <c r="AE124" i="13"/>
  <c r="AE100" i="13"/>
  <c r="AE76" i="13"/>
  <c r="AE52" i="13"/>
  <c r="AE16" i="13"/>
  <c r="G182" i="13"/>
  <c r="G146" i="13"/>
  <c r="G98" i="13"/>
  <c r="G74" i="13"/>
  <c r="G38" i="13"/>
  <c r="AF193" i="13"/>
  <c r="AE159" i="13"/>
  <c r="AE123" i="13"/>
  <c r="AE75" i="13"/>
  <c r="AE63" i="13"/>
  <c r="G193" i="13"/>
  <c r="G133" i="13"/>
  <c r="G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K193" i="13"/>
  <c r="AG193" i="13"/>
  <c r="AE148" i="13"/>
  <c r="AE112" i="13"/>
  <c r="AE88" i="13"/>
  <c r="AE64" i="13"/>
  <c r="AE40" i="13"/>
  <c r="AE4" i="13"/>
  <c r="G170" i="13"/>
  <c r="G158" i="13"/>
  <c r="G110" i="13"/>
  <c r="G86" i="13"/>
  <c r="G50" i="13"/>
  <c r="V193" i="13"/>
  <c r="AE183" i="13"/>
  <c r="AE147" i="13"/>
  <c r="AE111" i="13"/>
  <c r="AE87" i="13"/>
  <c r="AE51" i="13"/>
  <c r="AE15" i="13"/>
  <c r="G157" i="13"/>
  <c r="G97" i="13"/>
  <c r="G13" i="13"/>
  <c r="AE184" i="13"/>
  <c r="AE172" i="13"/>
  <c r="AE160" i="13"/>
  <c r="G134" i="13"/>
  <c r="G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H192" i="13"/>
  <c r="AK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D192" i="13"/>
  <c r="AL192" i="13"/>
  <c r="R147" i="13"/>
  <c r="R51" i="13"/>
  <c r="R74" i="13"/>
  <c r="V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M192" i="13"/>
  <c r="R161" i="13"/>
  <c r="R89" i="13"/>
  <c r="R29" i="13"/>
  <c r="R184" i="13"/>
  <c r="R136" i="13"/>
  <c r="R76" i="13"/>
  <c r="R16" i="13"/>
  <c r="R159" i="13"/>
  <c r="R123" i="13"/>
  <c r="R63" i="13"/>
  <c r="AF192" i="13"/>
  <c r="R134" i="13"/>
  <c r="R50" i="13"/>
  <c r="AI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AB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J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N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Y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G192" i="13"/>
  <c r="R171" i="13"/>
  <c r="R135" i="13"/>
  <c r="R111" i="13"/>
  <c r="R75" i="13"/>
  <c r="R39" i="13"/>
  <c r="K192" i="13"/>
  <c r="R158" i="13"/>
  <c r="R122" i="13"/>
  <c r="R86" i="13"/>
  <c r="R62" i="13"/>
  <c r="R14" i="13"/>
  <c r="R133" i="13"/>
  <c r="R97" i="13"/>
  <c r="R61" i="13"/>
  <c r="R13" i="13"/>
  <c r="R146" i="13"/>
  <c r="AC192" i="13"/>
  <c r="AG191" i="13"/>
  <c r="AI191" i="13"/>
  <c r="AF191" i="13"/>
  <c r="AK191" i="13"/>
  <c r="K191" i="13"/>
  <c r="V191" i="13"/>
  <c r="AJ191" i="13"/>
  <c r="AC191" i="13"/>
  <c r="H191" i="13"/>
  <c r="AL191" i="13"/>
  <c r="D191" i="13"/>
  <c r="AM191" i="13"/>
  <c r="F191" i="13"/>
  <c r="AB191" i="13"/>
  <c r="N191" i="13"/>
  <c r="Y191" i="13"/>
  <c r="P191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Y186" i="13"/>
  <c r="H187" i="13"/>
  <c r="AL187" i="13"/>
  <c r="AG188" i="13"/>
  <c r="F189" i="13"/>
  <c r="V190" i="13"/>
  <c r="AK190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P186" i="13"/>
  <c r="D187" i="13"/>
  <c r="AM187" i="13"/>
  <c r="AF188" i="13"/>
  <c r="AB189" i="13"/>
  <c r="AC190" i="13"/>
  <c r="AL190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N181" i="13"/>
  <c r="N169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AG186" i="13"/>
  <c r="F187" i="13"/>
  <c r="AI188" i="13"/>
  <c r="Y189" i="13"/>
  <c r="H190" i="13"/>
  <c r="AM190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AF186" i="13"/>
  <c r="AB187" i="13"/>
  <c r="K188" i="13"/>
  <c r="AJ188" i="13"/>
  <c r="P189" i="13"/>
  <c r="D190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AI186" i="13"/>
  <c r="Y187" i="13"/>
  <c r="V188" i="13"/>
  <c r="AK188" i="13"/>
  <c r="AG189" i="13"/>
  <c r="F190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37" i="13"/>
  <c r="Y25" i="13"/>
  <c r="Y13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K186" i="13"/>
  <c r="AJ186" i="13"/>
  <c r="AC188" i="13"/>
  <c r="AL188" i="13"/>
  <c r="AF189" i="13"/>
  <c r="AB190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N189" i="13"/>
  <c r="N177" i="13"/>
  <c r="N165" i="13"/>
  <c r="N153" i="13"/>
  <c r="N141" i="13"/>
  <c r="N129" i="13"/>
  <c r="N117" i="13"/>
  <c r="N105" i="13"/>
  <c r="N93" i="13"/>
  <c r="N81" i="13"/>
  <c r="N69" i="13"/>
  <c r="N57" i="13"/>
  <c r="N45" i="13"/>
  <c r="N33" i="13"/>
  <c r="N21" i="13"/>
  <c r="N9" i="13"/>
  <c r="V186" i="13"/>
  <c r="AK186" i="13"/>
  <c r="P187" i="13"/>
  <c r="H188" i="13"/>
  <c r="AM188" i="13"/>
  <c r="AI189" i="13"/>
  <c r="Y190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1" i="13"/>
  <c r="N188" i="13"/>
  <c r="N176" i="13"/>
  <c r="N164" i="13"/>
  <c r="N152" i="13"/>
  <c r="N140" i="13"/>
  <c r="N128" i="13"/>
  <c r="N116" i="13"/>
  <c r="N104" i="13"/>
  <c r="N92" i="13"/>
  <c r="N80" i="13"/>
  <c r="N68" i="13"/>
  <c r="N56" i="13"/>
  <c r="N44" i="13"/>
  <c r="N32" i="13"/>
  <c r="N20" i="13"/>
  <c r="N8" i="13"/>
  <c r="AC186" i="13"/>
  <c r="AL186" i="13"/>
  <c r="AG187" i="13"/>
  <c r="D188" i="13"/>
  <c r="K189" i="13"/>
  <c r="AJ189" i="13"/>
  <c r="P190" i="13"/>
  <c r="Y178" i="13"/>
  <c r="Y166" i="13"/>
  <c r="Y154" i="13"/>
  <c r="Y142" i="13"/>
  <c r="Y130" i="13"/>
  <c r="Y118" i="13"/>
  <c r="Y106" i="13"/>
  <c r="Y94" i="13"/>
  <c r="Y82" i="13"/>
  <c r="Y70" i="13"/>
  <c r="Y58" i="13"/>
  <c r="Y46" i="13"/>
  <c r="Y34" i="13"/>
  <c r="Y22" i="13"/>
  <c r="Y10" i="13"/>
  <c r="N187" i="13"/>
  <c r="N175" i="13"/>
  <c r="N163" i="13"/>
  <c r="N151" i="13"/>
  <c r="N139" i="13"/>
  <c r="N127" i="13"/>
  <c r="N115" i="13"/>
  <c r="N103" i="13"/>
  <c r="N91" i="13"/>
  <c r="N79" i="13"/>
  <c r="N67" i="13"/>
  <c r="N55" i="13"/>
  <c r="N43" i="13"/>
  <c r="N31" i="13"/>
  <c r="N19" i="13"/>
  <c r="N7" i="13"/>
  <c r="H186" i="13"/>
  <c r="AM186" i="13"/>
  <c r="AF187" i="13"/>
  <c r="F188" i="13"/>
  <c r="V189" i="13"/>
  <c r="AK189" i="13"/>
  <c r="AG190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N186" i="13"/>
  <c r="N174" i="13"/>
  <c r="N162" i="13"/>
  <c r="N150" i="13"/>
  <c r="N138" i="13"/>
  <c r="N126" i="13"/>
  <c r="N114" i="13"/>
  <c r="N102" i="13"/>
  <c r="N90" i="13"/>
  <c r="N78" i="13"/>
  <c r="N66" i="13"/>
  <c r="N54" i="13"/>
  <c r="N42" i="13"/>
  <c r="N30" i="13"/>
  <c r="N18" i="13"/>
  <c r="N6" i="13"/>
  <c r="D186" i="13"/>
  <c r="K187" i="13"/>
  <c r="AI187" i="13"/>
  <c r="AB188" i="13"/>
  <c r="AC189" i="13"/>
  <c r="AL189" i="13"/>
  <c r="AF190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N185" i="13"/>
  <c r="N173" i="13"/>
  <c r="N161" i="13"/>
  <c r="N149" i="13"/>
  <c r="N137" i="13"/>
  <c r="N125" i="13"/>
  <c r="N113" i="13"/>
  <c r="N101" i="13"/>
  <c r="N89" i="13"/>
  <c r="N77" i="13"/>
  <c r="N65" i="13"/>
  <c r="N53" i="13"/>
  <c r="N41" i="13"/>
  <c r="N29" i="13"/>
  <c r="N17" i="13"/>
  <c r="N5" i="13"/>
  <c r="F186" i="13"/>
  <c r="V187" i="13"/>
  <c r="AJ187" i="13"/>
  <c r="Y188" i="13"/>
  <c r="H189" i="13"/>
  <c r="AM189" i="13"/>
  <c r="AI190" i="13"/>
  <c r="Y175" i="13"/>
  <c r="Y163" i="13"/>
  <c r="Y151" i="13"/>
  <c r="Y139" i="13"/>
  <c r="Y127" i="13"/>
  <c r="Y115" i="13"/>
  <c r="Y103" i="13"/>
  <c r="Y91" i="13"/>
  <c r="Y79" i="13"/>
  <c r="Y67" i="13"/>
  <c r="Y55" i="13"/>
  <c r="Y43" i="13"/>
  <c r="Y31" i="13"/>
  <c r="Y19" i="13"/>
  <c r="Y7" i="13"/>
  <c r="N184" i="13"/>
  <c r="N172" i="13"/>
  <c r="N160" i="13"/>
  <c r="N148" i="13"/>
  <c r="N136" i="13"/>
  <c r="N124" i="13"/>
  <c r="N112" i="13"/>
  <c r="N100" i="13"/>
  <c r="N88" i="13"/>
  <c r="N76" i="13"/>
  <c r="N64" i="13"/>
  <c r="N52" i="13"/>
  <c r="N40" i="13"/>
  <c r="N28" i="13"/>
  <c r="N16" i="13"/>
  <c r="N4" i="13"/>
  <c r="AB186" i="13"/>
  <c r="AC187" i="13"/>
  <c r="AK187" i="13"/>
  <c r="P188" i="13"/>
  <c r="D189" i="13"/>
  <c r="K190" i="13"/>
  <c r="AJ190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L25" i="36"/>
  <c r="M25" i="36" s="1"/>
  <c r="I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I175" i="13"/>
  <c r="N19" i="36"/>
  <c r="O19" i="36" s="1"/>
  <c r="N49" i="36"/>
  <c r="O49" i="36" s="1"/>
  <c r="N68" i="36"/>
  <c r="O68" i="36" s="1"/>
  <c r="I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I174" i="13"/>
  <c r="L191" i="36"/>
  <c r="M191" i="36" s="1"/>
  <c r="N121" i="36"/>
  <c r="O121" i="36" s="1"/>
  <c r="N131" i="36"/>
  <c r="O131" i="36" s="1"/>
  <c r="L148" i="36"/>
  <c r="N148" i="36" s="1"/>
  <c r="O148" i="36" s="1"/>
  <c r="I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I169" i="13"/>
  <c r="I180" i="13"/>
  <c r="I164" i="13"/>
  <c r="I156" i="13"/>
  <c r="I165" i="13"/>
  <c r="I154" i="13"/>
  <c r="I181" i="13"/>
  <c r="I166" i="13"/>
  <c r="N26" i="36"/>
  <c r="O26" i="36" s="1"/>
  <c r="N39" i="36"/>
  <c r="O39" i="36" s="1"/>
  <c r="N88" i="36"/>
  <c r="O88" i="36" s="1"/>
  <c r="N95" i="36"/>
  <c r="O95" i="36" s="1"/>
  <c r="N167" i="36"/>
  <c r="O167" i="36" s="1"/>
  <c r="I176" i="13"/>
  <c r="I183" i="13"/>
  <c r="I162" i="13"/>
  <c r="I151" i="13"/>
  <c r="I153" i="13"/>
  <c r="I158" i="13"/>
  <c r="N104" i="36"/>
  <c r="O104" i="36" s="1"/>
  <c r="N125" i="36"/>
  <c r="O125" i="36" s="1"/>
  <c r="L76" i="36"/>
  <c r="M76" i="36" s="1"/>
  <c r="I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I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I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I159" i="13"/>
  <c r="L15" i="36"/>
  <c r="M15" i="36" s="1"/>
  <c r="I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I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I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B185" i="13"/>
  <c r="AB184" i="13"/>
  <c r="AB172" i="13"/>
  <c r="AB160" i="13"/>
  <c r="AB148" i="13"/>
  <c r="AB136" i="13"/>
  <c r="AB124" i="13"/>
  <c r="AB112" i="13"/>
  <c r="AB100" i="13"/>
  <c r="AB88" i="13"/>
  <c r="AB76" i="13"/>
  <c r="AB64" i="13"/>
  <c r="AB52" i="13"/>
  <c r="AB40" i="13"/>
  <c r="AB28" i="13"/>
  <c r="AB16" i="13"/>
  <c r="AB4" i="13"/>
  <c r="AJ185" i="13"/>
  <c r="AB171" i="13"/>
  <c r="AB159" i="13"/>
  <c r="AB147" i="13"/>
  <c r="AB135" i="13"/>
  <c r="AB123" i="13"/>
  <c r="AB111" i="13"/>
  <c r="AB99" i="13"/>
  <c r="AB87" i="13"/>
  <c r="AB75" i="13"/>
  <c r="AB63" i="13"/>
  <c r="AB51" i="13"/>
  <c r="AB39" i="13"/>
  <c r="AB27" i="13"/>
  <c r="AB15" i="13"/>
  <c r="AG185" i="13"/>
  <c r="AK185" i="13"/>
  <c r="AB170" i="13"/>
  <c r="AB158" i="13"/>
  <c r="AB146" i="13"/>
  <c r="AB134" i="13"/>
  <c r="AB122" i="13"/>
  <c r="AB110" i="13"/>
  <c r="AB98" i="13"/>
  <c r="AB86" i="13"/>
  <c r="AB74" i="13"/>
  <c r="AB62" i="13"/>
  <c r="AB50" i="13"/>
  <c r="AB38" i="13"/>
  <c r="AB26" i="13"/>
  <c r="AB14" i="13"/>
  <c r="K185" i="13"/>
  <c r="AL185" i="13"/>
  <c r="AB169" i="13"/>
  <c r="AB157" i="13"/>
  <c r="AB145" i="13"/>
  <c r="AB133" i="13"/>
  <c r="AB121" i="13"/>
  <c r="AB109" i="13"/>
  <c r="AB97" i="13"/>
  <c r="AB85" i="13"/>
  <c r="AB73" i="13"/>
  <c r="AB61" i="13"/>
  <c r="AB49" i="13"/>
  <c r="AB37" i="13"/>
  <c r="AB25" i="13"/>
  <c r="AB13" i="13"/>
  <c r="V185" i="13"/>
  <c r="AM185" i="13"/>
  <c r="AB168" i="13"/>
  <c r="AB156" i="13"/>
  <c r="AB144" i="13"/>
  <c r="AB132" i="13"/>
  <c r="AB120" i="13"/>
  <c r="AB108" i="13"/>
  <c r="AB96" i="13"/>
  <c r="AB84" i="13"/>
  <c r="AB72" i="13"/>
  <c r="AB60" i="13"/>
  <c r="AB48" i="13"/>
  <c r="AB36" i="13"/>
  <c r="AB24" i="13"/>
  <c r="AB12" i="13"/>
  <c r="AC185" i="13"/>
  <c r="AB167" i="13"/>
  <c r="AB155" i="13"/>
  <c r="AB143" i="13"/>
  <c r="AB131" i="13"/>
  <c r="AB119" i="13"/>
  <c r="AB183" i="13"/>
  <c r="AB182" i="13"/>
  <c r="AB181" i="13"/>
  <c r="AB180" i="13"/>
  <c r="AB179" i="13"/>
  <c r="AB178" i="13"/>
  <c r="AB177" i="13"/>
  <c r="AB176" i="13"/>
  <c r="AB175" i="13"/>
  <c r="AB174" i="13"/>
  <c r="AB173" i="13"/>
  <c r="AB149" i="13"/>
  <c r="AB125" i="13"/>
  <c r="AB102" i="13"/>
  <c r="AB80" i="13"/>
  <c r="AB58" i="13"/>
  <c r="AB41" i="13"/>
  <c r="AB19" i="13"/>
  <c r="P185" i="13"/>
  <c r="AB142" i="13"/>
  <c r="AB118" i="13"/>
  <c r="AB101" i="13"/>
  <c r="AB79" i="13"/>
  <c r="AB57" i="13"/>
  <c r="AB35" i="13"/>
  <c r="AB18" i="13"/>
  <c r="AB165" i="13"/>
  <c r="AB141" i="13"/>
  <c r="AB117" i="13"/>
  <c r="AB95" i="13"/>
  <c r="AB56" i="13"/>
  <c r="AB34" i="13"/>
  <c r="AF185" i="13"/>
  <c r="AB164" i="13"/>
  <c r="AB116" i="13"/>
  <c r="AB77" i="13"/>
  <c r="AB55" i="13"/>
  <c r="AB11" i="13"/>
  <c r="AB163" i="13"/>
  <c r="AB115" i="13"/>
  <c r="AB71" i="13"/>
  <c r="AB54" i="13"/>
  <c r="AB10" i="13"/>
  <c r="AB162" i="13"/>
  <c r="AB114" i="13"/>
  <c r="AB92" i="13"/>
  <c r="AB53" i="13"/>
  <c r="AB9" i="13"/>
  <c r="AB137" i="13"/>
  <c r="AB113" i="13"/>
  <c r="AB69" i="13"/>
  <c r="AB30" i="13"/>
  <c r="AB8" i="13"/>
  <c r="AB107" i="13"/>
  <c r="AB68" i="13"/>
  <c r="AB29" i="13"/>
  <c r="AB153" i="13"/>
  <c r="AB106" i="13"/>
  <c r="AB67" i="13"/>
  <c r="AB45" i="13"/>
  <c r="AB6" i="13"/>
  <c r="AB128" i="13"/>
  <c r="AB105" i="13"/>
  <c r="AB66" i="13"/>
  <c r="AB22" i="13"/>
  <c r="AB5" i="13"/>
  <c r="AB151" i="13"/>
  <c r="AB127" i="13"/>
  <c r="AB104" i="13"/>
  <c r="AB82" i="13"/>
  <c r="AB43" i="13"/>
  <c r="AB21" i="13"/>
  <c r="H185" i="13"/>
  <c r="AB150" i="13"/>
  <c r="AB126" i="13"/>
  <c r="AB103" i="13"/>
  <c r="AB81" i="13"/>
  <c r="AB59" i="13"/>
  <c r="AB20" i="13"/>
  <c r="D185" i="13"/>
  <c r="AB166" i="13"/>
  <c r="F185" i="13"/>
  <c r="AB78" i="13"/>
  <c r="AB17" i="13"/>
  <c r="AB140" i="13"/>
  <c r="AB94" i="13"/>
  <c r="AB33" i="13"/>
  <c r="AB139" i="13"/>
  <c r="AB93" i="13"/>
  <c r="AB32" i="13"/>
  <c r="AI185" i="13"/>
  <c r="AB138" i="13"/>
  <c r="AB70" i="13"/>
  <c r="AB31" i="13"/>
  <c r="AB161" i="13"/>
  <c r="AB91" i="13"/>
  <c r="AB47" i="13"/>
  <c r="AB154" i="13"/>
  <c r="AB130" i="13"/>
  <c r="AB90" i="13"/>
  <c r="AB46" i="13"/>
  <c r="AB7" i="13"/>
  <c r="AB129" i="13"/>
  <c r="AB89" i="13"/>
  <c r="AB23" i="13"/>
  <c r="AB152" i="13"/>
  <c r="AB83" i="13"/>
  <c r="AB44" i="13"/>
  <c r="AB65" i="13"/>
  <c r="AB42" i="13"/>
  <c r="AG184" i="13"/>
  <c r="AM184" i="13"/>
  <c r="K184" i="13"/>
  <c r="V184" i="13"/>
  <c r="AC184" i="13"/>
  <c r="H184" i="13"/>
  <c r="D184" i="13"/>
  <c r="P184" i="13"/>
  <c r="F184" i="13"/>
  <c r="AF184" i="13"/>
  <c r="AK184" i="13"/>
  <c r="AI184" i="13"/>
  <c r="AL184" i="13"/>
  <c r="AJ184" i="13"/>
  <c r="E5" i="36"/>
  <c r="H3" i="36" s="1"/>
  <c r="H4" i="36" s="1"/>
  <c r="H5" i="36" s="1"/>
  <c r="D19" i="13"/>
  <c r="AJ13" i="13"/>
  <c r="AM31" i="13"/>
  <c r="AM35" i="13"/>
  <c r="D25" i="13"/>
  <c r="AC42" i="13"/>
  <c r="AG8" i="13"/>
  <c r="P51" i="13"/>
  <c r="AM20" i="13"/>
  <c r="AI71" i="13"/>
  <c r="AI18" i="13"/>
  <c r="P14" i="13"/>
  <c r="H64" i="13"/>
  <c r="F86" i="13"/>
  <c r="AK8" i="13"/>
  <c r="K20" i="13"/>
  <c r="F4" i="13"/>
  <c r="F9" i="13"/>
  <c r="K15" i="13"/>
  <c r="AL121" i="13"/>
  <c r="AJ27" i="13"/>
  <c r="AL15" i="13"/>
  <c r="AM47" i="13"/>
  <c r="AK57" i="13"/>
  <c r="V10" i="13"/>
  <c r="AC5" i="13"/>
  <c r="AF16" i="13"/>
  <c r="AJ21" i="13"/>
  <c r="AC68" i="13"/>
  <c r="P30" i="13"/>
  <c r="AC17" i="13"/>
  <c r="F23" i="13"/>
  <c r="AM10" i="13"/>
  <c r="H61" i="13"/>
  <c r="AI6" i="13"/>
  <c r="H12" i="13"/>
  <c r="D7" i="13"/>
  <c r="P24" i="13"/>
  <c r="K4" i="36"/>
  <c r="AG13" i="13"/>
  <c r="AK21" i="13"/>
  <c r="AL57" i="13"/>
  <c r="D5" i="13"/>
  <c r="AG6" i="13"/>
  <c r="AK6" i="13"/>
  <c r="F7" i="13"/>
  <c r="V8" i="13"/>
  <c r="AM8" i="13"/>
  <c r="H10" i="13"/>
  <c r="AJ11" i="13"/>
  <c r="P12" i="13"/>
  <c r="K13" i="13"/>
  <c r="AL13" i="13"/>
  <c r="AF14" i="13"/>
  <c r="AC15" i="13"/>
  <c r="AI16" i="13"/>
  <c r="D17" i="13"/>
  <c r="AG18" i="13"/>
  <c r="AK18" i="13"/>
  <c r="F19" i="13"/>
  <c r="AC20" i="13"/>
  <c r="AL21" i="13"/>
  <c r="AJ22" i="13"/>
  <c r="AI23" i="13"/>
  <c r="AF24" i="13"/>
  <c r="AF25" i="13"/>
  <c r="AK26" i="13"/>
  <c r="H29" i="13"/>
  <c r="P32" i="13"/>
  <c r="F34" i="13"/>
  <c r="AG36" i="13"/>
  <c r="AG38" i="13"/>
  <c r="K40" i="13"/>
  <c r="P42" i="13"/>
  <c r="K45" i="13"/>
  <c r="F58" i="13"/>
  <c r="AF72" i="13"/>
  <c r="AC76" i="13"/>
  <c r="AF81" i="13"/>
  <c r="AJ103" i="13"/>
  <c r="K8" i="13"/>
  <c r="AM15" i="13"/>
  <c r="F24" i="13"/>
  <c r="H68" i="13"/>
  <c r="AI4" i="13"/>
  <c r="P5" i="13"/>
  <c r="K6" i="13"/>
  <c r="AL6" i="13"/>
  <c r="AF7" i="13"/>
  <c r="AC8" i="13"/>
  <c r="AI9" i="13"/>
  <c r="D10" i="13"/>
  <c r="AG11" i="13"/>
  <c r="AK11" i="13"/>
  <c r="F12" i="13"/>
  <c r="V13" i="13"/>
  <c r="AM13" i="13"/>
  <c r="H15" i="13"/>
  <c r="AJ16" i="13"/>
  <c r="P17" i="13"/>
  <c r="K18" i="13"/>
  <c r="AL18" i="13"/>
  <c r="AF19" i="13"/>
  <c r="H20" i="13"/>
  <c r="AG21" i="13"/>
  <c r="AK22" i="13"/>
  <c r="AJ23" i="13"/>
  <c r="AM26" i="13"/>
  <c r="K28" i="13"/>
  <c r="P29" i="13"/>
  <c r="AJ30" i="13"/>
  <c r="AF32" i="13"/>
  <c r="AF34" i="13"/>
  <c r="K36" i="13"/>
  <c r="V38" i="13"/>
  <c r="V40" i="13"/>
  <c r="AI48" i="13"/>
  <c r="K52" i="13"/>
  <c r="AF58" i="13"/>
  <c r="AG65" i="13"/>
  <c r="AG69" i="13"/>
  <c r="AG88" i="13"/>
  <c r="K104" i="13"/>
  <c r="AF4" i="13"/>
  <c r="AI11" i="13"/>
  <c r="V20" i="13"/>
  <c r="AG45" i="13"/>
  <c r="AJ4" i="13"/>
  <c r="F5" i="13"/>
  <c r="V6" i="13"/>
  <c r="AM6" i="13"/>
  <c r="H8" i="13"/>
  <c r="AJ9" i="13"/>
  <c r="P10" i="13"/>
  <c r="K11" i="13"/>
  <c r="AL11" i="13"/>
  <c r="AF12" i="13"/>
  <c r="AC13" i="13"/>
  <c r="AI14" i="13"/>
  <c r="D15" i="13"/>
  <c r="AG16" i="13"/>
  <c r="AK16" i="13"/>
  <c r="F17" i="13"/>
  <c r="V18" i="13"/>
  <c r="AM18" i="13"/>
  <c r="D20" i="13"/>
  <c r="K21" i="13"/>
  <c r="AK23" i="13"/>
  <c r="AI24" i="13"/>
  <c r="AK25" i="13"/>
  <c r="V28" i="13"/>
  <c r="AF29" i="13"/>
  <c r="AC38" i="13"/>
  <c r="H40" i="13"/>
  <c r="AK45" i="13"/>
  <c r="H49" i="13"/>
  <c r="V52" i="13"/>
  <c r="AI55" i="13"/>
  <c r="AG62" i="13"/>
  <c r="K69" i="13"/>
  <c r="P73" i="13"/>
  <c r="P77" i="13"/>
  <c r="V88" i="13"/>
  <c r="F131" i="13"/>
  <c r="AM113" i="13"/>
  <c r="F110" i="13"/>
  <c r="AK106" i="13"/>
  <c r="D100" i="13"/>
  <c r="AF96" i="13"/>
  <c r="H93" i="13"/>
  <c r="AM87" i="13"/>
  <c r="AG86" i="13"/>
  <c r="D84" i="13"/>
  <c r="K81" i="13"/>
  <c r="AI79" i="13"/>
  <c r="D78" i="13"/>
  <c r="H77" i="13"/>
  <c r="K76" i="13"/>
  <c r="AC75" i="13"/>
  <c r="V74" i="13"/>
  <c r="D73" i="13"/>
  <c r="F72" i="13"/>
  <c r="AI70" i="13"/>
  <c r="AL69" i="13"/>
  <c r="V68" i="13"/>
  <c r="D67" i="13"/>
  <c r="F66" i="13"/>
  <c r="AJ65" i="13"/>
  <c r="V64" i="13"/>
  <c r="P63" i="13"/>
  <c r="AI62" i="13"/>
  <c r="AC61" i="13"/>
  <c r="AF60" i="13"/>
  <c r="AL59" i="13"/>
  <c r="K59" i="13"/>
  <c r="P58" i="13"/>
  <c r="AJ57" i="13"/>
  <c r="H56" i="13"/>
  <c r="AM54" i="13"/>
  <c r="V54" i="13"/>
  <c r="F53" i="13"/>
  <c r="AK52" i="13"/>
  <c r="AG52" i="13"/>
  <c r="D51" i="13"/>
  <c r="AI50" i="13"/>
  <c r="AC49" i="13"/>
  <c r="AF48" i="13"/>
  <c r="AL47" i="13"/>
  <c r="K47" i="13"/>
  <c r="P46" i="13"/>
  <c r="AJ45" i="13"/>
  <c r="H44" i="13"/>
  <c r="AM42" i="13"/>
  <c r="V42" i="13"/>
  <c r="F41" i="13"/>
  <c r="AK40" i="13"/>
  <c r="AG40" i="13"/>
  <c r="D39" i="13"/>
  <c r="AI38" i="13"/>
  <c r="AC37" i="13"/>
  <c r="AF36" i="13"/>
  <c r="AL35" i="13"/>
  <c r="K35" i="13"/>
  <c r="P34" i="13"/>
  <c r="AJ33" i="13"/>
  <c r="H32" i="13"/>
  <c r="AM30" i="13"/>
  <c r="V30" i="13"/>
  <c r="F29" i="13"/>
  <c r="AK28" i="13"/>
  <c r="AG28" i="13"/>
  <c r="D27" i="13"/>
  <c r="AI26" i="13"/>
  <c r="AC25" i="13"/>
  <c r="D136" i="13"/>
  <c r="AJ130" i="13"/>
  <c r="F121" i="13"/>
  <c r="P117" i="13"/>
  <c r="AG110" i="13"/>
  <c r="P103" i="13"/>
  <c r="AM99" i="13"/>
  <c r="K96" i="13"/>
  <c r="AK89" i="13"/>
  <c r="AI87" i="13"/>
  <c r="K84" i="13"/>
  <c r="AF82" i="13"/>
  <c r="AG81" i="13"/>
  <c r="H78" i="13"/>
  <c r="AG77" i="13"/>
  <c r="AG76" i="13"/>
  <c r="V75" i="13"/>
  <c r="K74" i="13"/>
  <c r="H73" i="13"/>
  <c r="P72" i="13"/>
  <c r="P71" i="13"/>
  <c r="AK69" i="13"/>
  <c r="K68" i="13"/>
  <c r="V67" i="13"/>
  <c r="P66" i="13"/>
  <c r="AI65" i="13"/>
  <c r="AM64" i="13"/>
  <c r="K64" i="13"/>
  <c r="D63" i="13"/>
  <c r="AM61" i="13"/>
  <c r="V61" i="13"/>
  <c r="F60" i="13"/>
  <c r="AK59" i="13"/>
  <c r="AG59" i="13"/>
  <c r="D58" i="13"/>
  <c r="AI57" i="13"/>
  <c r="AC56" i="13"/>
  <c r="AF55" i="13"/>
  <c r="AL54" i="13"/>
  <c r="K54" i="13"/>
  <c r="P53" i="13"/>
  <c r="AJ52" i="13"/>
  <c r="H51" i="13"/>
  <c r="AM49" i="13"/>
  <c r="V49" i="13"/>
  <c r="F48" i="13"/>
  <c r="AK47" i="13"/>
  <c r="AG47" i="13"/>
  <c r="D46" i="13"/>
  <c r="AI45" i="13"/>
  <c r="AC44" i="13"/>
  <c r="AF43" i="13"/>
  <c r="AL42" i="13"/>
  <c r="K42" i="13"/>
  <c r="P41" i="13"/>
  <c r="AJ40" i="13"/>
  <c r="H39" i="13"/>
  <c r="AM37" i="13"/>
  <c r="V37" i="13"/>
  <c r="F36" i="13"/>
  <c r="AK35" i="13"/>
  <c r="AG35" i="13"/>
  <c r="D34" i="13"/>
  <c r="AI33" i="13"/>
  <c r="AC32" i="13"/>
  <c r="AF31" i="13"/>
  <c r="AL30" i="13"/>
  <c r="V125" i="13"/>
  <c r="AL120" i="13"/>
  <c r="AL116" i="13"/>
  <c r="D113" i="13"/>
  <c r="AI109" i="13"/>
  <c r="F106" i="13"/>
  <c r="AL95" i="13"/>
  <c r="AK85" i="13"/>
  <c r="F82" i="13"/>
  <c r="P79" i="13"/>
  <c r="AC78" i="13"/>
  <c r="AG74" i="13"/>
  <c r="AC73" i="13"/>
  <c r="D72" i="13"/>
  <c r="D71" i="13"/>
  <c r="AF70" i="13"/>
  <c r="AJ69" i="13"/>
  <c r="AM68" i="13"/>
  <c r="AG68" i="13"/>
  <c r="K67" i="13"/>
  <c r="D66" i="13"/>
  <c r="AL64" i="13"/>
  <c r="AG64" i="13"/>
  <c r="H63" i="13"/>
  <c r="AF62" i="13"/>
  <c r="AL61" i="13"/>
  <c r="K61" i="13"/>
  <c r="P60" i="13"/>
  <c r="AJ59" i="13"/>
  <c r="H58" i="13"/>
  <c r="AM56" i="13"/>
  <c r="V56" i="13"/>
  <c r="F55" i="13"/>
  <c r="AK54" i="13"/>
  <c r="AG54" i="13"/>
  <c r="D53" i="13"/>
  <c r="AI52" i="13"/>
  <c r="AC51" i="13"/>
  <c r="AF50" i="13"/>
  <c r="AL49" i="13"/>
  <c r="K49" i="13"/>
  <c r="P48" i="13"/>
  <c r="AJ47" i="13"/>
  <c r="H46" i="13"/>
  <c r="AM44" i="13"/>
  <c r="V44" i="13"/>
  <c r="F43" i="13"/>
  <c r="AK42" i="13"/>
  <c r="AG42" i="13"/>
  <c r="D41" i="13"/>
  <c r="AI40" i="13"/>
  <c r="AC39" i="13"/>
  <c r="AF38" i="13"/>
  <c r="AL37" i="13"/>
  <c r="K37" i="13"/>
  <c r="P36" i="13"/>
  <c r="AJ35" i="13"/>
  <c r="H34" i="13"/>
  <c r="AM32" i="13"/>
  <c r="V32" i="13"/>
  <c r="F31" i="13"/>
  <c r="AK30" i="13"/>
  <c r="AG30" i="13"/>
  <c r="D29" i="13"/>
  <c r="AI28" i="13"/>
  <c r="AC27" i="13"/>
  <c r="AF26" i="13"/>
  <c r="AL25" i="13"/>
  <c r="V149" i="13"/>
  <c r="P141" i="13"/>
  <c r="K135" i="13"/>
  <c r="K130" i="13"/>
  <c r="AI124" i="13"/>
  <c r="AG113" i="13"/>
  <c r="AI102" i="13"/>
  <c r="K99" i="13"/>
  <c r="H92" i="13"/>
  <c r="F89" i="13"/>
  <c r="F87" i="13"/>
  <c r="AL83" i="13"/>
  <c r="P82" i="13"/>
  <c r="AL80" i="13"/>
  <c r="V79" i="13"/>
  <c r="V78" i="13"/>
  <c r="AM76" i="13"/>
  <c r="AM74" i="13"/>
  <c r="V73" i="13"/>
  <c r="K72" i="13"/>
  <c r="H71" i="13"/>
  <c r="F70" i="13"/>
  <c r="AI69" i="13"/>
  <c r="AL68" i="13"/>
  <c r="AM67" i="13"/>
  <c r="AG67" i="13"/>
  <c r="H66" i="13"/>
  <c r="AF65" i="13"/>
  <c r="AK64" i="13"/>
  <c r="AC63" i="13"/>
  <c r="F62" i="13"/>
  <c r="AK61" i="13"/>
  <c r="AG61" i="13"/>
  <c r="D60" i="13"/>
  <c r="AI59" i="13"/>
  <c r="AC58" i="13"/>
  <c r="AF57" i="13"/>
  <c r="AL56" i="13"/>
  <c r="K56" i="13"/>
  <c r="P55" i="13"/>
  <c r="AJ54" i="13"/>
  <c r="H53" i="13"/>
  <c r="AM51" i="13"/>
  <c r="V51" i="13"/>
  <c r="F50" i="13"/>
  <c r="AK49" i="13"/>
  <c r="AG49" i="13"/>
  <c r="D48" i="13"/>
  <c r="AI47" i="13"/>
  <c r="AC46" i="13"/>
  <c r="AF45" i="13"/>
  <c r="AL44" i="13"/>
  <c r="K44" i="13"/>
  <c r="P43" i="13"/>
  <c r="AJ42" i="13"/>
  <c r="H41" i="13"/>
  <c r="AM39" i="13"/>
  <c r="V39" i="13"/>
  <c r="F38" i="13"/>
  <c r="AK37" i="13"/>
  <c r="AG37" i="13"/>
  <c r="D36" i="13"/>
  <c r="AI35" i="13"/>
  <c r="AC34" i="13"/>
  <c r="AF33" i="13"/>
  <c r="AL32" i="13"/>
  <c r="K32" i="13"/>
  <c r="P31" i="13"/>
  <c r="H177" i="13"/>
  <c r="P120" i="13"/>
  <c r="AF116" i="13"/>
  <c r="K109" i="13"/>
  <c r="AI105" i="13"/>
  <c r="AL98" i="13"/>
  <c r="P95" i="13"/>
  <c r="AM91" i="13"/>
  <c r="H89" i="13"/>
  <c r="D87" i="13"/>
  <c r="AF85" i="13"/>
  <c r="AI83" i="13"/>
  <c r="AC82" i="13"/>
  <c r="AG79" i="13"/>
  <c r="K78" i="13"/>
  <c r="AL76" i="13"/>
  <c r="AM75" i="13"/>
  <c r="AL74" i="13"/>
  <c r="K73" i="13"/>
  <c r="AG72" i="13"/>
  <c r="AC71" i="13"/>
  <c r="P70" i="13"/>
  <c r="AK68" i="13"/>
  <c r="AL67" i="13"/>
  <c r="AC66" i="13"/>
  <c r="F65" i="13"/>
  <c r="AJ64" i="13"/>
  <c r="V63" i="13"/>
  <c r="P62" i="13"/>
  <c r="AJ61" i="13"/>
  <c r="H60" i="13"/>
  <c r="AM58" i="13"/>
  <c r="V58" i="13"/>
  <c r="F57" i="13"/>
  <c r="AK56" i="13"/>
  <c r="AG56" i="13"/>
  <c r="D55" i="13"/>
  <c r="AI54" i="13"/>
  <c r="AC53" i="13"/>
  <c r="AF52" i="13"/>
  <c r="AL51" i="13"/>
  <c r="K51" i="13"/>
  <c r="P50" i="13"/>
  <c r="AJ49" i="13"/>
  <c r="H48" i="13"/>
  <c r="AM46" i="13"/>
  <c r="V46" i="13"/>
  <c r="F45" i="13"/>
  <c r="AK44" i="13"/>
  <c r="AG44" i="13"/>
  <c r="D43" i="13"/>
  <c r="AI42" i="13"/>
  <c r="AC41" i="13"/>
  <c r="AF40" i="13"/>
  <c r="AL39" i="13"/>
  <c r="K39" i="13"/>
  <c r="P38" i="13"/>
  <c r="AJ37" i="13"/>
  <c r="H36" i="13"/>
  <c r="AM34" i="13"/>
  <c r="V34" i="13"/>
  <c r="F33" i="13"/>
  <c r="AK32" i="13"/>
  <c r="AG32" i="13"/>
  <c r="D31" i="13"/>
  <c r="AI30" i="13"/>
  <c r="AC29" i="13"/>
  <c r="AF28" i="13"/>
  <c r="AL27" i="13"/>
  <c r="K27" i="13"/>
  <c r="P26" i="13"/>
  <c r="AJ25" i="13"/>
  <c r="H24" i="13"/>
  <c r="AM22" i="13"/>
  <c r="V22" i="13"/>
  <c r="F21" i="13"/>
  <c r="AK20" i="13"/>
  <c r="AG20" i="13"/>
  <c r="P134" i="13"/>
  <c r="D129" i="13"/>
  <c r="V124" i="13"/>
  <c r="AK119" i="13"/>
  <c r="AF112" i="13"/>
  <c r="AL108" i="13"/>
  <c r="AC102" i="13"/>
  <c r="K95" i="13"/>
  <c r="AG89" i="13"/>
  <c r="V87" i="13"/>
  <c r="D85" i="13"/>
  <c r="P80" i="13"/>
  <c r="AK76" i="13"/>
  <c r="AI75" i="13"/>
  <c r="AK74" i="13"/>
  <c r="AM73" i="13"/>
  <c r="AG73" i="13"/>
  <c r="V71" i="13"/>
  <c r="D70" i="13"/>
  <c r="AF69" i="13"/>
  <c r="AK67" i="13"/>
  <c r="V66" i="13"/>
  <c r="P65" i="13"/>
  <c r="AI64" i="13"/>
  <c r="AM63" i="13"/>
  <c r="K63" i="13"/>
  <c r="D62" i="13"/>
  <c r="AI61" i="13"/>
  <c r="AC60" i="13"/>
  <c r="AF59" i="13"/>
  <c r="AL58" i="13"/>
  <c r="K58" i="13"/>
  <c r="P57" i="13"/>
  <c r="AJ56" i="13"/>
  <c r="H55" i="13"/>
  <c r="AM53" i="13"/>
  <c r="V53" i="13"/>
  <c r="F52" i="13"/>
  <c r="AK51" i="13"/>
  <c r="AG51" i="13"/>
  <c r="D50" i="13"/>
  <c r="AI49" i="13"/>
  <c r="AC48" i="13"/>
  <c r="AF47" i="13"/>
  <c r="AL46" i="13"/>
  <c r="K46" i="13"/>
  <c r="P45" i="13"/>
  <c r="AJ44" i="13"/>
  <c r="H43" i="13"/>
  <c r="AM41" i="13"/>
  <c r="V41" i="13"/>
  <c r="F40" i="13"/>
  <c r="AK39" i="13"/>
  <c r="AG39" i="13"/>
  <c r="D38" i="13"/>
  <c r="AI37" i="13"/>
  <c r="AC36" i="13"/>
  <c r="AF35" i="13"/>
  <c r="AL34" i="13"/>
  <c r="K34" i="13"/>
  <c r="P33" i="13"/>
  <c r="AJ32" i="13"/>
  <c r="H31" i="13"/>
  <c r="AM29" i="13"/>
  <c r="V29" i="13"/>
  <c r="F28" i="13"/>
  <c r="AK27" i="13"/>
  <c r="AG27" i="13"/>
  <c r="D26" i="13"/>
  <c r="AI25" i="13"/>
  <c r="AC24" i="13"/>
  <c r="AF23" i="13"/>
  <c r="AL22" i="13"/>
  <c r="K22" i="13"/>
  <c r="AF166" i="13"/>
  <c r="AG147" i="13"/>
  <c r="AJ128" i="13"/>
  <c r="AI123" i="13"/>
  <c r="AC112" i="13"/>
  <c r="AC105" i="13"/>
  <c r="AM101" i="13"/>
  <c r="D98" i="13"/>
  <c r="AJ94" i="13"/>
  <c r="V91" i="13"/>
  <c r="AM88" i="13"/>
  <c r="AC85" i="13"/>
  <c r="P83" i="13"/>
  <c r="AL81" i="13"/>
  <c r="D80" i="13"/>
  <c r="AK77" i="13"/>
  <c r="AJ76" i="13"/>
  <c r="AJ74" i="13"/>
  <c r="AL73" i="13"/>
  <c r="AL72" i="13"/>
  <c r="K71" i="13"/>
  <c r="H70" i="13"/>
  <c r="F69" i="13"/>
  <c r="AF68" i="13"/>
  <c r="AJ67" i="13"/>
  <c r="AM66" i="13"/>
  <c r="K66" i="13"/>
  <c r="D65" i="13"/>
  <c r="AL63" i="13"/>
  <c r="H62" i="13"/>
  <c r="AM60" i="13"/>
  <c r="V60" i="13"/>
  <c r="F59" i="13"/>
  <c r="AK58" i="13"/>
  <c r="AG58" i="13"/>
  <c r="D57" i="13"/>
  <c r="AI56" i="13"/>
  <c r="AC55" i="13"/>
  <c r="AF54" i="13"/>
  <c r="AL53" i="13"/>
  <c r="K53" i="13"/>
  <c r="P52" i="13"/>
  <c r="AJ51" i="13"/>
  <c r="H50" i="13"/>
  <c r="AM48" i="13"/>
  <c r="V48" i="13"/>
  <c r="F47" i="13"/>
  <c r="AK46" i="13"/>
  <c r="AG46" i="13"/>
  <c r="D45" i="13"/>
  <c r="AI44" i="13"/>
  <c r="AC43" i="13"/>
  <c r="AF42" i="13"/>
  <c r="AL41" i="13"/>
  <c r="K41" i="13"/>
  <c r="P40" i="13"/>
  <c r="AJ39" i="13"/>
  <c r="H38" i="13"/>
  <c r="AM36" i="13"/>
  <c r="V36" i="13"/>
  <c r="F35" i="13"/>
  <c r="AK34" i="13"/>
  <c r="AG34" i="13"/>
  <c r="D33" i="13"/>
  <c r="AI32" i="13"/>
  <c r="AC31" i="13"/>
  <c r="AF30" i="13"/>
  <c r="AL29" i="13"/>
  <c r="K29" i="13"/>
  <c r="V139" i="13"/>
  <c r="AF133" i="13"/>
  <c r="P119" i="13"/>
  <c r="AF115" i="13"/>
  <c r="AJ111" i="13"/>
  <c r="D108" i="13"/>
  <c r="AM104" i="13"/>
  <c r="AG98" i="13"/>
  <c r="AM90" i="13"/>
  <c r="AK88" i="13"/>
  <c r="AK86" i="13"/>
  <c r="AG85" i="13"/>
  <c r="AC83" i="13"/>
  <c r="AK81" i="13"/>
  <c r="H80" i="13"/>
  <c r="AM78" i="13"/>
  <c r="AI77" i="13"/>
  <c r="AI76" i="13"/>
  <c r="AF75" i="13"/>
  <c r="AI74" i="13"/>
  <c r="AK73" i="13"/>
  <c r="AK72" i="13"/>
  <c r="AM71" i="13"/>
  <c r="AG71" i="13"/>
  <c r="AC70" i="13"/>
  <c r="H69" i="13"/>
  <c r="F68" i="13"/>
  <c r="AI67" i="13"/>
  <c r="AL66" i="13"/>
  <c r="AG66" i="13"/>
  <c r="H65" i="13"/>
  <c r="AF64" i="13"/>
  <c r="AJ63" i="13"/>
  <c r="AC62" i="13"/>
  <c r="AF61" i="13"/>
  <c r="AL60" i="13"/>
  <c r="K60" i="13"/>
  <c r="P59" i="13"/>
  <c r="AJ58" i="13"/>
  <c r="H57" i="13"/>
  <c r="AM55" i="13"/>
  <c r="V55" i="13"/>
  <c r="F54" i="13"/>
  <c r="AK53" i="13"/>
  <c r="AG53" i="13"/>
  <c r="D52" i="13"/>
  <c r="AI51" i="13"/>
  <c r="AC50" i="13"/>
  <c r="AF49" i="13"/>
  <c r="AL48" i="13"/>
  <c r="K48" i="13"/>
  <c r="P47" i="13"/>
  <c r="AJ46" i="13"/>
  <c r="H45" i="13"/>
  <c r="AM43" i="13"/>
  <c r="V43" i="13"/>
  <c r="F42" i="13"/>
  <c r="AK41" i="13"/>
  <c r="AG41" i="13"/>
  <c r="D40" i="13"/>
  <c r="AI153" i="13"/>
  <c r="AI145" i="13"/>
  <c r="AL132" i="13"/>
  <c r="AK118" i="13"/>
  <c r="K115" i="13"/>
  <c r="AG108" i="13"/>
  <c r="P101" i="13"/>
  <c r="P94" i="13"/>
  <c r="AJ90" i="13"/>
  <c r="AI86" i="13"/>
  <c r="AL84" i="13"/>
  <c r="V83" i="13"/>
  <c r="AJ81" i="13"/>
  <c r="K80" i="13"/>
  <c r="AL78" i="13"/>
  <c r="F75" i="13"/>
  <c r="AJ72" i="13"/>
  <c r="AL71" i="13"/>
  <c r="V70" i="13"/>
  <c r="AC69" i="13"/>
  <c r="P68" i="13"/>
  <c r="AK66" i="13"/>
  <c r="AC65" i="13"/>
  <c r="P64" i="13"/>
  <c r="AI63" i="13"/>
  <c r="AM62" i="13"/>
  <c r="V62" i="13"/>
  <c r="F61" i="13"/>
  <c r="AK60" i="13"/>
  <c r="AG60" i="13"/>
  <c r="D59" i="13"/>
  <c r="AI58" i="13"/>
  <c r="AC57" i="13"/>
  <c r="AF56" i="13"/>
  <c r="AL55" i="13"/>
  <c r="K55" i="13"/>
  <c r="P54" i="13"/>
  <c r="AJ53" i="13"/>
  <c r="H52" i="13"/>
  <c r="AM50" i="13"/>
  <c r="V50" i="13"/>
  <c r="F49" i="13"/>
  <c r="AK48" i="13"/>
  <c r="AG48" i="13"/>
  <c r="D47" i="13"/>
  <c r="AI46" i="13"/>
  <c r="AC45" i="13"/>
  <c r="AF44" i="13"/>
  <c r="AL43" i="13"/>
  <c r="AG164" i="13"/>
  <c r="H138" i="13"/>
  <c r="AJ114" i="13"/>
  <c r="H111" i="13"/>
  <c r="F104" i="13"/>
  <c r="K101" i="13"/>
  <c r="H97" i="13"/>
  <c r="D88" i="13"/>
  <c r="AI84" i="13"/>
  <c r="K83" i="13"/>
  <c r="AM79" i="13"/>
  <c r="AJ78" i="13"/>
  <c r="AF77" i="13"/>
  <c r="D76" i="13"/>
  <c r="P75" i="13"/>
  <c r="AF74" i="13"/>
  <c r="AF73" i="13"/>
  <c r="AI72" i="13"/>
  <c r="AK71" i="13"/>
  <c r="V69" i="13"/>
  <c r="D68" i="13"/>
  <c r="AF67" i="13"/>
  <c r="AJ66" i="13"/>
  <c r="K65" i="13"/>
  <c r="D64" i="13"/>
  <c r="AL62" i="13"/>
  <c r="K62" i="13"/>
  <c r="P61" i="13"/>
  <c r="AJ60" i="13"/>
  <c r="H59" i="13"/>
  <c r="AM57" i="13"/>
  <c r="V57" i="13"/>
  <c r="F56" i="13"/>
  <c r="AK55" i="13"/>
  <c r="AG55" i="13"/>
  <c r="D54" i="13"/>
  <c r="AI53" i="13"/>
  <c r="AC52" i="13"/>
  <c r="AF51" i="13"/>
  <c r="AL50" i="13"/>
  <c r="K50" i="13"/>
  <c r="P49" i="13"/>
  <c r="AJ48" i="13"/>
  <c r="H47" i="13"/>
  <c r="AM45" i="13"/>
  <c r="V45" i="13"/>
  <c r="F44" i="13"/>
  <c r="AK43" i="13"/>
  <c r="AG43" i="13"/>
  <c r="D42" i="13"/>
  <c r="AI41" i="13"/>
  <c r="AC40" i="13"/>
  <c r="AF39" i="13"/>
  <c r="AL38" i="13"/>
  <c r="K38" i="13"/>
  <c r="P37" i="13"/>
  <c r="AJ36" i="13"/>
  <c r="H35" i="13"/>
  <c r="AM33" i="13"/>
  <c r="V33" i="13"/>
  <c r="F32" i="13"/>
  <c r="AK31" i="13"/>
  <c r="AG31" i="13"/>
  <c r="D30" i="13"/>
  <c r="AI29" i="13"/>
  <c r="AC28" i="13"/>
  <c r="AF27" i="13"/>
  <c r="AL26" i="13"/>
  <c r="K26" i="13"/>
  <c r="P25" i="13"/>
  <c r="AJ24" i="13"/>
  <c r="H23" i="13"/>
  <c r="AM21" i="13"/>
  <c r="V21" i="13"/>
  <c r="AL8" i="13"/>
  <c r="AK13" i="13"/>
  <c r="AJ18" i="13"/>
  <c r="AJ26" i="13"/>
  <c r="AG29" i="13"/>
  <c r="D32" i="13"/>
  <c r="H42" i="13"/>
  <c r="V76" i="13"/>
  <c r="AM110" i="13"/>
  <c r="AG4" i="13"/>
  <c r="AK4" i="13"/>
  <c r="AF5" i="13"/>
  <c r="AC6" i="13"/>
  <c r="AI7" i="13"/>
  <c r="D8" i="13"/>
  <c r="AG9" i="13"/>
  <c r="AK9" i="13"/>
  <c r="F10" i="13"/>
  <c r="V11" i="13"/>
  <c r="AM11" i="13"/>
  <c r="H13" i="13"/>
  <c r="AJ14" i="13"/>
  <c r="P15" i="13"/>
  <c r="K16" i="13"/>
  <c r="AL16" i="13"/>
  <c r="AF17" i="13"/>
  <c r="AC18" i="13"/>
  <c r="AI19" i="13"/>
  <c r="P20" i="13"/>
  <c r="AC21" i="13"/>
  <c r="AG22" i="13"/>
  <c r="AL23" i="13"/>
  <c r="AK24" i="13"/>
  <c r="AM25" i="13"/>
  <c r="H28" i="13"/>
  <c r="AG33" i="13"/>
  <c r="AI34" i="13"/>
  <c r="AI36" i="13"/>
  <c r="AL45" i="13"/>
  <c r="D49" i="13"/>
  <c r="AJ55" i="13"/>
  <c r="V59" i="13"/>
  <c r="AK65" i="13"/>
  <c r="F73" i="13"/>
  <c r="F77" i="13"/>
  <c r="AJ82" i="13"/>
  <c r="AL96" i="13"/>
  <c r="H114" i="13"/>
  <c r="P122" i="13"/>
  <c r="K132" i="13"/>
  <c r="AF9" i="13"/>
  <c r="F14" i="13"/>
  <c r="P19" i="13"/>
  <c r="AM27" i="13"/>
  <c r="F30" i="13"/>
  <c r="AI39" i="13"/>
  <c r="D61" i="13"/>
  <c r="AJ71" i="13"/>
  <c r="AM180" i="13"/>
  <c r="K4" i="13"/>
  <c r="AL4" i="13"/>
  <c r="H6" i="13"/>
  <c r="AJ7" i="13"/>
  <c r="P8" i="13"/>
  <c r="K9" i="13"/>
  <c r="AL9" i="13"/>
  <c r="AF10" i="13"/>
  <c r="AC11" i="13"/>
  <c r="AI12" i="13"/>
  <c r="D13" i="13"/>
  <c r="AG14" i="13"/>
  <c r="AK14" i="13"/>
  <c r="F15" i="13"/>
  <c r="V16" i="13"/>
  <c r="AM16" i="13"/>
  <c r="H18" i="13"/>
  <c r="AJ19" i="13"/>
  <c r="F20" i="13"/>
  <c r="H21" i="13"/>
  <c r="AC22" i="13"/>
  <c r="AG23" i="13"/>
  <c r="AM23" i="13"/>
  <c r="AL24" i="13"/>
  <c r="V27" i="13"/>
  <c r="D28" i="13"/>
  <c r="AJ29" i="13"/>
  <c r="K31" i="13"/>
  <c r="K33" i="13"/>
  <c r="AJ34" i="13"/>
  <c r="AK36" i="13"/>
  <c r="AJ38" i="13"/>
  <c r="AL40" i="13"/>
  <c r="K43" i="13"/>
  <c r="F46" i="13"/>
  <c r="AL52" i="13"/>
  <c r="D56" i="13"/>
  <c r="AC59" i="13"/>
  <c r="AJ62" i="13"/>
  <c r="AL65" i="13"/>
  <c r="AM69" i="13"/>
  <c r="AJ6" i="13"/>
  <c r="F25" i="13"/>
  <c r="AJ93" i="13"/>
  <c r="V4" i="13"/>
  <c r="AM4" i="13"/>
  <c r="AI5" i="13"/>
  <c r="D6" i="13"/>
  <c r="AG7" i="13"/>
  <c r="AK7" i="13"/>
  <c r="F8" i="13"/>
  <c r="V9" i="13"/>
  <c r="AM9" i="13"/>
  <c r="H11" i="13"/>
  <c r="AJ12" i="13"/>
  <c r="P13" i="13"/>
  <c r="K14" i="13"/>
  <c r="AL14" i="13"/>
  <c r="AF15" i="13"/>
  <c r="AC16" i="13"/>
  <c r="AI17" i="13"/>
  <c r="D18" i="13"/>
  <c r="AG19" i="13"/>
  <c r="AK19" i="13"/>
  <c r="AF20" i="13"/>
  <c r="D21" i="13"/>
  <c r="H22" i="13"/>
  <c r="K23" i="13"/>
  <c r="AM24" i="13"/>
  <c r="AG26" i="13"/>
  <c r="H27" i="13"/>
  <c r="P28" i="13"/>
  <c r="AK29" i="13"/>
  <c r="V31" i="13"/>
  <c r="AC33" i="13"/>
  <c r="V35" i="13"/>
  <c r="AL36" i="13"/>
  <c r="AK38" i="13"/>
  <c r="AM40" i="13"/>
  <c r="AF46" i="13"/>
  <c r="AM52" i="13"/>
  <c r="P56" i="13"/>
  <c r="AK62" i="13"/>
  <c r="AC74" i="13"/>
  <c r="F78" i="13"/>
  <c r="V90" i="13"/>
  <c r="AC107" i="13"/>
  <c r="H5" i="13"/>
  <c r="D12" i="13"/>
  <c r="H17" i="13"/>
  <c r="F51" i="13"/>
  <c r="AC4" i="13"/>
  <c r="AJ5" i="13"/>
  <c r="P6" i="13"/>
  <c r="K7" i="13"/>
  <c r="AL7" i="13"/>
  <c r="AF8" i="13"/>
  <c r="AC9" i="13"/>
  <c r="AI10" i="13"/>
  <c r="D11" i="13"/>
  <c r="AG12" i="13"/>
  <c r="AK12" i="13"/>
  <c r="F13" i="13"/>
  <c r="V14" i="13"/>
  <c r="AM14" i="13"/>
  <c r="H16" i="13"/>
  <c r="AJ17" i="13"/>
  <c r="P18" i="13"/>
  <c r="K19" i="13"/>
  <c r="AL19" i="13"/>
  <c r="P21" i="13"/>
  <c r="D22" i="13"/>
  <c r="V23" i="13"/>
  <c r="AG24" i="13"/>
  <c r="AG25" i="13"/>
  <c r="V26" i="13"/>
  <c r="P27" i="13"/>
  <c r="H33" i="13"/>
  <c r="AC35" i="13"/>
  <c r="H37" i="13"/>
  <c r="AM38" i="13"/>
  <c r="AI43" i="13"/>
  <c r="AG50" i="13"/>
  <c r="AF53" i="13"/>
  <c r="AM59" i="13"/>
  <c r="F63" i="13"/>
  <c r="AI66" i="13"/>
  <c r="F74" i="13"/>
  <c r="AF84" i="13"/>
  <c r="F90" i="13"/>
  <c r="AF107" i="13"/>
  <c r="P7" i="13"/>
  <c r="V15" i="13"/>
  <c r="AI22" i="13"/>
  <c r="H81" i="13"/>
  <c r="H4" i="13"/>
  <c r="AG5" i="13"/>
  <c r="AK5" i="13"/>
  <c r="F6" i="13"/>
  <c r="V7" i="13"/>
  <c r="AM7" i="13"/>
  <c r="H9" i="13"/>
  <c r="AJ10" i="13"/>
  <c r="P11" i="13"/>
  <c r="K12" i="13"/>
  <c r="AL12" i="13"/>
  <c r="AF13" i="13"/>
  <c r="AC14" i="13"/>
  <c r="AI15" i="13"/>
  <c r="D16" i="13"/>
  <c r="AG17" i="13"/>
  <c r="AK17" i="13"/>
  <c r="F18" i="13"/>
  <c r="V19" i="13"/>
  <c r="AM19" i="13"/>
  <c r="AI20" i="13"/>
  <c r="AF21" i="13"/>
  <c r="P22" i="13"/>
  <c r="AC23" i="13"/>
  <c r="K24" i="13"/>
  <c r="K25" i="13"/>
  <c r="AC26" i="13"/>
  <c r="F27" i="13"/>
  <c r="AJ28" i="13"/>
  <c r="K30" i="13"/>
  <c r="AI31" i="13"/>
  <c r="D35" i="13"/>
  <c r="D37" i="13"/>
  <c r="AF41" i="13"/>
  <c r="AJ43" i="13"/>
  <c r="V47" i="13"/>
  <c r="AG57" i="13"/>
  <c r="AF63" i="13"/>
  <c r="P67" i="13"/>
  <c r="AJ70" i="13"/>
  <c r="AC10" i="13"/>
  <c r="K5" i="13"/>
  <c r="AF6" i="13"/>
  <c r="AC7" i="13"/>
  <c r="AI8" i="13"/>
  <c r="D9" i="13"/>
  <c r="AG10" i="13"/>
  <c r="AK10" i="13"/>
  <c r="F11" i="13"/>
  <c r="V12" i="13"/>
  <c r="AM12" i="13"/>
  <c r="H14" i="13"/>
  <c r="AJ15" i="13"/>
  <c r="P16" i="13"/>
  <c r="K17" i="13"/>
  <c r="AL17" i="13"/>
  <c r="AF18" i="13"/>
  <c r="AC19" i="13"/>
  <c r="AJ20" i="13"/>
  <c r="F22" i="13"/>
  <c r="D23" i="13"/>
  <c r="V24" i="13"/>
  <c r="V25" i="13"/>
  <c r="H26" i="13"/>
  <c r="AL28" i="13"/>
  <c r="AC30" i="13"/>
  <c r="AJ31" i="13"/>
  <c r="AK33" i="13"/>
  <c r="P35" i="13"/>
  <c r="F37" i="13"/>
  <c r="P39" i="13"/>
  <c r="D44" i="13"/>
  <c r="AC47" i="13"/>
  <c r="AJ50" i="13"/>
  <c r="AC54" i="13"/>
  <c r="K57" i="13"/>
  <c r="F67" i="13"/>
  <c r="AM70" i="13"/>
  <c r="H75" i="13"/>
  <c r="AJ79" i="13"/>
  <c r="AI100" i="13"/>
  <c r="AL117" i="13"/>
  <c r="D4" i="13"/>
  <c r="AL5" i="13"/>
  <c r="P4" i="13"/>
  <c r="V5" i="13"/>
  <c r="AM5" i="13"/>
  <c r="H7" i="13"/>
  <c r="AJ8" i="13"/>
  <c r="P9" i="13"/>
  <c r="K10" i="13"/>
  <c r="AL10" i="13"/>
  <c r="AF11" i="13"/>
  <c r="AC12" i="13"/>
  <c r="AI13" i="13"/>
  <c r="D14" i="13"/>
  <c r="AG15" i="13"/>
  <c r="AK15" i="13"/>
  <c r="F16" i="13"/>
  <c r="V17" i="13"/>
  <c r="AM17" i="13"/>
  <c r="H19" i="13"/>
  <c r="AL20" i="13"/>
  <c r="AI21" i="13"/>
  <c r="AF22" i="13"/>
  <c r="P23" i="13"/>
  <c r="D24" i="13"/>
  <c r="H25" i="13"/>
  <c r="F26" i="13"/>
  <c r="AI27" i="13"/>
  <c r="AM28" i="13"/>
  <c r="H30" i="13"/>
  <c r="AL31" i="13"/>
  <c r="AL33" i="13"/>
  <c r="AF37" i="13"/>
  <c r="F39" i="13"/>
  <c r="AJ41" i="13"/>
  <c r="P44" i="13"/>
  <c r="AK50" i="13"/>
  <c r="H54" i="13"/>
  <c r="AI60" i="13"/>
  <c r="AC64" i="13"/>
  <c r="D75" i="13"/>
  <c r="AK79" i="13"/>
  <c r="AC86" i="13"/>
  <c r="D118" i="13"/>
  <c r="D127" i="13"/>
  <c r="AG137" i="13"/>
  <c r="K182" i="13"/>
  <c r="AL180" i="13"/>
  <c r="F179" i="13"/>
  <c r="AC178" i="13"/>
  <c r="V177" i="13"/>
  <c r="K176" i="13"/>
  <c r="V175" i="13"/>
  <c r="K174" i="13"/>
  <c r="AG173" i="13"/>
  <c r="V172" i="13"/>
  <c r="H171" i="13"/>
  <c r="F170" i="13"/>
  <c r="AK169" i="13"/>
  <c r="H167" i="13"/>
  <c r="F166" i="13"/>
  <c r="AJ165" i="13"/>
  <c r="AC163" i="13"/>
  <c r="AF162" i="13"/>
  <c r="AJ161" i="13"/>
  <c r="AG160" i="13"/>
  <c r="AC159" i="13"/>
  <c r="AC157" i="13"/>
  <c r="AI156" i="13"/>
  <c r="D155" i="13"/>
  <c r="AL154" i="13"/>
  <c r="K154" i="13"/>
  <c r="D152" i="13"/>
  <c r="AL151" i="13"/>
  <c r="K151" i="13"/>
  <c r="AF150" i="13"/>
  <c r="AL149" i="13"/>
  <c r="K149" i="13"/>
  <c r="P148" i="13"/>
  <c r="AJ147" i="13"/>
  <c r="H146" i="13"/>
  <c r="AM144" i="13"/>
  <c r="V144" i="13"/>
  <c r="F143" i="13"/>
  <c r="AK142" i="13"/>
  <c r="AG142" i="13"/>
  <c r="D141" i="13"/>
  <c r="AI140" i="13"/>
  <c r="AC139" i="13"/>
  <c r="AF138" i="13"/>
  <c r="AL137" i="13"/>
  <c r="K137" i="13"/>
  <c r="P136" i="13"/>
  <c r="AJ135" i="13"/>
  <c r="H134" i="13"/>
  <c r="AM132" i="13"/>
  <c r="AL183" i="13"/>
  <c r="AJ180" i="13"/>
  <c r="P179" i="13"/>
  <c r="V178" i="13"/>
  <c r="K177" i="13"/>
  <c r="AG176" i="13"/>
  <c r="K175" i="13"/>
  <c r="K172" i="13"/>
  <c r="V171" i="13"/>
  <c r="P170" i="13"/>
  <c r="AM168" i="13"/>
  <c r="K167" i="13"/>
  <c r="P166" i="13"/>
  <c r="AI165" i="13"/>
  <c r="AL164" i="13"/>
  <c r="V163" i="13"/>
  <c r="D162" i="13"/>
  <c r="AI161" i="13"/>
  <c r="AM160" i="13"/>
  <c r="V159" i="13"/>
  <c r="AF158" i="13"/>
  <c r="V157" i="13"/>
  <c r="H155" i="13"/>
  <c r="AK154" i="13"/>
  <c r="AG154" i="13"/>
  <c r="AF153" i="13"/>
  <c r="H152" i="13"/>
  <c r="AK151" i="13"/>
  <c r="AG151" i="13"/>
  <c r="F150" i="13"/>
  <c r="AK149" i="13"/>
  <c r="AG149" i="13"/>
  <c r="D148" i="13"/>
  <c r="AI147" i="13"/>
  <c r="AC146" i="13"/>
  <c r="AF145" i="13"/>
  <c r="AL144" i="13"/>
  <c r="K144" i="13"/>
  <c r="P143" i="13"/>
  <c r="AJ142" i="13"/>
  <c r="H141" i="13"/>
  <c r="AM139" i="13"/>
  <c r="D179" i="13"/>
  <c r="K178" i="13"/>
  <c r="AG172" i="13"/>
  <c r="K171" i="13"/>
  <c r="D170" i="13"/>
  <c r="AF169" i="13"/>
  <c r="AL168" i="13"/>
  <c r="AG167" i="13"/>
  <c r="D166" i="13"/>
  <c r="AK164" i="13"/>
  <c r="K163" i="13"/>
  <c r="H162" i="13"/>
  <c r="AL160" i="13"/>
  <c r="K159" i="13"/>
  <c r="F158" i="13"/>
  <c r="AM157" i="13"/>
  <c r="K157" i="13"/>
  <c r="AF156" i="13"/>
  <c r="AC155" i="13"/>
  <c r="AJ154" i="13"/>
  <c r="F153" i="13"/>
  <c r="AC152" i="13"/>
  <c r="AJ151" i="13"/>
  <c r="P150" i="13"/>
  <c r="AJ149" i="13"/>
  <c r="H148" i="13"/>
  <c r="AM146" i="13"/>
  <c r="V146" i="13"/>
  <c r="F145" i="13"/>
  <c r="AK144" i="13"/>
  <c r="AG144" i="13"/>
  <c r="D143" i="13"/>
  <c r="AI142" i="13"/>
  <c r="AC141" i="13"/>
  <c r="AF140" i="13"/>
  <c r="AL139" i="13"/>
  <c r="K139" i="13"/>
  <c r="P138" i="13"/>
  <c r="AJ137" i="13"/>
  <c r="H136" i="13"/>
  <c r="AM134" i="13"/>
  <c r="V134" i="13"/>
  <c r="F133" i="13"/>
  <c r="AK132" i="13"/>
  <c r="AG132" i="13"/>
  <c r="D131" i="13"/>
  <c r="AI130" i="13"/>
  <c r="AC129" i="13"/>
  <c r="AF128" i="13"/>
  <c r="AL127" i="13"/>
  <c r="K127" i="13"/>
  <c r="P126" i="13"/>
  <c r="AJ125" i="13"/>
  <c r="D180" i="13"/>
  <c r="K179" i="13"/>
  <c r="H170" i="13"/>
  <c r="F169" i="13"/>
  <c r="AJ168" i="13"/>
  <c r="AC166" i="13"/>
  <c r="AF165" i="13"/>
  <c r="AJ164" i="13"/>
  <c r="AG163" i="13"/>
  <c r="AC162" i="13"/>
  <c r="F161" i="13"/>
  <c r="AK160" i="13"/>
  <c r="AG159" i="13"/>
  <c r="P158" i="13"/>
  <c r="AL157" i="13"/>
  <c r="AG157" i="13"/>
  <c r="P156" i="13"/>
  <c r="AM155" i="13"/>
  <c r="V155" i="13"/>
  <c r="AI154" i="13"/>
  <c r="P153" i="13"/>
  <c r="AM152" i="13"/>
  <c r="V152" i="13"/>
  <c r="AI151" i="13"/>
  <c r="D150" i="13"/>
  <c r="AI149" i="13"/>
  <c r="AC148" i="13"/>
  <c r="AF147" i="13"/>
  <c r="AL146" i="13"/>
  <c r="K146" i="13"/>
  <c r="P145" i="13"/>
  <c r="AJ144" i="13"/>
  <c r="H143" i="13"/>
  <c r="AM141" i="13"/>
  <c r="V141" i="13"/>
  <c r="F140" i="13"/>
  <c r="AK139" i="13"/>
  <c r="AG139" i="13"/>
  <c r="D138" i="13"/>
  <c r="AI137" i="13"/>
  <c r="AC136" i="13"/>
  <c r="AF135" i="13"/>
  <c r="AL134" i="13"/>
  <c r="K134" i="13"/>
  <c r="P133" i="13"/>
  <c r="AJ132" i="13"/>
  <c r="H131" i="13"/>
  <c r="AM129" i="13"/>
  <c r="V129" i="13"/>
  <c r="F128" i="13"/>
  <c r="AK127" i="13"/>
  <c r="AG127" i="13"/>
  <c r="D126" i="13"/>
  <c r="AI125" i="13"/>
  <c r="AC124" i="13"/>
  <c r="AF123" i="13"/>
  <c r="AL122" i="13"/>
  <c r="K122" i="13"/>
  <c r="P121" i="13"/>
  <c r="AJ120" i="13"/>
  <c r="H119" i="13"/>
  <c r="AM117" i="13"/>
  <c r="V117" i="13"/>
  <c r="F116" i="13"/>
  <c r="AK115" i="13"/>
  <c r="D183" i="13"/>
  <c r="AL181" i="13"/>
  <c r="V180" i="13"/>
  <c r="AM174" i="13"/>
  <c r="AL173" i="13"/>
  <c r="AM172" i="13"/>
  <c r="K170" i="13"/>
  <c r="P169" i="13"/>
  <c r="AI168" i="13"/>
  <c r="AL167" i="13"/>
  <c r="V166" i="13"/>
  <c r="D165" i="13"/>
  <c r="AI164" i="13"/>
  <c r="AM163" i="13"/>
  <c r="V162" i="13"/>
  <c r="P161" i="13"/>
  <c r="AM159" i="13"/>
  <c r="D158" i="13"/>
  <c r="AK157" i="13"/>
  <c r="D156" i="13"/>
  <c r="AL155" i="13"/>
  <c r="K155" i="13"/>
  <c r="D153" i="13"/>
  <c r="AL152" i="13"/>
  <c r="K152" i="13"/>
  <c r="H150" i="13"/>
  <c r="AM148" i="13"/>
  <c r="AL174" i="13"/>
  <c r="AK173" i="13"/>
  <c r="AL172" i="13"/>
  <c r="AM171" i="13"/>
  <c r="AG170" i="13"/>
  <c r="D169" i="13"/>
  <c r="AK167" i="13"/>
  <c r="K166" i="13"/>
  <c r="H165" i="13"/>
  <c r="AL163" i="13"/>
  <c r="K162" i="13"/>
  <c r="D161" i="13"/>
  <c r="AF160" i="13"/>
  <c r="AL159" i="13"/>
  <c r="H158" i="13"/>
  <c r="AI157" i="13"/>
  <c r="H156" i="13"/>
  <c r="AK155" i="13"/>
  <c r="AG155" i="13"/>
  <c r="AF154" i="13"/>
  <c r="H153" i="13"/>
  <c r="AK152" i="13"/>
  <c r="AG152" i="13"/>
  <c r="AF151" i="13"/>
  <c r="AC150" i="13"/>
  <c r="AF149" i="13"/>
  <c r="AL148" i="13"/>
  <c r="K148" i="13"/>
  <c r="P147" i="13"/>
  <c r="AJ146" i="13"/>
  <c r="H145" i="13"/>
  <c r="AM143" i="13"/>
  <c r="V143" i="13"/>
  <c r="F142" i="13"/>
  <c r="AK141" i="13"/>
  <c r="AG141" i="13"/>
  <c r="D140" i="13"/>
  <c r="AI139" i="13"/>
  <c r="AC138" i="13"/>
  <c r="AF137" i="13"/>
  <c r="AL136" i="13"/>
  <c r="K136" i="13"/>
  <c r="P135" i="13"/>
  <c r="AJ134" i="13"/>
  <c r="H133" i="13"/>
  <c r="AM131" i="13"/>
  <c r="V131" i="13"/>
  <c r="F130" i="13"/>
  <c r="AK129" i="13"/>
  <c r="AG129" i="13"/>
  <c r="D128" i="13"/>
  <c r="AI127" i="13"/>
  <c r="AC126" i="13"/>
  <c r="AF125" i="13"/>
  <c r="AL124" i="13"/>
  <c r="K124" i="13"/>
  <c r="P123" i="13"/>
  <c r="AJ122" i="13"/>
  <c r="H121" i="13"/>
  <c r="AM119" i="13"/>
  <c r="V119" i="13"/>
  <c r="F118" i="13"/>
  <c r="AK117" i="13"/>
  <c r="AG117" i="13"/>
  <c r="D116" i="13"/>
  <c r="AI115" i="13"/>
  <c r="AC114" i="13"/>
  <c r="AF113" i="13"/>
  <c r="AL112" i="13"/>
  <c r="K112" i="13"/>
  <c r="P111" i="13"/>
  <c r="AJ110" i="13"/>
  <c r="H109" i="13"/>
  <c r="AM107" i="13"/>
  <c r="AC156" i="13"/>
  <c r="AJ155" i="13"/>
  <c r="F154" i="13"/>
  <c r="AC153" i="13"/>
  <c r="AJ152" i="13"/>
  <c r="F151" i="13"/>
  <c r="AM150" i="13"/>
  <c r="V150" i="13"/>
  <c r="F149" i="13"/>
  <c r="AK148" i="13"/>
  <c r="AG148" i="13"/>
  <c r="D147" i="13"/>
  <c r="AI146" i="13"/>
  <c r="AC145" i="13"/>
  <c r="AF144" i="13"/>
  <c r="AL143" i="13"/>
  <c r="K143" i="13"/>
  <c r="P142" i="13"/>
  <c r="AJ141" i="13"/>
  <c r="H140" i="13"/>
  <c r="AM138" i="13"/>
  <c r="V138" i="13"/>
  <c r="F137" i="13"/>
  <c r="AK136" i="13"/>
  <c r="AG136" i="13"/>
  <c r="D135" i="13"/>
  <c r="AI134" i="13"/>
  <c r="AC133" i="13"/>
  <c r="AF132" i="13"/>
  <c r="AL131" i="13"/>
  <c r="K131" i="13"/>
  <c r="P130" i="13"/>
  <c r="AJ129" i="13"/>
  <c r="H128" i="13"/>
  <c r="AM126" i="13"/>
  <c r="V126" i="13"/>
  <c r="F125" i="13"/>
  <c r="AK124" i="13"/>
  <c r="AG124" i="13"/>
  <c r="D123" i="13"/>
  <c r="AI122" i="13"/>
  <c r="AC121" i="13"/>
  <c r="AF120" i="13"/>
  <c r="AL119" i="13"/>
  <c r="K119" i="13"/>
  <c r="P118" i="13"/>
  <c r="AJ117" i="13"/>
  <c r="H116" i="13"/>
  <c r="AM114" i="13"/>
  <c r="V114" i="13"/>
  <c r="F113" i="13"/>
  <c r="AK112" i="13"/>
  <c r="AG112" i="13"/>
  <c r="D111" i="13"/>
  <c r="AI110" i="13"/>
  <c r="AC109" i="13"/>
  <c r="AF108" i="13"/>
  <c r="AL107" i="13"/>
  <c r="K107" i="13"/>
  <c r="P106" i="13"/>
  <c r="AJ105" i="13"/>
  <c r="H104" i="13"/>
  <c r="AM102" i="13"/>
  <c r="V102" i="13"/>
  <c r="F101" i="13"/>
  <c r="AK100" i="13"/>
  <c r="AG100" i="13"/>
  <c r="D99" i="13"/>
  <c r="AI98" i="13"/>
  <c r="AC97" i="13"/>
  <c r="D181" i="13"/>
  <c r="AM178" i="13"/>
  <c r="AJ177" i="13"/>
  <c r="AI176" i="13"/>
  <c r="AI174" i="13"/>
  <c r="AJ171" i="13"/>
  <c r="AL170" i="13"/>
  <c r="V169" i="13"/>
  <c r="D168" i="13"/>
  <c r="AI167" i="13"/>
  <c r="AM166" i="13"/>
  <c r="V165" i="13"/>
  <c r="P164" i="13"/>
  <c r="AM162" i="13"/>
  <c r="K161" i="13"/>
  <c r="P160" i="13"/>
  <c r="AI159" i="13"/>
  <c r="K158" i="13"/>
  <c r="AF157" i="13"/>
  <c r="V156" i="13"/>
  <c r="AI155" i="13"/>
  <c r="P154" i="13"/>
  <c r="AM153" i="13"/>
  <c r="V153" i="13"/>
  <c r="AI152" i="13"/>
  <c r="P151" i="13"/>
  <c r="AL150" i="13"/>
  <c r="K150" i="13"/>
  <c r="P149" i="13"/>
  <c r="AJ148" i="13"/>
  <c r="H147" i="13"/>
  <c r="AM145" i="13"/>
  <c r="V145" i="13"/>
  <c r="F144" i="13"/>
  <c r="AK143" i="13"/>
  <c r="AG143" i="13"/>
  <c r="D142" i="13"/>
  <c r="AI141" i="13"/>
  <c r="AC140" i="13"/>
  <c r="AF139" i="13"/>
  <c r="AL138" i="13"/>
  <c r="K138" i="13"/>
  <c r="P137" i="13"/>
  <c r="AJ136" i="13"/>
  <c r="H135" i="13"/>
  <c r="AM133" i="13"/>
  <c r="V133" i="13"/>
  <c r="F132" i="13"/>
  <c r="AK131" i="13"/>
  <c r="AG131" i="13"/>
  <c r="D130" i="13"/>
  <c r="AI129" i="13"/>
  <c r="AC128" i="13"/>
  <c r="AF127" i="13"/>
  <c r="AL126" i="13"/>
  <c r="K126" i="13"/>
  <c r="P125" i="13"/>
  <c r="AJ124" i="13"/>
  <c r="H123" i="13"/>
  <c r="AL182" i="13"/>
  <c r="AC181" i="13"/>
  <c r="AL178" i="13"/>
  <c r="AI177" i="13"/>
  <c r="AF175" i="13"/>
  <c r="F173" i="13"/>
  <c r="AF172" i="13"/>
  <c r="AI171" i="13"/>
  <c r="AK170" i="13"/>
  <c r="K169" i="13"/>
  <c r="H168" i="13"/>
  <c r="AL166" i="13"/>
  <c r="K165" i="13"/>
  <c r="D164" i="13"/>
  <c r="AF163" i="13"/>
  <c r="AL162" i="13"/>
  <c r="AG161" i="13"/>
  <c r="D160" i="13"/>
  <c r="AL158" i="13"/>
  <c r="AG158" i="13"/>
  <c r="F157" i="13"/>
  <c r="AM156" i="13"/>
  <c r="K156" i="13"/>
  <c r="D154" i="13"/>
  <c r="AL153" i="13"/>
  <c r="K153" i="13"/>
  <c r="D151" i="13"/>
  <c r="AK150" i="13"/>
  <c r="AG150" i="13"/>
  <c r="D149" i="13"/>
  <c r="AI148" i="13"/>
  <c r="AC147" i="13"/>
  <c r="AF146" i="13"/>
  <c r="AL145" i="13"/>
  <c r="K145" i="13"/>
  <c r="P144" i="13"/>
  <c r="AJ143" i="13"/>
  <c r="H142" i="13"/>
  <c r="AM140" i="13"/>
  <c r="V140" i="13"/>
  <c r="F139" i="13"/>
  <c r="AK138" i="13"/>
  <c r="AG138" i="13"/>
  <c r="D137" i="13"/>
  <c r="AI136" i="13"/>
  <c r="AC135" i="13"/>
  <c r="AF134" i="13"/>
  <c r="AL133" i="13"/>
  <c r="K181" i="13"/>
  <c r="AL179" i="13"/>
  <c r="F176" i="13"/>
  <c r="P175" i="13"/>
  <c r="D174" i="13"/>
  <c r="P173" i="13"/>
  <c r="P172" i="13"/>
  <c r="AJ170" i="13"/>
  <c r="AG169" i="13"/>
  <c r="AC168" i="13"/>
  <c r="F167" i="13"/>
  <c r="AK166" i="13"/>
  <c r="H164" i="13"/>
  <c r="F163" i="13"/>
  <c r="AJ162" i="13"/>
  <c r="AC160" i="13"/>
  <c r="AF159" i="13"/>
  <c r="AK158" i="13"/>
  <c r="P157" i="13"/>
  <c r="AL156" i="13"/>
  <c r="AG156" i="13"/>
  <c r="AF155" i="13"/>
  <c r="H154" i="13"/>
  <c r="AK153" i="13"/>
  <c r="AG153" i="13"/>
  <c r="AF152" i="13"/>
  <c r="H151" i="13"/>
  <c r="AJ150" i="13"/>
  <c r="H149" i="13"/>
  <c r="AM147" i="13"/>
  <c r="V147" i="13"/>
  <c r="F146" i="13"/>
  <c r="AK145" i="13"/>
  <c r="AG145" i="13"/>
  <c r="D144" i="13"/>
  <c r="AI143" i="13"/>
  <c r="AC142" i="13"/>
  <c r="AF141" i="13"/>
  <c r="AL140" i="13"/>
  <c r="K140" i="13"/>
  <c r="P139" i="13"/>
  <c r="AJ138" i="13"/>
  <c r="H137" i="13"/>
  <c r="AM135" i="13"/>
  <c r="V135" i="13"/>
  <c r="F134" i="13"/>
  <c r="AK133" i="13"/>
  <c r="AG133" i="13"/>
  <c r="D132" i="13"/>
  <c r="AI131" i="13"/>
  <c r="AC130" i="13"/>
  <c r="AF129" i="13"/>
  <c r="AL128" i="13"/>
  <c r="K128" i="13"/>
  <c r="P127" i="13"/>
  <c r="AJ126" i="13"/>
  <c r="H125" i="13"/>
  <c r="AM123" i="13"/>
  <c r="V123" i="13"/>
  <c r="F122" i="13"/>
  <c r="AK121" i="13"/>
  <c r="AG121" i="13"/>
  <c r="D120" i="13"/>
  <c r="AI119" i="13"/>
  <c r="AC118" i="13"/>
  <c r="F182" i="13"/>
  <c r="AI179" i="13"/>
  <c r="P178" i="13"/>
  <c r="D177" i="13"/>
  <c r="P176" i="13"/>
  <c r="D175" i="13"/>
  <c r="H174" i="13"/>
  <c r="D173" i="13"/>
  <c r="D172" i="13"/>
  <c r="AF171" i="13"/>
  <c r="AI170" i="13"/>
  <c r="AM169" i="13"/>
  <c r="V168" i="13"/>
  <c r="P167" i="13"/>
  <c r="AM165" i="13"/>
  <c r="K164" i="13"/>
  <c r="P163" i="13"/>
  <c r="AI162" i="13"/>
  <c r="AL161" i="13"/>
  <c r="V160" i="13"/>
  <c r="D159" i="13"/>
  <c r="AJ158" i="13"/>
  <c r="D157" i="13"/>
  <c r="AK156" i="13"/>
  <c r="F155" i="13"/>
  <c r="AC154" i="13"/>
  <c r="AJ153" i="13"/>
  <c r="F152" i="13"/>
  <c r="AC151" i="13"/>
  <c r="AI150" i="13"/>
  <c r="AC149" i="13"/>
  <c r="AF148" i="13"/>
  <c r="AL147" i="13"/>
  <c r="K147" i="13"/>
  <c r="P146" i="13"/>
  <c r="AJ145" i="13"/>
  <c r="H144" i="13"/>
  <c r="AM142" i="13"/>
  <c r="V174" i="13"/>
  <c r="AF142" i="13"/>
  <c r="AG140" i="13"/>
  <c r="V136" i="13"/>
  <c r="D134" i="13"/>
  <c r="AI132" i="13"/>
  <c r="P131" i="13"/>
  <c r="AG130" i="13"/>
  <c r="AI128" i="13"/>
  <c r="H127" i="13"/>
  <c r="AM125" i="13"/>
  <c r="D122" i="13"/>
  <c r="D121" i="13"/>
  <c r="H120" i="13"/>
  <c r="D119" i="13"/>
  <c r="H118" i="13"/>
  <c r="D117" i="13"/>
  <c r="P116" i="13"/>
  <c r="F115" i="13"/>
  <c r="AI114" i="13"/>
  <c r="AL113" i="13"/>
  <c r="V112" i="13"/>
  <c r="AC111" i="13"/>
  <c r="P110" i="13"/>
  <c r="AK108" i="13"/>
  <c r="V107" i="13"/>
  <c r="D106" i="13"/>
  <c r="AL104" i="13"/>
  <c r="AG104" i="13"/>
  <c r="D103" i="13"/>
  <c r="AL101" i="13"/>
  <c r="AG101" i="13"/>
  <c r="H100" i="13"/>
  <c r="AF99" i="13"/>
  <c r="AK98" i="13"/>
  <c r="V97" i="13"/>
  <c r="F96" i="13"/>
  <c r="AK95" i="13"/>
  <c r="AG95" i="13"/>
  <c r="D94" i="13"/>
  <c r="AI93" i="13"/>
  <c r="AC92" i="13"/>
  <c r="AF91" i="13"/>
  <c r="AL90" i="13"/>
  <c r="K90" i="13"/>
  <c r="P89" i="13"/>
  <c r="AJ88" i="13"/>
  <c r="H87" i="13"/>
  <c r="AM85" i="13"/>
  <c r="V85" i="13"/>
  <c r="F84" i="13"/>
  <c r="AK83" i="13"/>
  <c r="AG83" i="13"/>
  <c r="D82" i="13"/>
  <c r="AI81" i="13"/>
  <c r="AC80" i="13"/>
  <c r="AF79" i="13"/>
  <c r="D163" i="13"/>
  <c r="F148" i="13"/>
  <c r="D145" i="13"/>
  <c r="V142" i="13"/>
  <c r="AM137" i="13"/>
  <c r="AL135" i="13"/>
  <c r="AC134" i="13"/>
  <c r="AC131" i="13"/>
  <c r="AC127" i="13"/>
  <c r="AL125" i="13"/>
  <c r="AF124" i="13"/>
  <c r="F123" i="13"/>
  <c r="H122" i="13"/>
  <c r="V121" i="13"/>
  <c r="AC120" i="13"/>
  <c r="AC119" i="13"/>
  <c r="V118" i="13"/>
  <c r="H117" i="13"/>
  <c r="AC116" i="13"/>
  <c r="P115" i="13"/>
  <c r="AK113" i="13"/>
  <c r="V111" i="13"/>
  <c r="D110" i="13"/>
  <c r="AF109" i="13"/>
  <c r="AJ108" i="13"/>
  <c r="AG107" i="13"/>
  <c r="H106" i="13"/>
  <c r="AF105" i="13"/>
  <c r="AK104" i="13"/>
  <c r="H103" i="13"/>
  <c r="AF102" i="13"/>
  <c r="AK101" i="13"/>
  <c r="AC100" i="13"/>
  <c r="F99" i="13"/>
  <c r="AJ98" i="13"/>
  <c r="AM97" i="13"/>
  <c r="K97" i="13"/>
  <c r="P96" i="13"/>
  <c r="AJ95" i="13"/>
  <c r="H94" i="13"/>
  <c r="AM92" i="13"/>
  <c r="V92" i="13"/>
  <c r="F91" i="13"/>
  <c r="AK90" i="13"/>
  <c r="AG90" i="13"/>
  <c r="D89" i="13"/>
  <c r="AI88" i="13"/>
  <c r="AC87" i="13"/>
  <c r="AF86" i="13"/>
  <c r="AL85" i="13"/>
  <c r="K85" i="13"/>
  <c r="P84" i="13"/>
  <c r="AJ83" i="13"/>
  <c r="H82" i="13"/>
  <c r="AM80" i="13"/>
  <c r="V80" i="13"/>
  <c r="F79" i="13"/>
  <c r="AK78" i="13"/>
  <c r="AG78" i="13"/>
  <c r="D77" i="13"/>
  <c r="K168" i="13"/>
  <c r="H157" i="13"/>
  <c r="V148" i="13"/>
  <c r="K142" i="13"/>
  <c r="AJ139" i="13"/>
  <c r="AK137" i="13"/>
  <c r="AK135" i="13"/>
  <c r="AG134" i="13"/>
  <c r="P132" i="13"/>
  <c r="AL129" i="13"/>
  <c r="P128" i="13"/>
  <c r="V127" i="13"/>
  <c r="AK125" i="13"/>
  <c r="F124" i="13"/>
  <c r="AC123" i="13"/>
  <c r="AC122" i="13"/>
  <c r="K121" i="13"/>
  <c r="V120" i="13"/>
  <c r="AG119" i="13"/>
  <c r="K118" i="13"/>
  <c r="AC117" i="13"/>
  <c r="V116" i="13"/>
  <c r="D115" i="13"/>
  <c r="AF114" i="13"/>
  <c r="AJ113" i="13"/>
  <c r="AM112" i="13"/>
  <c r="K111" i="13"/>
  <c r="H110" i="13"/>
  <c r="F109" i="13"/>
  <c r="AI108" i="13"/>
  <c r="AK107" i="13"/>
  <c r="AC106" i="13"/>
  <c r="F105" i="13"/>
  <c r="AJ104" i="13"/>
  <c r="AC103" i="13"/>
  <c r="F102" i="13"/>
  <c r="AJ101" i="13"/>
  <c r="V100" i="13"/>
  <c r="P99" i="13"/>
  <c r="AL97" i="13"/>
  <c r="AG97" i="13"/>
  <c r="D96" i="13"/>
  <c r="AI95" i="13"/>
  <c r="AC94" i="13"/>
  <c r="AF93" i="13"/>
  <c r="AL92" i="13"/>
  <c r="K92" i="13"/>
  <c r="P91" i="13"/>
  <c r="D178" i="13"/>
  <c r="K173" i="13"/>
  <c r="AK161" i="13"/>
  <c r="AJ156" i="13"/>
  <c r="P152" i="13"/>
  <c r="AK147" i="13"/>
  <c r="AI144" i="13"/>
  <c r="AL141" i="13"/>
  <c r="AI135" i="13"/>
  <c r="AJ133" i="13"/>
  <c r="H132" i="13"/>
  <c r="AM130" i="13"/>
  <c r="V128" i="13"/>
  <c r="P124" i="13"/>
  <c r="K123" i="13"/>
  <c r="V122" i="13"/>
  <c r="K120" i="13"/>
  <c r="AG118" i="13"/>
  <c r="K117" i="13"/>
  <c r="K116" i="13"/>
  <c r="H115" i="13"/>
  <c r="F114" i="13"/>
  <c r="AI113" i="13"/>
  <c r="AJ112" i="13"/>
  <c r="AM111" i="13"/>
  <c r="AG111" i="13"/>
  <c r="AC110" i="13"/>
  <c r="P109" i="13"/>
  <c r="AJ107" i="13"/>
  <c r="V106" i="13"/>
  <c r="P105" i="13"/>
  <c r="AI104" i="13"/>
  <c r="AM103" i="13"/>
  <c r="V103" i="13"/>
  <c r="P102" i="13"/>
  <c r="AI101" i="13"/>
  <c r="AM100" i="13"/>
  <c r="K100" i="13"/>
  <c r="H99" i="13"/>
  <c r="AF98" i="13"/>
  <c r="AK97" i="13"/>
  <c r="H96" i="13"/>
  <c r="AM94" i="13"/>
  <c r="V94" i="13"/>
  <c r="F93" i="13"/>
  <c r="AK92" i="13"/>
  <c r="AG92" i="13"/>
  <c r="D91" i="13"/>
  <c r="AI90" i="13"/>
  <c r="AC89" i="13"/>
  <c r="AF88" i="13"/>
  <c r="AL87" i="13"/>
  <c r="K87" i="13"/>
  <c r="P86" i="13"/>
  <c r="AJ85" i="13"/>
  <c r="H84" i="13"/>
  <c r="AM82" i="13"/>
  <c r="V82" i="13"/>
  <c r="F81" i="13"/>
  <c r="AK80" i="13"/>
  <c r="AG80" i="13"/>
  <c r="D79" i="13"/>
  <c r="AI78" i="13"/>
  <c r="AC77" i="13"/>
  <c r="AF76" i="13"/>
  <c r="AL75" i="13"/>
  <c r="K75" i="13"/>
  <c r="P74" i="13"/>
  <c r="AJ73" i="13"/>
  <c r="H72" i="13"/>
  <c r="D167" i="13"/>
  <c r="D139" i="13"/>
  <c r="AC137" i="13"/>
  <c r="AI133" i="13"/>
  <c r="AC132" i="13"/>
  <c r="AL130" i="13"/>
  <c r="F129" i="13"/>
  <c r="AG128" i="13"/>
  <c r="AK126" i="13"/>
  <c r="D125" i="13"/>
  <c r="D124" i="13"/>
  <c r="AG123" i="13"/>
  <c r="AG122" i="13"/>
  <c r="AG120" i="13"/>
  <c r="AM118" i="13"/>
  <c r="AG116" i="13"/>
  <c r="AC115" i="13"/>
  <c r="P114" i="13"/>
  <c r="AI112" i="13"/>
  <c r="AL111" i="13"/>
  <c r="V110" i="13"/>
  <c r="D109" i="13"/>
  <c r="F108" i="13"/>
  <c r="AI107" i="13"/>
  <c r="AM106" i="13"/>
  <c r="K106" i="13"/>
  <c r="D105" i="13"/>
  <c r="AL103" i="13"/>
  <c r="K103" i="13"/>
  <c r="D102" i="13"/>
  <c r="AL100" i="13"/>
  <c r="AC99" i="13"/>
  <c r="F98" i="13"/>
  <c r="AJ97" i="13"/>
  <c r="AC96" i="13"/>
  <c r="AF95" i="13"/>
  <c r="AL94" i="13"/>
  <c r="K94" i="13"/>
  <c r="P93" i="13"/>
  <c r="AJ92" i="13"/>
  <c r="H91" i="13"/>
  <c r="AM89" i="13"/>
  <c r="V89" i="13"/>
  <c r="F88" i="13"/>
  <c r="AK87" i="13"/>
  <c r="AG87" i="13"/>
  <c r="D86" i="13"/>
  <c r="AI85" i="13"/>
  <c r="AC84" i="13"/>
  <c r="AF83" i="13"/>
  <c r="AL82" i="13"/>
  <c r="K82" i="13"/>
  <c r="P81" i="13"/>
  <c r="AJ80" i="13"/>
  <c r="H79" i="13"/>
  <c r="AM77" i="13"/>
  <c r="V77" i="13"/>
  <c r="F76" i="13"/>
  <c r="AK75" i="13"/>
  <c r="AG75" i="13"/>
  <c r="D74" i="13"/>
  <c r="AI73" i="13"/>
  <c r="AC72" i="13"/>
  <c r="AF71" i="13"/>
  <c r="AL70" i="13"/>
  <c r="K70" i="13"/>
  <c r="P69" i="13"/>
  <c r="AJ68" i="13"/>
  <c r="H67" i="13"/>
  <c r="AM65" i="13"/>
  <c r="V65" i="13"/>
  <c r="F64" i="13"/>
  <c r="AK63" i="13"/>
  <c r="AG63" i="13"/>
  <c r="AC172" i="13"/>
  <c r="AM151" i="13"/>
  <c r="F147" i="13"/>
  <c r="AC144" i="13"/>
  <c r="F141" i="13"/>
  <c r="H139" i="13"/>
  <c r="V137" i="13"/>
  <c r="F135" i="13"/>
  <c r="V132" i="13"/>
  <c r="AK130" i="13"/>
  <c r="P129" i="13"/>
  <c r="AI126" i="13"/>
  <c r="AC125" i="13"/>
  <c r="H124" i="13"/>
  <c r="AM121" i="13"/>
  <c r="AM120" i="13"/>
  <c r="AL118" i="13"/>
  <c r="AM116" i="13"/>
  <c r="V115" i="13"/>
  <c r="D114" i="13"/>
  <c r="P113" i="13"/>
  <c r="AK111" i="13"/>
  <c r="K110" i="13"/>
  <c r="V109" i="13"/>
  <c r="P108" i="13"/>
  <c r="AL106" i="13"/>
  <c r="AG106" i="13"/>
  <c r="H105" i="13"/>
  <c r="AF104" i="13"/>
  <c r="AK103" i="13"/>
  <c r="AG103" i="13"/>
  <c r="H102" i="13"/>
  <c r="AF101" i="13"/>
  <c r="AJ100" i="13"/>
  <c r="V99" i="13"/>
  <c r="P98" i="13"/>
  <c r="AI97" i="13"/>
  <c r="AM96" i="13"/>
  <c r="V96" i="13"/>
  <c r="F95" i="13"/>
  <c r="AK94" i="13"/>
  <c r="AG94" i="13"/>
  <c r="D93" i="13"/>
  <c r="AI92" i="13"/>
  <c r="AC91" i="13"/>
  <c r="AF90" i="13"/>
  <c r="AL89" i="13"/>
  <c r="K89" i="13"/>
  <c r="P88" i="13"/>
  <c r="AJ87" i="13"/>
  <c r="H86" i="13"/>
  <c r="AM84" i="13"/>
  <c r="V84" i="13"/>
  <c r="F83" i="13"/>
  <c r="AK82" i="13"/>
  <c r="AG82" i="13"/>
  <c r="D81" i="13"/>
  <c r="AI80" i="13"/>
  <c r="AC79" i="13"/>
  <c r="AF78" i="13"/>
  <c r="AL77" i="13"/>
  <c r="K77" i="13"/>
  <c r="P76" i="13"/>
  <c r="AJ75" i="13"/>
  <c r="H74" i="13"/>
  <c r="AM72" i="13"/>
  <c r="V72" i="13"/>
  <c r="F71" i="13"/>
  <c r="AK70" i="13"/>
  <c r="AG70" i="13"/>
  <c r="D69" i="13"/>
  <c r="AI68" i="13"/>
  <c r="AC67" i="13"/>
  <c r="AF66" i="13"/>
  <c r="D171" i="13"/>
  <c r="AL165" i="13"/>
  <c r="K160" i="13"/>
  <c r="P155" i="13"/>
  <c r="V151" i="13"/>
  <c r="AK146" i="13"/>
  <c r="K141" i="13"/>
  <c r="AM136" i="13"/>
  <c r="AG135" i="13"/>
  <c r="D133" i="13"/>
  <c r="H129" i="13"/>
  <c r="AM127" i="13"/>
  <c r="AF126" i="13"/>
  <c r="K125" i="13"/>
  <c r="AM122" i="13"/>
  <c r="AJ121" i="13"/>
  <c r="AK120" i="13"/>
  <c r="AJ119" i="13"/>
  <c r="AJ118" i="13"/>
  <c r="AI117" i="13"/>
  <c r="AK116" i="13"/>
  <c r="AM115" i="13"/>
  <c r="AG115" i="13"/>
  <c r="K114" i="13"/>
  <c r="H113" i="13"/>
  <c r="F112" i="13"/>
  <c r="AI111" i="13"/>
  <c r="AL110" i="13"/>
  <c r="AM109" i="13"/>
  <c r="AG109" i="13"/>
  <c r="H108" i="13"/>
  <c r="F107" i="13"/>
  <c r="AJ106" i="13"/>
  <c r="V105" i="13"/>
  <c r="P104" i="13"/>
  <c r="AI103" i="13"/>
  <c r="K102" i="13"/>
  <c r="D101" i="13"/>
  <c r="AL99" i="13"/>
  <c r="AG99" i="13"/>
  <c r="H98" i="13"/>
  <c r="AF97" i="13"/>
  <c r="AK96" i="13"/>
  <c r="AG96" i="13"/>
  <c r="D95" i="13"/>
  <c r="AI94" i="13"/>
  <c r="AC93" i="13"/>
  <c r="AF92" i="13"/>
  <c r="AL91" i="13"/>
  <c r="K91" i="13"/>
  <c r="P90" i="13"/>
  <c r="AJ89" i="13"/>
  <c r="H88" i="13"/>
  <c r="AM86" i="13"/>
  <c r="V86" i="13"/>
  <c r="F85" i="13"/>
  <c r="AK84" i="13"/>
  <c r="AG84" i="13"/>
  <c r="D83" i="13"/>
  <c r="AI82" i="13"/>
  <c r="AC81" i="13"/>
  <c r="AF80" i="13"/>
  <c r="AL79" i="13"/>
  <c r="K79" i="13"/>
  <c r="P78" i="13"/>
  <c r="AJ77" i="13"/>
  <c r="H76" i="13"/>
  <c r="D176" i="13"/>
  <c r="AM154" i="13"/>
  <c r="AF143" i="13"/>
  <c r="AK140" i="13"/>
  <c r="AI138" i="13"/>
  <c r="K133" i="13"/>
  <c r="AJ131" i="13"/>
  <c r="AF130" i="13"/>
  <c r="K129" i="13"/>
  <c r="AJ127" i="13"/>
  <c r="F126" i="13"/>
  <c r="AG125" i="13"/>
  <c r="AL123" i="13"/>
  <c r="AK122" i="13"/>
  <c r="AI121" i="13"/>
  <c r="AI120" i="13"/>
  <c r="AI118" i="13"/>
  <c r="AJ116" i="13"/>
  <c r="AL115" i="13"/>
  <c r="AG114" i="13"/>
  <c r="AC113" i="13"/>
  <c r="P112" i="13"/>
  <c r="AK110" i="13"/>
  <c r="AL109" i="13"/>
  <c r="AC108" i="13"/>
  <c r="P107" i="13"/>
  <c r="AI106" i="13"/>
  <c r="AM105" i="13"/>
  <c r="K105" i="13"/>
  <c r="D104" i="13"/>
  <c r="AL102" i="13"/>
  <c r="AG102" i="13"/>
  <c r="H101" i="13"/>
  <c r="AF100" i="13"/>
  <c r="AK99" i="13"/>
  <c r="AC98" i="13"/>
  <c r="F97" i="13"/>
  <c r="AJ96" i="13"/>
  <c r="H95" i="13"/>
  <c r="AM93" i="13"/>
  <c r="V93" i="13"/>
  <c r="F92" i="13"/>
  <c r="AK91" i="13"/>
  <c r="AG91" i="13"/>
  <c r="D90" i="13"/>
  <c r="AI89" i="13"/>
  <c r="AC88" i="13"/>
  <c r="AF87" i="13"/>
  <c r="AL86" i="13"/>
  <c r="K86" i="13"/>
  <c r="P85" i="13"/>
  <c r="AJ84" i="13"/>
  <c r="H83" i="13"/>
  <c r="AM81" i="13"/>
  <c r="V81" i="13"/>
  <c r="F80" i="13"/>
  <c r="D182" i="13"/>
  <c r="H159" i="13"/>
  <c r="AM149" i="13"/>
  <c r="D146" i="13"/>
  <c r="AC143" i="13"/>
  <c r="AJ140" i="13"/>
  <c r="AF136" i="13"/>
  <c r="AK134" i="13"/>
  <c r="H130" i="13"/>
  <c r="AM128" i="13"/>
  <c r="H126" i="13"/>
  <c r="AK123" i="13"/>
  <c r="AF119" i="13"/>
  <c r="AF117" i="13"/>
  <c r="AI116" i="13"/>
  <c r="AJ115" i="13"/>
  <c r="AL114" i="13"/>
  <c r="V113" i="13"/>
  <c r="D112" i="13"/>
  <c r="AF111" i="13"/>
  <c r="AK109" i="13"/>
  <c r="V108" i="13"/>
  <c r="D107" i="13"/>
  <c r="AL105" i="13"/>
  <c r="AG105" i="13"/>
  <c r="AC104" i="13"/>
  <c r="AF103" i="13"/>
  <c r="AK102" i="13"/>
  <c r="AC101" i="13"/>
  <c r="F100" i="13"/>
  <c r="AJ99" i="13"/>
  <c r="V98" i="13"/>
  <c r="P97" i="13"/>
  <c r="AI96" i="13"/>
  <c r="AC95" i="13"/>
  <c r="AF94" i="13"/>
  <c r="AL93" i="13"/>
  <c r="K93" i="13"/>
  <c r="P92" i="13"/>
  <c r="AJ91" i="13"/>
  <c r="H90" i="13"/>
  <c r="AC175" i="13"/>
  <c r="AL169" i="13"/>
  <c r="AI158" i="13"/>
  <c r="V154" i="13"/>
  <c r="AG146" i="13"/>
  <c r="AL142" i="13"/>
  <c r="F138" i="13"/>
  <c r="F136" i="13"/>
  <c r="AF131" i="13"/>
  <c r="V130" i="13"/>
  <c r="AK128" i="13"/>
  <c r="F127" i="13"/>
  <c r="AG126" i="13"/>
  <c r="AM124" i="13"/>
  <c r="AJ123" i="13"/>
  <c r="AF122" i="13"/>
  <c r="AF121" i="13"/>
  <c r="F120" i="13"/>
  <c r="F119" i="13"/>
  <c r="AF118" i="13"/>
  <c r="F117" i="13"/>
  <c r="AK114" i="13"/>
  <c r="K113" i="13"/>
  <c r="H112" i="13"/>
  <c r="F111" i="13"/>
  <c r="AF110" i="13"/>
  <c r="AJ109" i="13"/>
  <c r="AM108" i="13"/>
  <c r="K108" i="13"/>
  <c r="H107" i="13"/>
  <c r="AF106" i="13"/>
  <c r="AK105" i="13"/>
  <c r="V104" i="13"/>
  <c r="F103" i="13"/>
  <c r="AJ102" i="13"/>
  <c r="V101" i="13"/>
  <c r="P100" i="13"/>
  <c r="AI99" i="13"/>
  <c r="AM98" i="13"/>
  <c r="K98" i="13"/>
  <c r="D97" i="13"/>
  <c r="AM95" i="13"/>
  <c r="V95" i="13"/>
  <c r="F94" i="13"/>
  <c r="AK93" i="13"/>
  <c r="AG93" i="13"/>
  <c r="D92" i="13"/>
  <c r="AI91" i="13"/>
  <c r="AC90" i="13"/>
  <c r="AF89" i="13"/>
  <c r="AL88" i="13"/>
  <c r="K88" i="13"/>
  <c r="P87" i="13"/>
  <c r="AJ86" i="13"/>
  <c r="H85" i="13"/>
  <c r="AM83" i="13"/>
  <c r="P140" i="13"/>
  <c r="AK183" i="13"/>
  <c r="AG168" i="13"/>
  <c r="AF167" i="13"/>
  <c r="H166" i="13"/>
  <c r="AK165" i="13"/>
  <c r="AG165" i="13"/>
  <c r="AF164" i="13"/>
  <c r="H163" i="13"/>
  <c r="AK162" i="13"/>
  <c r="AG162" i="13"/>
  <c r="AF161" i="13"/>
  <c r="H160" i="13"/>
  <c r="AK159" i="13"/>
  <c r="AI183" i="13"/>
  <c r="P182" i="13"/>
  <c r="AM181" i="13"/>
  <c r="V181" i="13"/>
  <c r="AI180" i="13"/>
  <c r="AK181" i="13"/>
  <c r="AG181" i="13"/>
  <c r="AF180" i="13"/>
  <c r="H179" i="13"/>
  <c r="AK178" i="13"/>
  <c r="AG178" i="13"/>
  <c r="AF177" i="13"/>
  <c r="H176" i="13"/>
  <c r="AK175" i="13"/>
  <c r="AG175" i="13"/>
  <c r="AF174" i="13"/>
  <c r="H173" i="13"/>
  <c r="AJ166" i="13"/>
  <c r="F165" i="13"/>
  <c r="AC164" i="13"/>
  <c r="AJ163" i="13"/>
  <c r="F162" i="13"/>
  <c r="AC161" i="13"/>
  <c r="AJ160" i="13"/>
  <c r="F159" i="13"/>
  <c r="AC158" i="13"/>
  <c r="AJ157" i="13"/>
  <c r="F156" i="13"/>
  <c r="V167" i="13"/>
  <c r="AI166" i="13"/>
  <c r="P165" i="13"/>
  <c r="AM164" i="13"/>
  <c r="V164" i="13"/>
  <c r="AI163" i="13"/>
  <c r="P162" i="13"/>
  <c r="AM161" i="13"/>
  <c r="V161" i="13"/>
  <c r="AI160" i="13"/>
  <c r="P159" i="13"/>
  <c r="AM158" i="13"/>
  <c r="H183" i="13"/>
  <c r="AK182" i="13"/>
  <c r="AG182" i="13"/>
  <c r="AF181" i="13"/>
  <c r="H180" i="13"/>
  <c r="AK179" i="13"/>
  <c r="AG179" i="13"/>
  <c r="AF178" i="13"/>
  <c r="F181" i="13"/>
  <c r="AC180" i="13"/>
  <c r="AJ179" i="13"/>
  <c r="F178" i="13"/>
  <c r="AC177" i="13"/>
  <c r="AJ176" i="13"/>
  <c r="F175" i="13"/>
  <c r="AC174" i="13"/>
  <c r="AJ173" i="13"/>
  <c r="F172" i="13"/>
  <c r="AC171" i="13"/>
  <c r="AM183" i="13"/>
  <c r="V183" i="13"/>
  <c r="AI182" i="13"/>
  <c r="V158" i="13"/>
  <c r="AJ159" i="13"/>
  <c r="F160" i="13"/>
  <c r="H161" i="13"/>
  <c r="AK163" i="13"/>
  <c r="F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P181" i="13"/>
  <c r="AM175" i="13"/>
  <c r="AL176" i="13"/>
  <c r="AM177" i="13"/>
  <c r="K180" i="13"/>
  <c r="K183" i="13"/>
  <c r="H172" i="13"/>
  <c r="AJ183" i="13"/>
  <c r="AJ182" i="13"/>
  <c r="AC183" i="13"/>
  <c r="AM167" i="13"/>
  <c r="P168" i="13"/>
  <c r="AI169" i="13"/>
  <c r="V170" i="13"/>
  <c r="AM170" i="13"/>
  <c r="P171" i="13"/>
  <c r="AI172" i="13"/>
  <c r="V173" i="13"/>
  <c r="AM173" i="13"/>
  <c r="P174" i="13"/>
  <c r="AI175" i="13"/>
  <c r="V176" i="13"/>
  <c r="AM176" i="13"/>
  <c r="P177" i="13"/>
  <c r="AI178" i="13"/>
  <c r="V179" i="13"/>
  <c r="AM179" i="13"/>
  <c r="P180" i="13"/>
  <c r="AI181" i="13"/>
  <c r="V182" i="13"/>
  <c r="AM182" i="13"/>
  <c r="P183" i="13"/>
  <c r="AC167" i="13"/>
  <c r="F168" i="13"/>
  <c r="AJ169" i="13"/>
  <c r="AC170" i="13"/>
  <c r="F171" i="13"/>
  <c r="AJ172" i="13"/>
  <c r="AC173" i="13"/>
  <c r="F174" i="13"/>
  <c r="AJ175" i="13"/>
  <c r="AC176" i="13"/>
  <c r="F177" i="13"/>
  <c r="AJ178" i="13"/>
  <c r="AC179" i="13"/>
  <c r="F180" i="13"/>
  <c r="AJ181" i="13"/>
  <c r="AC182" i="13"/>
  <c r="F183" i="13"/>
  <c r="H182" i="13"/>
  <c r="AF183" i="13"/>
  <c r="AK168" i="13"/>
  <c r="H169" i="13"/>
  <c r="AF170" i="13"/>
  <c r="AG171" i="13"/>
  <c r="AK171" i="13"/>
  <c r="AF173" i="13"/>
  <c r="AG174" i="13"/>
  <c r="AK174" i="13"/>
  <c r="H175" i="13"/>
  <c r="AF176" i="13"/>
  <c r="AG177" i="13"/>
  <c r="AK177" i="13"/>
  <c r="H178" i="13"/>
  <c r="AF179" i="13"/>
  <c r="AG180" i="13"/>
  <c r="AK180" i="13"/>
  <c r="H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BM272" i="13" s="1"/>
  <c r="BX272" i="13" s="1"/>
  <c r="BM273" i="13" s="1"/>
  <c r="BX273" i="13" s="1"/>
  <c r="BM274" i="13" s="1"/>
  <c r="BX274" i="13" s="1"/>
  <c r="BM275" i="13" s="1"/>
  <c r="BX275" i="13" s="1"/>
  <c r="BM276" i="13" s="1"/>
  <c r="BX276" i="13" s="1"/>
  <c r="BM277" i="13" s="1"/>
  <c r="BX277" i="13" s="1"/>
  <c r="BM278" i="13" s="1"/>
  <c r="BX278" i="13" s="1"/>
  <c r="BM279" i="13" s="1"/>
  <c r="BX279" i="13" s="1"/>
  <c r="BM280" i="13" s="1"/>
  <c r="BX280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C272" i="13" s="1"/>
  <c r="AP272" i="13" s="1"/>
  <c r="C273" i="13" s="1"/>
  <c r="AP273" i="13" s="1"/>
  <c r="C274" i="13" s="1"/>
  <c r="AP274" i="13" s="1"/>
  <c r="C275" i="13" s="1"/>
  <c r="AP275" i="13" s="1"/>
  <c r="C276" i="13" s="1"/>
  <c r="AP276" i="13" s="1"/>
  <c r="C277" i="13" s="1"/>
  <c r="AP277" i="13" s="1"/>
  <c r="C278" i="13" s="1"/>
  <c r="AP278" i="13" s="1"/>
  <c r="C279" i="13" s="1"/>
  <c r="AP279" i="13" s="1"/>
  <c r="C280" i="13" s="1"/>
  <c r="AP280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AR272" i="13" s="1"/>
  <c r="BK272" i="13" s="1"/>
  <c r="AR273" i="13" s="1"/>
  <c r="BK273" i="13" s="1"/>
  <c r="AR274" i="13" s="1"/>
  <c r="BK274" i="13" s="1"/>
  <c r="AR275" i="13" s="1"/>
  <c r="BK275" i="13" s="1"/>
  <c r="AR276" i="13" s="1"/>
  <c r="BK276" i="13" s="1"/>
  <c r="AR277" i="13" s="1"/>
  <c r="BK277" i="13" s="1"/>
  <c r="AR278" i="13" s="1"/>
  <c r="BK278" i="13" s="1"/>
  <c r="AR279" i="13" s="1"/>
  <c r="BK279" i="13" s="1"/>
  <c r="AR280" i="13" s="1"/>
  <c r="BK280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<sst xmlns="http://schemas.openxmlformats.org/spreadsheetml/2006/main" count="20600" uniqueCount="4743">
  <si>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</si>
  <si>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</si>
  <si>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</si>
  <si>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</si>
  <si>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</si>
  <si>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</si>
  <si>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</si>
  <si>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</si>
  <si>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</si>
  <si>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</si>
  <si>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</si>
  <si>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</si>
  <si>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</si>
  <si>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</si>
  <si>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</si>
  <si>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</si>
  <si>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</si>
  <si>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</si>
  <si>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</si>
  <si>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</si>
  <si>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</si>
  <si>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</si>
  <si>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</si>
  <si>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</si>
  <si>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</si>
  <si>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</si>
  <si>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</si>
  <si>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</si>
  <si>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</si>
  <si>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</si>
  <si>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</si>
  <si>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</si>
  <si>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</si>
  <si>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</si>
  <si>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</si>
  <si>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</si>
  <si>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</si>
  <si>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</si>
  <si>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</si>
  <si>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</si>
  <si>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</si>
  <si>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</si>
  <si>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</si>
  <si>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</si>
  <si>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</si>
  <si>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</si>
  <si>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</si>
  <si>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</si>
  <si>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</si>
  <si>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</si>
  <si>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</si>
  <si>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</si>
  <si>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</si>
  <si>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</si>
  <si>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</si>
  <si>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</si>
  <si>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</si>
  <si>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</si>
  <si>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</si>
  <si>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</si>
  <si>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</si>
  <si>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</si>
  <si>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</si>
  <si>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</si>
  <si>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</si>
  <si>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</si>
  <si>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</si>
  <si>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</si>
  <si>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</si>
  <si>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</si>
  <si>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</si>
  <si>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</si>
  <si>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</si>
  <si>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</si>
  <si>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</si>
  <si>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</si>
  <si>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</si>
  <si>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</si>
  <si>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</si>
  <si>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</si>
  <si>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</si>
  <si>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</si>
  <si>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</si>
  <si>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</si>
  <si>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</si>
  <si>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</si>
  <si>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</si>
  <si>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</si>
  <si>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</si>
  <si>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</si>
  <si>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</si>
  <si>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</si>
  <si>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</si>
  <si>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</si>
  <si>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</si>
  <si>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</si>
  <si>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</si>
  <si>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</si>
  <si>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</si>
  <si>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</si>
  <si>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</si>
  <si>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</si>
  <si>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</si>
  <si>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</si>
  <si>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</si>
  <si>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</si>
  <si>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</si>
  <si>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</si>
  <si>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</si>
  <si>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</si>
  <si>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</si>
  <si>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</si>
  <si>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</si>
  <si>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</si>
  <si>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</si>
  <si>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</si>
  <si>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</si>
  <si>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</si>
  <si>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</si>
  <si>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</si>
  <si>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</si>
  <si>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</si>
  <si>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</si>
  <si>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</si>
  <si>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</si>
  <si>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</si>
  <si>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</si>
  <si>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</si>
  <si>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</si>
  <si>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</si>
  <si>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</si>
  <si>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</si>
  <si>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</si>
  <si>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</si>
  <si>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</si>
  <si>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</si>
  <si>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</si>
  <si>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</si>
  <si>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</si>
  <si>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</si>
  <si>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</si>
  <si>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</si>
  <si>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</si>
  <si>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</si>
  <si>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</si>
  <si>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</si>
  <si>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</si>
  <si>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</si>
  <si>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</si>
  <si>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</si>
  <si>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</si>
  <si>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</si>
  <si>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</si>
  <si>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</si>
  <si>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</si>
  <si>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</si>
  <si>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</si>
  <si>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</si>
  <si>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</si>
  <si>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</si>
  <si>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</si>
  <si>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</si>
  <si>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</si>
  <si>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</si>
  <si>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</si>
  <si>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</si>
  <si>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</si>
  <si>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</si>
  <si>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</si>
  <si>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</si>
  <si>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</si>
  <si>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</si>
  <si>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</si>
  <si>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</si>
  <si>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</si>
  <si>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</si>
  <si>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</si>
  <si>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</si>
  <si>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</si>
  <si>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</si>
  <si>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</si>
  <si>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</si>
  <si>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</si>
  <si>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</si>
  <si>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</si>
  <si>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</si>
  <si>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</si>
  <si>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</si>
  <si>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</si>
  <si>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</si>
  <si>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</si>
  <si>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</si>
  <si>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</si>
  <si>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</si>
  <si>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</si>
  <si>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</si>
  <si>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</si>
  <si>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</si>
  <si>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</si>
  <si>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</si>
  <si>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</si>
  <si>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</si>
  <si>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</si>
  <si>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</si>
  <si>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</si>
  <si>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</si>
  <si>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</si>
  <si>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</si>
  <si>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</si>
  <si>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</si>
  <si>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</si>
  <si>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</si>
  <si>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</si>
  <si>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</si>
  <si>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</si>
  <si>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</si>
  <si>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</si>
  <si>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</si>
  <si>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</si>
  <si>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</si>
  <si>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</si>
  <si>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</si>
  <si>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</si>
  <si>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</si>
  <si>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</si>
  <si>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</si>
  <si>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</si>
  <si>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</si>
  <si>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</si>
  <si>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</si>
  <si>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</si>
  <si>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</si>
  <si>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</si>
  <si>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</si>
  <si>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</si>
  <si>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</si>
  <si>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</si>
  <si>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</si>
  <si>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</si>
  <si>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</si>
  <si>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</si>
  <si>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</si>
  <si>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</si>
  <si>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</si>
  <si>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</si>
  <si>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</si>
  <si>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</si>
  <si>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</si>
  <si>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</si>
  <si>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</si>
  <si>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</si>
  <si>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</si>
  <si>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</si>
  <si>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</si>
  <si>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</si>
  <si>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</si>
  <si>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</si>
  <si>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</si>
  <si>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</si>
  <si>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</si>
  <si>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</si>
  <si>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</si>
  <si>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</si>
  <si>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</si>
  <si>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</si>
  <si>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</si>
  <si>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</si>
  <si>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</si>
  <si>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</si>
  <si>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</si>
  <si>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</si>
  <si>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</si>
  <si>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</si>
  <si>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</si>
  <si>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</si>
  <si>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</si>
  <si>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</si>
  <si>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</si>
  <si>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</si>
  <si>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</si>
  <si>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</si>
  <si>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</si>
  <si>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</si>
  <si>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</si>
  <si>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</si>
  <si>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</si>
  <si>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</si>
  <si>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</si>
  <si>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</si>
  <si>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</si>
  <si>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</si>
  <si>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</si>
  <si>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</si>
  <si>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</si>
  <si>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</si>
  <si>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</si>
  <si>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</si>
  <si>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</si>
  <si>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</si>
  <si>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</si>
  <si>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</si>
  <si>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</si>
  <si>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</si>
  <si>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</si>
  <si>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</si>
  <si>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</si>
  <si>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</si>
  <si>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</si>
  <si>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</si>
  <si>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</si>
  <si>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</si>
  <si>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</si>
  <si>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</si>
  <si>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</si>
  <si>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</si>
  <si>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</si>
  <si>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</si>
  <si>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</si>
  <si>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</si>
  <si>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</si>
  <si>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</si>
  <si>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</si>
  <si>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</si>
  <si>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</si>
  <si>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</si>
  <si>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</si>
  <si>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</si>
  <si>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</si>
  <si>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</si>
  <si>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</si>
  <si>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</si>
  <si>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</si>
  <si>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</si>
  <si>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</si>
  <si>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</si>
  <si>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</si>
  <si>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</si>
  <si>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</si>
  <si>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</si>
  <si>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</si>
  <si>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</si>
  <si>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</si>
  <si>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</si>
  <si>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</si>
  <si>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</si>
  <si>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</si>
  <si>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</si>
  <si>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</si>
  <si>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</si>
  <si>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</si>
  <si>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</si>
  <si>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</si>
  <si>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</si>
  <si>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</si>
  <si>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</si>
  <si>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</si>
  <si>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</si>
  <si>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</si>
  <si>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</si>
  <si>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</si>
  <si>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</si>
  <si>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</si>
  <si>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</si>
  <si>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</si>
  <si>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</si>
  <si>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</si>
  <si>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</si>
  <si>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</si>
  <si>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</si>
  <si>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</si>
  <si>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</si>
  <si>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</si>
  <si>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</si>
  <si>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</si>
  <si>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</si>
  <si>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</si>
  <si>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</si>
  <si>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</si>
  <si>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</si>
  <si>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</si>
  <si>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</si>
  <si>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</si>
  <si>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</si>
  <si>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</si>
  <si>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</si>
  <si>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</si>
  <si>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</si>
  <si>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</si>
  <si>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</si>
  <si>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</si>
  <si>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</si>
  <si>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</si>
  <si>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</si>
  <si>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</si>
  <si>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</si>
  <si>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</si>
  <si>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</si>
  <si>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</si>
  <si>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</si>
  <si>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</si>
  <si>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</si>
  <si>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</si>
  <si>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</si>
  <si>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</si>
  <si>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</si>
  <si>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</si>
  <si>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</si>
  <si>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</si>
  <si>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</si>
  <si>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</si>
  <si>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</si>
  <si>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</si>
  <si>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</si>
  <si>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</si>
  <si>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</si>
  <si>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</si>
  <si>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</si>
  <si>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</si>
  <si>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</si>
  <si>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</si>
  <si>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</si>
  <si>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</si>
  <si>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</si>
  <si>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</si>
  <si>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</si>
  <si>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</si>
  <si>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</si>
  <si>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</si>
  <si>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</si>
  <si>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</si>
  <si>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</si>
  <si>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</si>
  <si>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</si>
  <si>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</si>
  <si>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</si>
  <si>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</si>
  <si>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</si>
  <si>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</si>
  <si>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</si>
  <si>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</si>
  <si>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</si>
  <si>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</si>
  <si>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</si>
  <si>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</si>
  <si>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</si>
  <si>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</si>
  <si>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</si>
  <si>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</si>
  <si>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</si>
  <si>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</si>
  <si>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</si>
  <si>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</si>
  <si>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</si>
  <si>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</si>
  <si>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</si>
  <si>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</si>
  <si>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</si>
  <si>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</si>
  <si>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</si>
  <si>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</si>
  <si>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</si>
  <si>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</si>
  <si>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</si>
  <si>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</si>
  <si>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</si>
  <si>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</si>
  <si>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</si>
  <si>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</si>
  <si>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</si>
  <si>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</si>
  <si>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</si>
  <si>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</si>
  <si>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</si>
  <si>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</si>
  <si>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</si>
  <si>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</si>
  <si>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</si>
  <si>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</si>
  <si>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</si>
  <si>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</si>
  <si>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</si>
  <si>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</si>
  <si>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</si>
  <si>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</si>
  <si>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</si>
  <si>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</si>
  <si>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</si>
  <si>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</si>
  <si>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</si>
  <si>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</si>
  <si>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</si>
  <si>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</si>
  <si>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</si>
  <si>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</si>
  <si>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</si>
  <si>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</si>
  <si>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</si>
  <si>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</si>
  <si>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</si>
  <si>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</si>
  <si>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</si>
  <si>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</si>
  <si>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</si>
  <si>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</si>
  <si>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</si>
  <si>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</si>
  <si>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</si>
  <si>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</si>
  <si>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</si>
  <si>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</si>
  <si>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</si>
  <si>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</si>
  <si>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</si>
  <si>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</si>
  <si>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</si>
  <si>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</si>
  <si>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</si>
  <si>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</si>
  <si>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</si>
  <si>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</si>
  <si>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</si>
  <si>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</si>
  <si>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</si>
  <si>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</si>
  <si>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</si>
  <si>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</si>
  <si>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</si>
  <si>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</si>
  <si>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</si>
  <si>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</si>
  <si>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</si>
  <si>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</si>
  <si>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</si>
  <si>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</si>
  <si>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</si>
  <si>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</si>
  <si>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</si>
  <si>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</si>
  <si>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</si>
  <si>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</si>
  <si>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</si>
  <si>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</si>
  <si>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</si>
  <si>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</si>
  <si>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</si>
  <si>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</si>
  <si>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</si>
  <si>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</si>
  <si>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</si>
  <si>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</si>
  <si>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</si>
  <si>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</si>
  <si>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</si>
  <si>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</si>
  <si>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</si>
  <si>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</si>
  <si>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</si>
  <si>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</si>
  <si>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</si>
  <si>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</si>
  <si>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</si>
  <si>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</si>
  <si>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</si>
  <si>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</si>
  <si>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</si>
  <si>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</si>
  <si>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</si>
  <si>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</si>
  <si>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</si>
  <si>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</si>
  <si>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</si>
  <si>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</si>
  <si>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</si>
  <si>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</si>
  <si>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</si>
  <si>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</si>
  <si>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</si>
  <si>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</si>
  <si>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</si>
  <si>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</si>
  <si>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</si>
  <si>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</si>
  <si>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</si>
  <si>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</si>
  <si>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</si>
  <si>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</si>
  <si>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</si>
  <si>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</si>
  <si>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</si>
  <si>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</si>
  <si>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</si>
  <si>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</si>
  <si>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</si>
  <si>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</si>
  <si>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</si>
  <si>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</si>
  <si>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</si>
  <si>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</si>
  <si>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</si>
  <si>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</si>
  <si>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</si>
  <si>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</si>
  <si>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</si>
  <si>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</si>
  <si>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</si>
  <si>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</si>
  <si>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</si>
  <si>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</si>
  <si>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</si>
  <si>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</si>
  <si>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</si>
  <si>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</si>
  <si>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</si>
  <si>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</si>
  <si>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</si>
  <si>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</si>
  <si>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</si>
  <si>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</si>
  <si>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</si>
  <si>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</si>
  <si>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</si>
  <si>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</si>
  <si>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</si>
  <si>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</si>
  <si>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</si>
  <si>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</si>
  <si>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</si>
  <si>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</si>
  <si>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</si>
  <si>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</si>
  <si>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</si>
  <si>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</si>
  <si>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</si>
  <si>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</si>
  <si>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</si>
  <si>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</si>
  <si>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</si>
  <si>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</si>
  <si>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</si>
  <si>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</si>
  <si>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</si>
  <si>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</si>
  <si>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</si>
  <si>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</si>
  <si>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</si>
  <si>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</si>
  <si>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</si>
  <si>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</si>
  <si>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</si>
  <si>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</si>
  <si>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</si>
  <si>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</si>
  <si>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</si>
  <si>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</si>
  <si>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</si>
  <si>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</si>
  <si>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</si>
  <si>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</si>
  <si>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</si>
  <si>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</si>
  <si>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</si>
  <si>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</si>
  <si>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</si>
  <si>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</si>
  <si>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</si>
  <si>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</si>
  <si>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</si>
  <si>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</si>
  <si>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</si>
  <si>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</si>
  <si>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</si>
  <si>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</si>
  <si>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</si>
  <si>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</si>
  <si>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</si>
  <si>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</si>
  <si>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</si>
  <si>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</si>
  <si>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</si>
  <si>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</si>
  <si>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</si>
  <si>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</si>
  <si>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</si>
  <si>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</si>
  <si>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</si>
  <si>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</si>
  <si>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</si>
  <si>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</si>
  <si>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</si>
  <si>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</si>
  <si>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</si>
  <si>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</si>
  <si>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</si>
  <si>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</si>
  <si>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</si>
  <si>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</si>
  <si>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</si>
  <si>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</si>
  <si>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</si>
  <si>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</si>
  <si>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</si>
  <si>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</si>
  <si>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</si>
  <si>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</si>
  <si>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</si>
  <si>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</si>
  <si>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</si>
  <si>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</si>
  <si>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</si>
  <si>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</si>
  <si>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</si>
  <si>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</si>
  <si>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</si>
  <si>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</si>
  <si>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</si>
  <si>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</si>
  <si>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</si>
  <si>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</si>
  <si>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</si>
  <si>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</si>
  <si>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</si>
  <si>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</si>
  <si>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</si>
  <si>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</si>
  <si>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</si>
  <si>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</si>
  <si>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</si>
  <si>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</si>
  <si>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</si>
  <si>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</si>
  <si>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</si>
  <si>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</si>
  <si>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</si>
  <si>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</si>
  <si>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</si>
  <si>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</si>
  <si>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</si>
  <si>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</si>
  <si>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</si>
  <si>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</si>
  <si>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</si>
  <si>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</si>
  <si>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</si>
  <si>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</si>
  <si>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</si>
  <si>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</si>
  <si>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</si>
  <si>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</si>
  <si>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</si>
  <si>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</si>
  <si>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</si>
  <si>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</si>
  <si>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</si>
  <si>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</si>
  <si>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</si>
  <si>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</si>
  <si>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</si>
  <si>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</si>
  <si>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</si>
  <si>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</si>
  <si>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</si>
  <si>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</si>
  <si>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</si>
  <si>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</si>
  <si>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</si>
  <si>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</si>
  <si>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</si>
  <si>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</si>
  <si>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</si>
  <si>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</si>
  <si>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</si>
  <si>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</si>
  <si>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</si>
  <si>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</si>
  <si>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</si>
  <si>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</si>
  <si>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</si>
  <si>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</si>
  <si>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</si>
  <si>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</si>
  <si>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</si>
  <si>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</si>
  <si>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</si>
  <si>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</si>
  <si>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</si>
  <si>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</si>
  <si>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</si>
  <si>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</si>
  <si>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</si>
  <si>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</si>
  <si>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</si>
  <si>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</si>
  <si>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</si>
  <si>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</si>
  <si>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</si>
  <si>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</si>
  <si>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</si>
  <si>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</si>
  <si>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</si>
  <si>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</si>
  <si>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</si>
  <si>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</si>
  <si>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</si>
  <si>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</si>
  <si>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</si>
  <si>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</si>
  <si>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</si>
  <si>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</si>
  <si>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</si>
  <si>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</si>
  <si>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</si>
  <si>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</si>
  <si>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</si>
  <si>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</si>
  <si>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</si>
  <si>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</si>
  <si>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</si>
  <si>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</si>
  <si>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</si>
  <si>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</si>
  <si>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</si>
  <si>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</si>
  <si>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</si>
  <si>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</si>
  <si>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</si>
  <si>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</si>
  <si>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</si>
  <si>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</si>
  <si>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</si>
  <si>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</si>
  <si>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</si>
  <si>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</si>
  <si>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</si>
  <si>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</si>
  <si>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</si>
  <si>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</si>
  <si>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</si>
  <si>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</si>
  <si>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</si>
  <si>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</si>
  <si>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</si>
  <si>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</si>
  <si>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</si>
  <si>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</si>
  <si>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</si>
  <si>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</si>
  <si>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</si>
  <si>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</si>
  <si>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</si>
  <si>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</si>
  <si>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</si>
  <si>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</si>
  <si>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</si>
  <si>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</si>
  <si>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</si>
  <si>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</si>
  <si>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</si>
  <si>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</si>
  <si>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</si>
  <si>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</si>
  <si>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</si>
  <si>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</si>
  <si>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</si>
  <si>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</si>
  <si>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</si>
  <si>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</si>
  <si>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</si>
  <si>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</si>
  <si>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</si>
  <si>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</si>
  <si>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</si>
  <si>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</si>
  <si>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</si>
  <si>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</si>
  <si>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</si>
  <si>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</si>
  <si>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</si>
  <si>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</si>
  <si>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</si>
  <si>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</si>
  <si>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</si>
  <si>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</si>
  <si>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</si>
  <si>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</si>
  <si>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</si>
  <si>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</si>
  <si>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</si>
  <si>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</si>
  <si>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</si>
  <si>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</si>
  <si>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</si>
  <si>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</si>
  <si>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</si>
  <si>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</si>
  <si>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</si>
  <si>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</si>
  <si>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</si>
  <si>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</si>
  <si>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</si>
  <si>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</si>
  <si>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</si>
  <si>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</si>
  <si>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</si>
  <si>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</si>
  <si>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</si>
  <si>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</si>
  <si>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</si>
  <si>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</si>
  <si>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</si>
  <si>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</si>
  <si>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</si>
  <si>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</si>
  <si>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</si>
  <si>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</si>
  <si>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</si>
  <si>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</si>
  <si>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</si>
  <si>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</si>
  <si>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</si>
  <si>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</si>
  <si>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</si>
  <si>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</si>
  <si>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</si>
  <si>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</si>
  <si>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</si>
  <si>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</si>
  <si>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</si>
  <si>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</si>
  <si>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</si>
  <si>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</si>
  <si>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</si>
  <si>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</si>
  <si>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</si>
  <si>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</si>
  <si>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</si>
  <si>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</si>
  <si>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</si>
  <si>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</si>
  <si>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</si>
  <si>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</si>
  <si>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</si>
  <si>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</si>
  <si>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</si>
  <si>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</si>
  <si>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</si>
  <si>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</si>
  <si>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</si>
  <si>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</si>
  <si>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</si>
  <si>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</si>
  <si>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</si>
  <si>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</si>
  <si>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</si>
  <si>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</si>
  <si>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</si>
  <si>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</si>
  <si>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</si>
  <si>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</si>
  <si>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</si>
  <si>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</si>
  <si>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</si>
  <si>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</si>
  <si>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</si>
  <si>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</si>
  <si>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</si>
  <si>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</si>
  <si>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</si>
  <si>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</si>
  <si>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</si>
  <si>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</si>
  <si>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</si>
  <si>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</si>
  <si>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</si>
  <si>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</si>
  <si>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</si>
  <si>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</si>
  <si>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</si>
  <si>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</si>
  <si>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</si>
  <si>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</si>
  <si>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</si>
  <si>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</si>
  <si>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</si>
  <si>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</si>
  <si>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</si>
  <si>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</si>
  <si>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</si>
  <si>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</si>
  <si>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</si>
  <si>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</si>
  <si>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</si>
  <si>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</si>
  <si>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</si>
  <si>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</si>
  <si>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</si>
  <si>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</si>
  <si>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</si>
  <si>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</si>
  <si>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</si>
  <si>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</si>
  <si>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</si>
  <si>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</si>
  <si>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</si>
  <si>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</si>
  <si>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</si>
  <si>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</si>
  <si>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</si>
  <si>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</si>
  <si>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</si>
  <si>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</si>
  <si>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</si>
  <si>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</si>
  <si>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</si>
  <si>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</si>
  <si>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</si>
  <si>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</si>
  <si>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</si>
  <si>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</si>
  <si>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</si>
  <si>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</si>
  <si>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</si>
  <si>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</si>
  <si>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</si>
  <si>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</si>
  <si>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</si>
  <si>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</si>
  <si>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</si>
  <si>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</si>
  <si>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</si>
  <si>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</si>
  <si>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</si>
  <si>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</si>
  <si>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</si>
  <si>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</si>
  <si>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</si>
  <si>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</si>
  <si>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</si>
  <si>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</si>
  <si>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</si>
  <si>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</si>
  <si>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</si>
  <si>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</si>
  <si>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</si>
  <si>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</si>
  <si>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</si>
  <si>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</si>
  <si>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</si>
  <si>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</si>
  <si>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</si>
  <si>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</si>
  <si>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</si>
  <si>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</si>
  <si>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</si>
  <si>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</si>
  <si>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</si>
  <si>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</si>
  <si>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</si>
  <si>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</si>
  <si>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</si>
  <si>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</si>
  <si>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</si>
  <si>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</si>
  <si>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</si>
  <si>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</si>
  <si>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</si>
  <si>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</si>
  <si>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</si>
  <si>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</si>
  <si>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</si>
  <si>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</si>
  <si>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</si>
  <si>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</si>
  <si>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</si>
  <si>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</si>
  <si>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</si>
  <si>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</si>
  <si>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</si>
  <si>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</si>
  <si>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</si>
  <si>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</si>
  <si>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</si>
  <si>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</si>
  <si>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</si>
  <si>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</si>
  <si>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</si>
  <si>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</si>
  <si>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</si>
  <si>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</si>
  <si>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</si>
  <si>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</si>
  <si>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</si>
  <si>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</si>
  <si>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</si>
  <si>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</si>
  <si>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</si>
  <si>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</si>
  <si>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</si>
  <si>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</si>
  <si>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</si>
  <si>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</si>
  <si>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</si>
  <si>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</si>
  <si>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</si>
  <si>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</si>
  <si>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</si>
  <si>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</si>
  <si>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</si>
  <si>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</si>
  <si>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</si>
  <si>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</si>
  <si>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</si>
  <si>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</si>
  <si>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</si>
  <si>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</si>
  <si>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</si>
  <si>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</si>
  <si>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</si>
  <si>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</si>
  <si>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</si>
  <si>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</si>
  <si>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</si>
  <si>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</si>
  <si>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</si>
  <si>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</si>
  <si>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</si>
  <si>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</si>
  <si>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</si>
  <si>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</si>
  <si>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</si>
  <si>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</si>
  <si>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</si>
  <si>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</si>
  <si>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</si>
  <si>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</si>
  <si>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</si>
  <si>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</si>
  <si>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</si>
  <si>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</si>
  <si>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</si>
  <si>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</si>
  <si>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</si>
  <si>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</si>
  <si>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</si>
  <si>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</si>
  <si>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</si>
  <si>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</si>
  <si>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</si>
  <si>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</si>
  <si>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</si>
  <si>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</si>
  <si>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</si>
  <si>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</si>
  <si>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</si>
  <si>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</si>
  <si>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</si>
  <si>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</si>
  <si>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</si>
  <si>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</si>
  <si>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</si>
  <si>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</si>
  <si>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</si>
  <si>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</si>
  <si>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</si>
  <si>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</si>
  <si>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</si>
  <si>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</si>
  <si>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</si>
  <si>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</si>
  <si>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</si>
  <si>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</si>
  <si>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</si>
  <si>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</si>
  <si>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</si>
  <si>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</si>
  <si>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</si>
  <si>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</si>
  <si>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</si>
  <si>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</si>
  <si>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</si>
  <si>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</si>
  <si>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</si>
  <si>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</si>
  <si>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</si>
  <si>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</si>
  <si>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</si>
  <si>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</si>
  <si>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</si>
  <si>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</si>
  <si>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</si>
  <si>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</si>
  <si>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</si>
  <si>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</si>
  <si>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</si>
  <si>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</si>
  <si>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</si>
  <si>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</si>
  <si>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</si>
  <si>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</si>
  <si>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</si>
  <si>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</si>
  <si>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</si>
  <si>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</si>
  <si>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</si>
  <si>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</si>
  <si>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</si>
  <si>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</si>
  <si>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</si>
  <si>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</si>
  <si>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</si>
  <si>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</si>
  <si>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</si>
  <si>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</si>
  <si>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</si>
  <si>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</si>
  <si>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</si>
  <si>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</si>
  <si>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</si>
  <si>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</si>
  <si>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</si>
  <si>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</si>
  <si>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</si>
  <si>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</si>
  <si>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</si>
  <si>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</si>
  <si>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</si>
  <si>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</si>
  <si>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</si>
  <si>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</si>
  <si>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</si>
  <si>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</si>
  <si>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</si>
  <si>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</si>
  <si>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</si>
  <si>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</si>
  <si>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</si>
  <si>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</si>
  <si>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</si>
  <si>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</si>
  <si>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</si>
  <si>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</si>
  <si>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</si>
  <si>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</si>
  <si>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</si>
  <si>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</si>
  <si>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</si>
  <si>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</si>
  <si>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</si>
  <si>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</si>
  <si>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</si>
  <si>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</si>
  <si>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</si>
  <si>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</si>
  <si>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</si>
  <si>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</si>
  <si>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</si>
  <si>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</si>
  <si>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</si>
  <si>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</si>
  <si>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</si>
  <si>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</si>
  <si>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</si>
  <si>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</si>
  <si>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</si>
  <si>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</si>
  <si>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</si>
  <si>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</si>
  <si>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</si>
  <si>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</si>
  <si>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</si>
  <si>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</si>
  <si>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</si>
  <si>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</si>
  <si>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</si>
  <si>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</si>
  <si>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</si>
  <si>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</si>
  <si>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</si>
  <si>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</si>
  <si>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</si>
  <si>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</si>
  <si>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</si>
  <si>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</si>
  <si>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</si>
  <si>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</si>
  <si>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</si>
  <si>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</si>
  <si>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</si>
  <si>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</si>
  <si>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</si>
  <si>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</si>
  <si>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</si>
  <si>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</si>
  <si>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</si>
  <si>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</si>
  <si>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</si>
  <si>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</si>
  <si>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</si>
  <si>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</si>
  <si>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</si>
  <si>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</si>
  <si>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</si>
  <si>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</si>
  <si>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</si>
  <si>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</si>
  <si>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</si>
  <si>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</si>
  <si>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</si>
  <si>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</si>
  <si>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</si>
  <si>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</si>
  <si>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</si>
  <si>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</si>
  <si>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</si>
  <si>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</si>
  <si>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</si>
  <si>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</si>
  <si>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</si>
  <si>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</si>
  <si>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</si>
  <si>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</si>
  <si>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</si>
  <si>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</si>
  <si>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</si>
  <si>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</si>
  <si>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</si>
  <si>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</si>
  <si>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</si>
  <si>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</si>
  <si>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</si>
  <si>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</si>
  <si>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</si>
  <si>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</si>
  <si>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</si>
  <si>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</si>
  <si>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</si>
  <si>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</si>
  <si>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</si>
  <si>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</si>
  <si>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</si>
  <si>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</si>
  <si>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</si>
  <si>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</si>
  <si>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</si>
  <si>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</si>
  <si>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</si>
  <si>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</si>
  <si>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</si>
  <si>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</si>
  <si>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</si>
  <si>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</si>
  <si>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</si>
  <si>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</si>
  <si>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</si>
  <si>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</si>
  <si>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</si>
  <si>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</si>
  <si>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</si>
  <si>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</si>
  <si>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</si>
  <si>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</si>
  <si>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</si>
  <si>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</si>
  <si>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</si>
  <si>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</si>
  <si>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</si>
  <si>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</si>
  <si>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</si>
  <si>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</si>
  <si>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</si>
  <si>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</si>
  <si>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</si>
  <si>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</si>
  <si>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</si>
  <si>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</si>
  <si>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</si>
  <si>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</si>
  <si>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</si>
  <si>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</si>
  <si>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</si>
  <si>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</si>
  <si>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</si>
  <si>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</si>
  <si>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</si>
  <si>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</si>
  <si>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</si>
  <si>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</si>
  <si>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</si>
  <si>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</si>
  <si>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</si>
  <si>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</si>
  <si>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</si>
  <si>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</si>
  <si>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</si>
  <si>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</si>
  <si>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</si>
  <si>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</si>
  <si>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</si>
  <si>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</si>
  <si>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</si>
  <si>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</si>
  <si>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</si>
  <si>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</si>
  <si>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</si>
  <si>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</si>
  <si>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</si>
  <si>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</si>
  <si>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</si>
  <si>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</si>
  <si>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</si>
  <si>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</si>
  <si>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</si>
  <si>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</si>
  <si>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</si>
  <si>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</si>
  <si>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</si>
  <si>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</si>
  <si>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</si>
  <si>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</si>
  <si>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</si>
  <si>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</si>
  <si>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</si>
  <si>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</si>
  <si>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</si>
  <si>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</si>
  <si>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</si>
  <si>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</si>
  <si>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</si>
  <si>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</si>
  <si>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</si>
  <si>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</si>
  <si>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</si>
  <si>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</si>
  <si>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</si>
  <si>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</si>
  <si>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</si>
  <si>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</si>
  <si>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</si>
  <si>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</si>
  <si>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</si>
  <si>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</si>
  <si>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</si>
  <si>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</si>
  <si>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</si>
  <si>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</si>
  <si>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</si>
  <si>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</si>
  <si>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</si>
  <si>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</si>
  <si>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</si>
  <si>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</si>
  <si>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</si>
  <si>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</si>
  <si>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</si>
  <si>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</si>
  <si>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</si>
  <si>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</si>
  <si>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</si>
  <si>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</si>
  <si>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</si>
  <si>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</si>
  <si>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</si>
  <si>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</si>
  <si>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</si>
  <si>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</si>
  <si>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</si>
  <si>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</si>
  <si>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</si>
  <si>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</si>
  <si>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</si>
  <si>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</si>
  <si>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</si>
  <si>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</si>
  <si>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</si>
  <si>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</si>
  <si>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</si>
  <si>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</si>
  <si>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</si>
  <si>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</si>
  <si>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</si>
  <si>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</si>
  <si>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</si>
  <si>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</si>
  <si>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</si>
  <si>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</si>
  <si>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</si>
  <si>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</si>
  <si>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</si>
  <si>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</si>
  <si>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</si>
  <si>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</si>
  <si>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</si>
  <si>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</si>
  <si>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</si>
  <si>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</si>
  <si>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</si>
  <si>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</si>
  <si>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</si>
  <si>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</si>
  <si>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</si>
  <si>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</si>
  <si>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</si>
  <si>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</si>
  <si>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</si>
  <si>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</si>
  <si>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</si>
  <si>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</si>
  <si>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</si>
  <si>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</si>
  <si>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</si>
  <si>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</si>
  <si>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</si>
  <si>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</si>
  <si>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</si>
  <si>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</si>
  <si>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</si>
  <si>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</si>
  <si>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</si>
  <si>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</si>
  <si>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</si>
  <si>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</si>
  <si>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</si>
  <si>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</si>
  <si>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</si>
  <si>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</si>
  <si>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</si>
  <si>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</si>
  <si>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</si>
  <si>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</si>
  <si>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</si>
  <si>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</si>
  <si>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</si>
  <si>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</si>
  <si>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</si>
  <si>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</si>
  <si>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</si>
  <si>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</si>
  <si>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</si>
  <si>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</si>
  <si>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</si>
  <si>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</si>
  <si>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</si>
  <si>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</si>
  <si>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</si>
  <si>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</si>
  <si>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</si>
  <si>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</si>
  <si>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</si>
  <si>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</si>
  <si>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</si>
  <si>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</si>
  <si>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</si>
  <si>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</si>
  <si>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</si>
  <si>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</si>
  <si>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</si>
  <si>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</si>
  <si>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</si>
  <si>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</si>
  <si>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</si>
  <si>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</si>
  <si>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</si>
  <si>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</si>
  <si>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</si>
  <si>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</si>
  <si>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</si>
  <si>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</si>
  <si>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</si>
  <si>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</si>
  <si>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</si>
  <si>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</si>
  <si>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</si>
  <si>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</si>
  <si>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</si>
  <si>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</si>
  <si>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</si>
  <si>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</si>
  <si>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</si>
  <si>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</si>
  <si>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</si>
  <si>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</si>
  <si>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</si>
  <si>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</si>
  <si>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</si>
  <si>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</si>
  <si>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</si>
  <si>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</si>
  <si>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</si>
  <si>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</si>
  <si>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</si>
  <si>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</si>
  <si>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</si>
  <si>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</si>
  <si>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</si>
  <si>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</si>
  <si>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</si>
  <si>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</si>
  <si>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</si>
  <si>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</si>
  <si>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</si>
  <si>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</si>
  <si>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</si>
  <si>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</si>
  <si>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</si>
  <si>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</si>
  <si>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</si>
  <si>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</si>
  <si>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</si>
  <si>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</si>
  <si>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</si>
  <si>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</si>
  <si>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</si>
  <si>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</si>
  <si>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</si>
  <si>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</si>
  <si>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</si>
  <si>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</si>
  <si>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</si>
  <si>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</si>
  <si>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</si>
  <si>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</si>
  <si>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</si>
  <si>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</si>
  <si>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</si>
  <si>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</si>
  <si>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</si>
  <si>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</si>
  <si>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</si>
  <si>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</si>
  <si>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</si>
  <si>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</si>
  <si>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</si>
  <si>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</si>
  <si>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</si>
  <si>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</si>
  <si>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</si>
  <si>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</si>
  <si>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</si>
  <si>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</si>
  <si>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</si>
  <si>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</si>
  <si>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</si>
  <si>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</si>
  <si>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</si>
  <si>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</si>
  <si>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</si>
  <si>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</si>
  <si>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</si>
  <si>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</si>
  <si>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</si>
  <si>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</si>
  <si>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</si>
  <si>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</si>
  <si>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</si>
  <si>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</si>
  <si>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</si>
  <si>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</si>
  <si>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</si>
  <si>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</si>
  <si>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</si>
  <si>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</si>
  <si>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</si>
  <si>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</si>
  <si>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</si>
  <si>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</si>
  <si>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</si>
  <si>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</si>
  <si>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</si>
  <si>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</si>
  <si>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</si>
  <si>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</si>
  <si>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</si>
  <si>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</si>
  <si>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</si>
  <si>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</si>
  <si>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</si>
  <si>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</si>
  <si>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</si>
  <si>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</si>
  <si>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</si>
  <si>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</si>
  <si>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</si>
  <si>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</si>
  <si>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</si>
  <si>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</si>
  <si>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</si>
  <si>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</si>
  <si>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</si>
  <si>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</si>
  <si>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</si>
  <si>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</si>
  <si>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</si>
  <si>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</si>
  <si>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</si>
  <si>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</si>
  <si>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</si>
  <si>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</si>
  <si>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</si>
  <si>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</si>
  <si>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</si>
  <si>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</si>
  <si>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</si>
  <si>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</si>
  <si>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</si>
  <si>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</si>
  <si>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</si>
  <si>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</si>
  <si>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</si>
  <si>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</si>
  <si>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</si>
  <si>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</si>
  <si>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</si>
  <si>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</si>
  <si>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</si>
  <si>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</si>
  <si>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</si>
  <si>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</si>
  <si>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</si>
  <si>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</si>
  <si>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</si>
  <si>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</si>
  <si>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</si>
  <si>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</si>
  <si>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</si>
  <si>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</si>
  <si>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</si>
  <si>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</si>
  <si>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</si>
  <si>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</si>
  <si>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</si>
  <si>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</si>
  <si>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</si>
  <si>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</si>
  <si>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</si>
  <si>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</si>
  <si>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</si>
  <si>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</si>
  <si>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</si>
  <si>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</si>
  <si>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</si>
  <si>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</si>
  <si>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</si>
  <si>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</si>
  <si>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</si>
  <si>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</si>
  <si>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</si>
  <si>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</si>
  <si>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</si>
  <si>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</si>
  <si>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</si>
  <si>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</si>
  <si>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</si>
  <si>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</si>
  <si>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</si>
  <si>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</si>
  <si>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</si>
  <si>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</si>
  <si>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</si>
  <si>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</si>
  <si>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</si>
  <si>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</si>
  <si>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</si>
  <si>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</si>
  <si>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</si>
  <si>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</si>
  <si>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</si>
  <si>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</si>
  <si>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</si>
  <si>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</si>
  <si>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</si>
  <si>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</si>
  <si>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</si>
  <si>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</si>
  <si>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</si>
  <si>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</si>
  <si>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</si>
  <si>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</si>
  <si>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</si>
  <si>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</si>
  <si>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</si>
  <si>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</si>
  <si>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</si>
  <si>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</si>
  <si>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</si>
  <si>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</si>
  <si>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</si>
  <si>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</si>
  <si>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</si>
  <si>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</si>
  <si>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</si>
  <si>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</si>
  <si>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</si>
  <si>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</si>
  <si>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</si>
  <si>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</si>
  <si>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</si>
  <si>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</si>
  <si>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</si>
  <si>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</si>
  <si>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</si>
  <si>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</si>
  <si>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</si>
  <si>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</si>
  <si>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</si>
  <si>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</si>
  <si>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</si>
  <si>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</si>
  <si>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</si>
  <si>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</si>
  <si>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</si>
  <si>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</si>
  <si>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</si>
  <si>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</si>
  <si>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</si>
  <si>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</si>
  <si>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</si>
  <si>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</si>
  <si>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</si>
  <si>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</si>
  <si>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</si>
  <si>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</si>
  <si>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</si>
  <si>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</si>
  <si>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</si>
  <si>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</si>
  <si>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</si>
  <si>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</si>
  <si>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</si>
  <si>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</si>
  <si>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</si>
  <si>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</si>
  <si>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</si>
  <si>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</si>
  <si>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</si>
  <si>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</si>
  <si>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</si>
  <si>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</si>
  <si>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</si>
  <si>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</si>
  <si>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</si>
  <si>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</si>
  <si>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</si>
  <si>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</si>
  <si>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</si>
  <si>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</si>
  <si>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</si>
  <si>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</si>
  <si>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</si>
  <si>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</si>
  <si>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</si>
  <si>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</si>
  <si>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</si>
  <si>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</si>
  <si>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</si>
  <si>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</si>
  <si>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</si>
  <si>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</si>
  <si>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</si>
  <si>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</si>
  <si>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</si>
  <si>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</si>
  <si>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</si>
  <si>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</si>
  <si>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</si>
  <si>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</si>
  <si>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</si>
  <si>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</si>
  <si>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</si>
  <si>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</si>
  <si>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</si>
  <si>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</si>
  <si>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</si>
  <si>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</si>
  <si>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</si>
  <si>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</si>
  <si>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</si>
  <si>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</si>
  <si>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</si>
  <si>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</si>
  <si>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</si>
  <si>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</si>
  <si>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</si>
  <si>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</si>
  <si>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</si>
  <si>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</si>
  <si>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</si>
  <si>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</si>
  <si>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</si>
  <si>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</si>
  <si>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</si>
  <si>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</si>
  <si>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</si>
  <si>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</si>
  <si>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</si>
  <si>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</si>
  <si>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</si>
  <si>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</si>
  <si>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</si>
  <si>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</si>
  <si>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</si>
  <si>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</si>
  <si>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</si>
  <si>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</si>
  <si>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</si>
  <si>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</si>
  <si>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</si>
  <si>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</si>
  <si>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</si>
  <si>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</si>
  <si>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</si>
  <si>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</si>
  <si>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</si>
  <si>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</si>
  <si>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</si>
  <si>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</si>
  <si>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</si>
  <si>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</si>
  <si>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</si>
  <si>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</si>
  <si>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</si>
  <si>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</si>
  <si>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</si>
  <si>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</si>
  <si>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</si>
  <si>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</si>
  <si>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</si>
  <si>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</si>
  <si>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</si>
  <si>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</si>
  <si>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</si>
  <si>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</si>
  <si>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</si>
  <si>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</si>
  <si>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</si>
  <si>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</si>
  <si>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</si>
  <si>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</si>
  <si>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</si>
  <si>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</si>
  <si>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</si>
  <si>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</si>
  <si>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</si>
  <si>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</si>
  <si>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</si>
  <si>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</si>
  <si>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</si>
  <si>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</si>
  <si>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</si>
  <si>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</si>
  <si>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</si>
  <si>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</si>
  <si>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</si>
  <si>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</si>
  <si>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</si>
  <si>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</si>
  <si>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</si>
  <si>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</si>
  <si>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</si>
  <si>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</si>
  <si>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</si>
  <si>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</si>
  <si>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</si>
  <si>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</si>
  <si>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</si>
  <si>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</si>
  <si>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</si>
  <si>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</si>
  <si>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</si>
  <si>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</si>
  <si>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</si>
  <si>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</si>
  <si>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</si>
  <si>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</si>
  <si>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</si>
  <si>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</si>
  <si>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</si>
  <si>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</si>
  <si>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</si>
  <si>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</si>
  <si>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</si>
  <si>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</si>
  <si>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</si>
  <si>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</si>
  <si>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</si>
  <si>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</si>
  <si>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</si>
  <si>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</si>
  <si>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</si>
  <si>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</si>
  <si>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</si>
  <si>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</si>
  <si>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</si>
  <si>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</si>
  <si>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</si>
  <si>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</si>
  <si>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</si>
  <si>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</si>
  <si>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</si>
  <si>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</si>
  <si>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</si>
  <si>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</si>
  <si>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</si>
  <si>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</si>
  <si>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</si>
  <si>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</si>
  <si>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</si>
  <si>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</si>
  <si>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</si>
  <si>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</si>
  <si>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</si>
  <si>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</si>
  <si>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</si>
  <si>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</si>
  <si>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</si>
  <si>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</si>
  <si>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</si>
  <si>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</si>
  <si>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</si>
  <si>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</si>
  <si>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</si>
  <si>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</si>
  <si>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</si>
  <si>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</si>
  <si>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</si>
  <si>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</si>
  <si>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</si>
  <si>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</si>
  <si>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</si>
  <si>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</si>
  <si>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</si>
  <si>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</si>
  <si>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</si>
  <si>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</si>
  <si>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</si>
  <si>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</si>
  <si>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</si>
  <si>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</si>
  <si>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</si>
  <si>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</si>
  <si>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</si>
  <si>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</si>
  <si>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</si>
  <si>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</si>
  <si>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</si>
  <si>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</si>
  <si>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</si>
  <si>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</si>
  <si>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</si>
  <si>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</si>
  <si>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</si>
  <si>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</si>
  <si>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</si>
  <si>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</si>
  <si>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</si>
  <si>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</si>
  <si>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</si>
  <si>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</si>
  <si>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</si>
  <si>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</si>
  <si>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</si>
  <si>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</si>
  <si>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</si>
  <si>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</si>
  <si>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</si>
  <si>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</si>
  <si>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</si>
  <si>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</si>
  <si>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</si>
  <si>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</si>
  <si>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</si>
  <si>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</si>
  <si>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</si>
  <si>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</si>
  <si>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</si>
  <si>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</si>
  <si>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</si>
  <si>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</si>
  <si>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</si>
  <si>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</si>
  <si>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</si>
  <si>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</si>
  <si>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</si>
  <si>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</si>
  <si>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</si>
  <si>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</si>
  <si>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</si>
  <si>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</si>
  <si>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</si>
  <si>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</si>
  <si>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</si>
  <si>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</si>
  <si>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</si>
  <si>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</si>
  <si>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</si>
  <si>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</si>
  <si>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</si>
  <si>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</si>
  <si>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</si>
  <si>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</si>
  <si>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</si>
  <si>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</si>
  <si>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</si>
  <si>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</si>
  <si>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</si>
  <si>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</si>
  <si>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</si>
  <si>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</si>
  <si>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</si>
  <si>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</si>
  <si>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</si>
  <si>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</si>
  <si>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</si>
  <si>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</si>
  <si>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</si>
  <si>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</si>
  <si>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</si>
  <si>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</si>
  <si>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</si>
  <si>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</si>
  <si>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</si>
  <si>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</si>
  <si>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</si>
  <si>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</si>
  <si>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</si>
  <si>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</si>
  <si>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</si>
  <si>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</si>
  <si>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</si>
  <si>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</si>
  <si>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</si>
  <si>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</si>
  <si>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</si>
  <si>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</si>
  <si>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</si>
  <si>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</si>
  <si>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</si>
  <si>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</si>
  <si>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</si>
  <si>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</si>
  <si>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</si>
  <si>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</si>
  <si>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</si>
  <si>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</si>
  <si>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</si>
  <si>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</si>
  <si>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</si>
  <si>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</si>
  <si>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</si>
  <si>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</si>
  <si>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</si>
  <si>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</si>
  <si>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</si>
  <si>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</si>
  <si>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</si>
  <si>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</si>
  <si>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</si>
  <si>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</si>
  <si>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</si>
  <si>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</si>
  <si>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</si>
  <si>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</si>
  <si>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</si>
  <si>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</si>
  <si>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</si>
  <si>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</si>
  <si>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</si>
  <si>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</si>
  <si>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</si>
  <si>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</si>
  <si>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</si>
  <si>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</si>
  <si>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</si>
  <si>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</si>
  <si>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</si>
  <si>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</si>
  <si>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</si>
  <si>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</si>
  <si>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</si>
  <si>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</si>
  <si>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</si>
  <si>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</si>
  <si>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</si>
  <si>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</si>
  <si>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</si>
  <si>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</si>
  <si>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</si>
  <si>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</si>
  <si>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</si>
  <si>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</si>
  <si>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</si>
  <si>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</si>
  <si>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</si>
  <si>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</si>
  <si>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</si>
  <si>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</si>
  <si>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</si>
  <si>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</si>
  <si>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</si>
  <si>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</si>
  <si>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</si>
  <si>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</si>
  <si>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</si>
  <si>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</si>
  <si>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</si>
  <si>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</si>
  <si>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</si>
  <si>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</si>
  <si>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</si>
  <si>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</si>
  <si>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</si>
  <si>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</si>
  <si>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</si>
  <si>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</si>
  <si>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</si>
  <si>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</si>
  <si>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</si>
  <si>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</si>
  <si>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</si>
  <si>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</si>
  <si>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</si>
  <si>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</si>
  <si>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</si>
  <si>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</si>
  <si>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</si>
  <si>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</si>
  <si>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</si>
  <si>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</si>
  <si>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</si>
  <si>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</si>
  <si>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</si>
  <si>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</si>
  <si>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</si>
  <si>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</si>
  <si>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</si>
  <si>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</si>
  <si>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</si>
  <si>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</si>
  <si>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</si>
  <si>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</si>
  <si>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</si>
  <si>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</si>
  <si>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</si>
  <si>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</si>
  <si>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</si>
  <si>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</si>
  <si>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</si>
  <si>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</si>
  <si>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</si>
  <si>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</si>
  <si>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</si>
  <si>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</si>
  <si>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</si>
  <si>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</si>
  <si>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</si>
  <si>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</si>
  <si>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</si>
  <si>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</si>
  <si>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</si>
  <si>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</si>
  <si>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</si>
  <si>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</si>
  <si>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</si>
  <si>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</si>
  <si>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</si>
  <si>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</si>
  <si>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</si>
  <si>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</si>
  <si>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</si>
  <si>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</si>
  <si>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</si>
  <si>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</si>
  <si>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</si>
  <si>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</si>
  <si>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</si>
  <si>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</si>
  <si>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</si>
  <si>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</si>
  <si>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</si>
  <si>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</si>
  <si>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</si>
  <si>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</si>
  <si>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</si>
  <si>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</si>
  <si>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</si>
  <si>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</si>
  <si>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</si>
  <si>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</si>
  <si>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</si>
  <si>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</si>
  <si>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</si>
  <si>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</si>
  <si>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</si>
  <si>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</si>
  <si>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</si>
  <si>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</si>
  <si>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</si>
  <si>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</si>
  <si>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</si>
  <si>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</si>
  <si>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</si>
  <si>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</si>
  <si>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</si>
  <si>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</si>
  <si>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</si>
  <si>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</si>
  <si>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</si>
  <si>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</si>
  <si>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</si>
  <si>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</si>
  <si>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</si>
  <si>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</si>
  <si>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</si>
  <si>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</si>
  <si>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</si>
  <si>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</si>
  <si>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</si>
  <si>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</si>
  <si>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</si>
  <si>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</si>
  <si>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</si>
  <si>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</si>
  <si>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</si>
  <si>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</si>
  <si>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</si>
  <si>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</si>
  <si>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</si>
  <si>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</si>
  <si>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</si>
  <si>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</si>
  <si>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</si>
  <si>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</si>
  <si>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</si>
  <si>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</si>
  <si>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</si>
  <si>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</si>
  <si>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</si>
  <si>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</si>
  <si>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</si>
  <si>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</si>
  <si>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</si>
  <si>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</si>
  <si>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</si>
  <si>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</si>
  <si>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</si>
  <si>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</si>
  <si>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</si>
  <si>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</si>
  <si>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</si>
  <si>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</si>
  <si>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</si>
  <si>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</si>
  <si>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</si>
  <si>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</si>
  <si>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</si>
  <si>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</si>
  <si>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</si>
  <si>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</si>
  <si>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</si>
  <si>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</si>
  <si>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</si>
  <si>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</si>
  <si>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</si>
  <si>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</si>
  <si>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</si>
  <si>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</si>
  <si>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</si>
  <si>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</si>
  <si>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</si>
  <si>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</si>
  <si>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</si>
  <si>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</si>
  <si>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</si>
  <si>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</si>
  <si>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</si>
  <si>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</si>
  <si>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</si>
  <si>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</si>
  <si>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</si>
  <si>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</si>
  <si>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</si>
  <si>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</si>
  <si>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</si>
  <si>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</si>
  <si>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</si>
  <si>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</si>
  <si>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</si>
  <si>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</si>
  <si>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</si>
  <si>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</si>
  <si>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</si>
  <si>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</si>
  <si>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</si>
  <si>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</si>
  <si>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</si>
  <si>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</si>
  <si>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</si>
  <si>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</si>
  <si>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</si>
  <si>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</si>
  <si>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</si>
  <si>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</si>
  <si>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</si>
  <si>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</si>
  <si>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</si>
  <si>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</si>
  <si>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</si>
  <si>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</si>
  <si>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</si>
  <si>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</si>
  <si>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</si>
  <si>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</si>
  <si>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</si>
  <si>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</si>
  <si>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</si>
  <si>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</si>
  <si>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</si>
  <si>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</si>
  <si>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</si>
  <si>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</si>
  <si>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</si>
  <si>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</si>
  <si>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</si>
  <si>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</si>
  <si>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</si>
  <si>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</si>
  <si>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</si>
  <si>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</si>
  <si>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</si>
  <si>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</si>
  <si>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</si>
  <si>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</si>
  <si>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</si>
  <si>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</si>
  <si>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</si>
  <si>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</si>
  <si>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</si>
  <si>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</si>
  <si>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</si>
  <si>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</si>
  <si>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</si>
  <si>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</si>
  <si>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</si>
  <si>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</si>
  <si>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</si>
  <si>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</si>
  <si>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</si>
  <si>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</si>
  <si>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</si>
  <si>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</si>
  <si>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</si>
  <si>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</si>
  <si>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</si>
  <si>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</si>
  <si>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</si>
  <si>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</si>
  <si>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</si>
  <si>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</si>
  <si>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</si>
  <si>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</si>
  <si>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</si>
  <si>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</si>
  <si>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</si>
  <si>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</si>
  <si>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</si>
  <si>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</si>
  <si>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</si>
  <si>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</si>
  <si>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</si>
  <si>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</si>
  <si>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</si>
  <si>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</si>
  <si>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</si>
  <si>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</si>
  <si>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</si>
  <si>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</si>
  <si>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</si>
  <si>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</si>
  <si>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</si>
  <si>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</si>
  <si>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</si>
  <si>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</si>
  <si>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</si>
  <si>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</si>
  <si>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</si>
  <si>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</si>
  <si>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</si>
  <si>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</si>
  <si>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</si>
  <si>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</si>
  <si>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</si>
  <si>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</si>
  <si>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</si>
  <si>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</si>
  <si>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</si>
  <si>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</si>
  <si>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</si>
  <si>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</si>
  <si>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</si>
  <si>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</si>
  <si>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</si>
  <si>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</si>
  <si>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</si>
  <si>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</si>
  <si>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</si>
  <si>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</si>
  <si>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</si>
  <si>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</si>
  <si>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</si>
  <si>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</si>
  <si>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</si>
  <si>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</si>
  <si>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</si>
  <si>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</si>
  <si>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</si>
  <si>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</si>
  <si>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</si>
  <si>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</si>
  <si>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</si>
  <si>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</si>
  <si>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</si>
  <si>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</si>
  <si>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</si>
  <si>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</si>
  <si>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</si>
  <si>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</si>
  <si>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</si>
  <si>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</si>
  <si>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</si>
  <si>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</si>
  <si>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</si>
  <si>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</si>
  <si>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</si>
  <si>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</si>
  <si>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</si>
  <si>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</si>
  <si>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</si>
  <si>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</si>
  <si>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</si>
  <si>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</si>
  <si>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</si>
  <si>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</si>
  <si>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</si>
  <si>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</si>
  <si>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</si>
  <si>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</si>
  <si>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</si>
  <si>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</si>
  <si>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</si>
  <si>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</si>
  <si>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</si>
  <si>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</si>
  <si>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</si>
  <si>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</si>
  <si>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</si>
  <si>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</si>
  <si>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</si>
  <si>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</si>
  <si>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</si>
  <si>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</si>
  <si>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</si>
  <si>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</si>
  <si>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</si>
  <si>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</si>
  <si>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</si>
  <si>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</si>
  <si>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</si>
  <si>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</si>
  <si>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</si>
  <si>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</si>
  <si>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</si>
  <si>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</si>
  <si>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</si>
  <si>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</si>
  <si>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</si>
  <si>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</si>
  <si>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</si>
  <si>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</si>
  <si>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</si>
  <si>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</si>
  <si>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</si>
  <si>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</si>
  <si>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</si>
  <si>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</si>
  <si>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</si>
  <si>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</si>
  <si>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</si>
  <si>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</si>
  <si>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</si>
  <si>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</si>
  <si>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</si>
  <si>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</si>
  <si>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</si>
  <si>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</si>
  <si>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</si>
  <si>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</si>
  <si>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</si>
  <si>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</si>
  <si>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</si>
  <si>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</si>
  <si>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</si>
  <si>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</si>
  <si>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</si>
  <si>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</si>
  <si>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</si>
  <si>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</si>
  <si>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</si>
  <si>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</si>
  <si>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</si>
  <si>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</si>
  <si>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</si>
  <si>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</si>
  <si>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</si>
  <si>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</si>
  <si>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</si>
  <si>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</si>
  <si>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</si>
  <si>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</si>
  <si>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</si>
  <si>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</si>
  <si>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</si>
  <si>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</si>
  <si>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</si>
  <si>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</si>
  <si>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</si>
  <si>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</si>
  <si>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</si>
  <si>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</si>
  <si>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</si>
  <si>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</si>
  <si>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</si>
  <si>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</si>
  <si>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</si>
  <si>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</si>
  <si>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</si>
  <si>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</si>
  <si>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</si>
  <si>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</si>
  <si>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</si>
  <si>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</si>
  <si>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</si>
  <si>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</si>
  <si>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</si>
  <si>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</si>
  <si>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</si>
  <si>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</si>
  <si>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</si>
  <si>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</si>
  <si>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</si>
  <si>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</si>
  <si>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</si>
  <si>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</si>
  <si>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</si>
  <si>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</si>
  <si>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</si>
  <si>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</si>
  <si>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</si>
  <si>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</si>
  <si>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</si>
  <si>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</si>
  <si>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</si>
  <si>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</si>
  <si>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</si>
  <si>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</si>
  <si>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</si>
  <si>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</si>
  <si>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</si>
  <si>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</si>
  <si>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</si>
  <si>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</si>
  <si>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</si>
  <si>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</si>
  <si>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</si>
  <si>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</si>
  <si>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</si>
  <si>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</si>
  <si>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</si>
  <si>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</si>
  <si>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</si>
  <si>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</si>
  <si>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</si>
  <si>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</si>
  <si>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</si>
  <si>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</si>
  <si>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</si>
  <si>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</si>
  <si>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</si>
  <si>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</si>
  <si>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</si>
  <si>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</si>
  <si>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</si>
  <si>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</si>
  <si>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</si>
  <si>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</si>
  <si>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</si>
  <si>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</si>
  <si>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</si>
  <si>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</si>
  <si>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</si>
  <si>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</si>
  <si>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</si>
  <si>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</si>
  <si>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</si>
  <si>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</si>
  <si>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</si>
  <si>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</si>
  <si>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</si>
  <si>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</si>
  <si>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</si>
  <si>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</si>
  <si>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</si>
  <si>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</si>
  <si>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</si>
  <si>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</si>
  <si>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</si>
  <si>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</si>
  <si>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</si>
  <si>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</si>
  <si>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</si>
  <si>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</si>
  <si>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</si>
  <si>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</si>
  <si>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</si>
  <si>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</si>
  <si>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</si>
  <si>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</si>
  <si>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</si>
  <si>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</si>
  <si>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</si>
  <si>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</si>
  <si>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</si>
  <si>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</si>
  <si>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</si>
  <si>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</si>
  <si>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</si>
  <si>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</si>
  <si>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</si>
  <si>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</si>
  <si>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</si>
  <si>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</si>
  <si>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</si>
  <si>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</si>
  <si>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</si>
  <si>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</si>
  <si>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</si>
  <si>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</si>
  <si>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</si>
  <si>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</si>
  <si>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</si>
  <si>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</si>
  <si>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</si>
  <si>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</si>
  <si>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</si>
  <si>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</si>
  <si>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</si>
  <si>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</si>
  <si>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</si>
  <si>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</si>
  <si>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</si>
  <si>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</si>
  <si>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</si>
  <si>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</si>
  <si>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</si>
  <si>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</si>
  <si>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</si>
  <si>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</si>
  <si>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</si>
  <si>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</si>
  <si>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</si>
  <si>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</si>
  <si>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</si>
  <si>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</si>
  <si>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</si>
  <si>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</si>
  <si>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</si>
  <si>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</si>
  <si>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</si>
  <si>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</si>
  <si>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</si>
  <si>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</si>
  <si>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</si>
  <si>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</si>
  <si>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</si>
  <si>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</si>
  <si>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</si>
  <si>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</si>
  <si>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</si>
  <si>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</si>
  <si>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</si>
  <si>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</si>
  <si>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</si>
  <si>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</si>
  <si>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</si>
  <si>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</si>
  <si>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</si>
  <si>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</si>
  <si>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</si>
  <si>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</si>
  <si>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</si>
  <si>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</si>
  <si>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</si>
  <si>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</si>
  <si>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</si>
  <si>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</si>
  <si>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</si>
  <si>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</si>
  <si>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</si>
  <si>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</si>
  <si>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</si>
  <si>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</si>
  <si>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</si>
  <si>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</si>
  <si>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</si>
  <si>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</si>
  <si>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</si>
  <si>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</si>
  <si>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</si>
  <si>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</si>
  <si>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</si>
  <si>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</si>
  <si>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</si>
  <si>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</si>
  <si>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</si>
  <si>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</si>
  <si>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</si>
  <si>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</si>
  <si>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</si>
  <si>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</si>
  <si>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</si>
  <si>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</si>
  <si>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</si>
  <si>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</si>
  <si>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</si>
  <si>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</si>
  <si>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</si>
  <si>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</si>
  <si>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</si>
  <si>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</si>
  <si>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</si>
  <si>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</si>
  <si>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</si>
  <si>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</si>
  <si>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</si>
  <si>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</si>
  <si>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</si>
  <si>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</si>
  <si>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</si>
  <si>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</si>
  <si>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</si>
  <si>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</si>
  <si>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</si>
  <si>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</si>
  <si>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</si>
  <si>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</si>
  <si>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</si>
  <si>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</si>
  <si>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</si>
  <si>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</si>
  <si>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</si>
  <si>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</si>
  <si>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</si>
  <si>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</si>
  <si>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</si>
  <si>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</si>
  <si>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</si>
  <si>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</si>
  <si>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</si>
  <si>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</si>
  <si>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</si>
  <si>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</si>
  <si>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</si>
  <si>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</si>
  <si>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</si>
  <si>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</si>
  <si>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</si>
  <si>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</si>
  <si>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</si>
  <si>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</si>
  <si>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</si>
  <si>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</si>
  <si>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</si>
  <si>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</si>
  <si>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</si>
  <si>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</si>
  <si>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</si>
  <si>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</si>
  <si>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</si>
  <si>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</si>
  <si>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</si>
  <si>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</si>
  <si>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</si>
  <si>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</si>
  <si>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</si>
  <si>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</si>
  <si>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</si>
  <si>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</si>
  <si>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</si>
  <si>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</si>
  <si>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</si>
  <si>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</si>
  <si>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</si>
  <si>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</si>
  <si>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</si>
  <si>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</si>
  <si>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</si>
  <si>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</si>
  <si>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</si>
  <si>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</si>
  <si>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</si>
  <si>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</si>
  <si>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</si>
  <si>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</si>
  <si>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</si>
  <si>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</si>
  <si>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</si>
  <si>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</si>
  <si>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</si>
  <si>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</si>
  <si>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</si>
  <si>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</si>
  <si>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</si>
  <si>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</si>
  <si>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</si>
  <si>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</si>
  <si>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</si>
  <si>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</si>
  <si>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</si>
  <si>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</si>
  <si>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</si>
  <si>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</si>
  <si>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</si>
  <si>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</si>
  <si>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</si>
  <si>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</si>
  <si>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</si>
  <si>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</si>
  <si>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</si>
  <si>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</si>
  <si>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</si>
  <si>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</si>
  <si>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</si>
  <si>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</si>
  <si>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</si>
  <si>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</si>
  <si>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</si>
  <si>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</si>
  <si>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</si>
  <si>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</si>
  <si>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</si>
  <si>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</si>
  <si>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</si>
  <si>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</si>
  <si>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</si>
  <si>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</si>
  <si>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</si>
  <si>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</si>
  <si>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</si>
  <si>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</si>
  <si>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</si>
  <si>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</si>
  <si>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</si>
  <si>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</si>
  <si>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</si>
  <si>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</si>
  <si>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</si>
  <si>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</si>
  <si>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</si>
  <si>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</si>
  <si>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</si>
  <si>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</si>
  <si>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</si>
  <si>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</si>
  <si>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</si>
  <si>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</si>
  <si>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</si>
  <si>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</si>
  <si>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</si>
  <si>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</si>
  <si>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</si>
  <si>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</si>
  <si>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</si>
  <si>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</si>
  <si>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</si>
  <si>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</si>
  <si>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</si>
  <si>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</si>
  <si>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</si>
  <si>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</si>
  <si>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</si>
  <si>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</si>
  <si>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</si>
  <si>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</si>
  <si>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</si>
  <si>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</si>
  <si>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</si>
  <si>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</si>
  <si>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</si>
  <si>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</si>
  <si>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</si>
  <si>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</si>
  <si>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</si>
  <si>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</si>
  <si>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</si>
  <si>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</si>
  <si>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</si>
  <si>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</si>
  <si>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</si>
  <si>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</si>
  <si>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</si>
  <si>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</si>
  <si>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</si>
  <si>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</si>
  <si>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</si>
  <si>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</si>
  <si>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</si>
  <si>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</si>
  <si>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</si>
  <si>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</si>
  <si>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</si>
  <si>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</si>
  <si>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</si>
  <si>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</si>
  <si>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</si>
  <si>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</si>
  <si>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</si>
  <si>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</si>
  <si>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</si>
  <si>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</si>
  <si>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</si>
  <si>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</si>
  <si>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</si>
  <si>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</si>
  <si>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</si>
  <si>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</si>
  <si>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</si>
  <si>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</si>
  <si>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</si>
  <si>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</si>
  <si>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</si>
  <si>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</si>
  <si>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</si>
  <si>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</si>
  <si>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</si>
  <si>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</si>
  <si>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</si>
  <si>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</si>
  <si>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</si>
  <si>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</si>
  <si>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</si>
  <si>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</si>
  <si>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</si>
  <si>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</si>
  <si>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</si>
  <si>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</si>
  <si>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</si>
  <si>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</si>
  <si>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</si>
  <si>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</si>
  <si>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</si>
  <si>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</si>
  <si>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</si>
  <si>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</si>
  <si>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</si>
  <si>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</si>
  <si>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</si>
  <si>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</si>
  <si>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</si>
  <si>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</si>
  <si>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</si>
  <si>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</si>
  <si>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</si>
  <si>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</si>
  <si>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</si>
  <si>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</si>
  <si>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</si>
  <si>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</si>
  <si>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</si>
  <si>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</si>
  <si>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</si>
  <si>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</si>
  <si>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</si>
  <si>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</si>
  <si>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</si>
  <si>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</si>
  <si>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</si>
  <si>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</si>
  <si>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</si>
  <si>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</si>
  <si>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</si>
  <si>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</si>
  <si>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</si>
  <si>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</si>
  <si>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</si>
  <si>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</si>
  <si>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</si>
  <si>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</si>
  <si>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</si>
  <si>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</si>
  <si>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</si>
  <si>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</si>
  <si>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</si>
  <si>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</si>
  <si>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</si>
  <si>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</si>
  <si>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</si>
  <si>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</si>
  <si>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</si>
  <si>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</si>
  <si>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</si>
  <si>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</si>
  <si>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</si>
  <si>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</si>
  <si>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</si>
  <si>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</si>
  <si>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</si>
  <si>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</si>
  <si>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</si>
  <si>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</si>
  <si>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</si>
  <si>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</si>
  <si>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</si>
  <si>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</si>
  <si>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</si>
  <si>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</si>
  <si>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</si>
  <si>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</si>
  <si>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</si>
  <si>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</si>
  <si>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</si>
  <si>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</si>
  <si>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</si>
  <si>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</si>
  <si>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</si>
  <si>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</si>
  <si>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</si>
  <si>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</si>
  <si>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</si>
  <si>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</si>
  <si>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</si>
  <si>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</si>
  <si>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</si>
  <si>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</si>
  <si>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</si>
  <si>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</si>
  <si>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</si>
  <si>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</si>
  <si>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</si>
  <si>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</si>
  <si>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</si>
  <si>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</si>
  <si>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</si>
  <si>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</si>
  <si>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</si>
  <si>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</si>
  <si>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</si>
  <si>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</si>
  <si>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</si>
  <si>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</si>
  <si>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</si>
  <si>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</si>
  <si>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</si>
  <si>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</si>
  <si>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</si>
  <si>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</si>
  <si>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</si>
  <si>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</si>
  <si>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</si>
  <si>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</si>
  <si>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</si>
  <si>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</si>
  <si>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</si>
  <si>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</si>
  <si>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</si>
  <si>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</si>
  <si>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</si>
  <si>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</si>
  <si>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</si>
  <si>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</si>
  <si>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</si>
  <si>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</si>
  <si>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</si>
  <si>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</si>
  <si>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</si>
  <si>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</si>
  <si>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</si>
  <si>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</si>
  <si>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</si>
  <si>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</si>
  <si>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</si>
  <si>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</si>
  <si>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</si>
  <si>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</si>
  <si>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</si>
  <si>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</si>
  <si>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</si>
  <si>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</si>
  <si>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</si>
  <si>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</si>
  <si>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</si>
  <si>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</si>
  <si>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</si>
  <si>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</si>
  <si>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</si>
  <si>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</si>
  <si>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</si>
  <si>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</si>
  <si>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</si>
  <si>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</si>
  <si>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</si>
  <si>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</si>
  <si>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</si>
  <si>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</si>
  <si>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</si>
  <si>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</si>
  <si>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</si>
  <si>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</si>
  <si>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</si>
  <si>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</si>
  <si>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</si>
  <si>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</si>
  <si>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</si>
  <si>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</si>
  <si>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</si>
  <si>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</si>
  <si>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</si>
  <si>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</si>
  <si>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</si>
  <si>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</si>
  <si>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</si>
  <si>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</si>
  <si>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</si>
  <si>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</si>
  <si>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</si>
  <si>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</si>
  <si>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</si>
  <si>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</si>
  <si>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</si>
  <si>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</si>
  <si>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</si>
  <si>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</si>
  <si>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</si>
  <si>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</si>
  <si>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</si>
  <si>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</si>
  <si>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</si>
  <si>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</si>
  <si>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</si>
  <si>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</si>
  <si>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</si>
  <si>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</si>
  <si>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</si>
  <si>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</si>
  <si>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</si>
  <si>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</si>
  <si>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</si>
  <si>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</si>
  <si>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</si>
  <si>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</si>
  <si>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</si>
  <si>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</si>
  <si>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</si>
  <si>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</si>
  <si>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</si>
  <si>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</si>
  <si>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</si>
  <si>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</si>
  <si>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</si>
  <si>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</si>
  <si>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</si>
  <si>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</si>
  <si>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</si>
  <si>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</si>
  <si>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</si>
  <si>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</si>
  <si>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</si>
  <si>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</si>
  <si>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</si>
  <si>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</si>
  <si>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</si>
  <si>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</si>
  <si>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</si>
  <si>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</si>
  <si>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</si>
  <si>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</si>
  <si>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</si>
  <si>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</si>
  <si>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</si>
  <si>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</si>
  <si>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</si>
  <si>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</si>
  <si>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</si>
  <si>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</si>
  <si>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</si>
  <si>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</si>
  <si>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</si>
  <si>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</si>
  <si>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</si>
  <si>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</si>
  <si>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</si>
  <si>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</si>
  <si>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</si>
  <si>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</si>
  <si>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</si>
  <si>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</si>
  <si>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</si>
  <si>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</si>
  <si>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</si>
  <si>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</si>
  <si>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</si>
  <si>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</si>
  <si>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</si>
  <si>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</si>
  <si>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</si>
  <si>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</si>
  <si>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</si>
  <si>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</si>
  <si>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</si>
  <si>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</si>
  <si>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</si>
  <si>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</si>
  <si>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</si>
  <si>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</si>
  <si>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</si>
  <si>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</si>
  <si>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</si>
  <si>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</si>
  <si>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</si>
  <si>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</si>
  <si>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</si>
  <si>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</si>
  <si>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</si>
  <si>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</si>
  <si>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</si>
  <si>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</si>
  <si>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</si>
  <si>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</si>
  <si>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</si>
  <si>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</si>
  <si>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</si>
  <si>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</si>
  <si>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</si>
  <si>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</si>
  <si>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</si>
  <si>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</si>
  <si>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</si>
  <si>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</si>
  <si>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</si>
  <si>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</si>
  <si>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</si>
  <si>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</si>
  <si>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</si>
  <si>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</si>
  <si>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</si>
  <si>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</si>
  <si>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</si>
  <si>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</si>
  <si>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</si>
  <si>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</si>
  <si>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</si>
  <si>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</si>
  <si>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</si>
  <si>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</si>
  <si>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</si>
  <si>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</si>
  <si>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</si>
  <si>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</si>
  <si>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</si>
  <si>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</si>
  <si>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</si>
  <si>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</si>
  <si>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</si>
  <si>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</si>
  <si>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</si>
  <si>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</si>
  <si>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</si>
  <si>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</si>
  <si>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</si>
  <si>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</si>
  <si>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</si>
  <si>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</si>
  <si>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</si>
  <si>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</si>
  <si>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</si>
  <si>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</si>
  <si>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</si>
  <si>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</si>
  <si>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</si>
  <si>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</si>
  <si>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</si>
  <si>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</si>
  <si>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</si>
  <si>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</si>
  <si>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</si>
  <si>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</si>
  <si>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</si>
  <si>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</si>
  <si>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</si>
  <si>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</si>
  <si>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</si>
  <si>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</si>
  <si>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</si>
  <si>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</si>
  <si>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</si>
  <si>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</si>
  <si>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</si>
  <si>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</si>
  <si>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</si>
  <si>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</si>
  <si>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</si>
  <si>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</si>
  <si>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</si>
  <si>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</si>
  <si>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</si>
  <si>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</si>
  <si>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</si>
  <si>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</si>
  <si>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</si>
  <si>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</si>
  <si>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</si>
  <si>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</si>
  <si>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</si>
  <si>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</si>
  <si>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</si>
  <si>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</si>
  <si>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</si>
  <si>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</si>
  <si>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</si>
  <si>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</si>
  <si>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</si>
  <si>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</si>
  <si>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</si>
  <si>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</si>
  <si>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</si>
  <si>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</si>
  <si>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</si>
  <si>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</si>
  <si>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</si>
  <si>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</si>
  <si>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</si>
  <si>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</si>
  <si>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</si>
  <si>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</si>
  <si>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</si>
  <si>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</si>
  <si>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</si>
  <si>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</si>
  <si>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</si>
  <si>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</si>
  <si>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</si>
  <si>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</si>
  <si>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</si>
  <si>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</si>
  <si>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</si>
  <si>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</si>
  <si>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</si>
  <si>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</si>
  <si>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</si>
  <si>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</si>
  <si>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</si>
  <si>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</si>
  <si>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</si>
  <si>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</si>
  <si>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</si>
  <si>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</si>
  <si>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</si>
  <si>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</si>
  <si>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</si>
  <si>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</si>
  <si>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</si>
  <si>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</si>
  <si>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</si>
  <si>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</si>
  <si>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</si>
  <si>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</si>
  <si>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</si>
  <si>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</si>
  <si>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</si>
  <si>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</si>
  <si>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</si>
  <si>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</si>
  <si>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</si>
  <si>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</si>
  <si>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</si>
  <si>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</si>
  <si>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</si>
  <si>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</si>
  <si>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</si>
  <si>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</si>
  <si>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</si>
  <si>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</si>
  <si>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</si>
  <si>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</si>
  <si>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</si>
  <si>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</si>
  <si>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</si>
  <si>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</si>
  <si>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</si>
  <si>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</si>
  <si>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</si>
  <si>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</si>
  <si>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</si>
  <si>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</si>
  <si>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</si>
  <si>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</si>
  <si>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</si>
  <si>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</si>
  <si>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</si>
  <si>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</si>
  <si>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</si>
  <si>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</si>
  <si>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</si>
  <si>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</si>
  <si>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</si>
  <si>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</si>
  <si>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</si>
  <si>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</si>
  <si>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</si>
  <si>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</si>
  <si>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</si>
  <si>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</si>
  <si>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</si>
  <si>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</si>
  <si>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</si>
  <si>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</si>
  <si>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</si>
  <si>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</si>
  <si>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</si>
  <si>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</si>
  <si>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</si>
  <si>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</si>
  <si>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</si>
  <si>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</si>
  <si>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</si>
  <si>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</si>
  <si>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</si>
  <si>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</si>
  <si>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</si>
  <si>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</si>
  <si>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</si>
  <si>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</si>
  <si>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</si>
  <si>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</si>
  <si>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</si>
  <si>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</si>
  <si>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</si>
  <si>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</si>
  <si>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</si>
  <si>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</si>
  <si>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</si>
  <si>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</si>
  <si>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</si>
  <si>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</si>
  <si>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</si>
  <si>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</si>
  <si>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</si>
  <si>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</si>
  <si>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</si>
  <si>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</si>
  <si>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</si>
  <si>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</si>
  <si>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</si>
  <si>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</si>
  <si>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</si>
  <si>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</si>
  <si>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</si>
  <si>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</si>
  <si>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</si>
  <si>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</si>
  <si>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</si>
  <si>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</si>
  <si>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</si>
  <si>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</si>
  <si>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</si>
  <si>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</si>
  <si>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</si>
  <si>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</si>
  <si>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</si>
  <si>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</si>
  <si>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</si>
  <si>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</si>
  <si>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</si>
  <si>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</si>
  <si>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</si>
  <si>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</si>
  <si>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</si>
  <si>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</si>
  <si>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</si>
  <si>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</si>
  <si>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</si>
  <si>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</si>
  <si>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</si>
  <si>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</si>
  <si>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</si>
  <si>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</si>
  <si>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</si>
  <si>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</si>
  <si>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</si>
  <si>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</si>
  <si>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</si>
  <si>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</si>
  <si>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</si>
  <si>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</si>
  <si>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</si>
  <si>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</si>
  <si>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</si>
  <si>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</si>
  <si>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</si>
  <si>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</si>
  <si>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</si>
  <si>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</si>
  <si>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</si>
  <si>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</si>
  <si>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</si>
  <si>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</si>
  <si>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</si>
  <si>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</si>
  <si>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</si>
  <si>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</si>
  <si>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</si>
  <si>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</si>
  <si>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</si>
  <si>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</si>
  <si>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</si>
  <si>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</si>
  <si>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</si>
  <si>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</si>
  <si>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</si>
  <si>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</si>
  <si>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</si>
  <si>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</si>
  <si>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</si>
  <si>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</si>
  <si>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</si>
  <si>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</si>
  <si>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</si>
  <si>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</si>
  <si>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</si>
  <si>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</si>
  <si>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</si>
  <si>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</si>
  <si>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</si>
  <si>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</si>
  <si>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</si>
  <si>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</si>
  <si>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</si>
  <si>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</si>
  <si>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</si>
  <si>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</si>
  <si>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</si>
  <si>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</si>
  <si>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</si>
  <si>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</si>
  <si>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</si>
  <si>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</si>
  <si>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</si>
  <si>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</si>
  <si>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</si>
  <si>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</si>
  <si>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</si>
  <si>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</si>
  <si>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</si>
  <si>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</si>
  <si>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</si>
  <si>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</si>
  <si>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</si>
  <si>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</si>
  <si>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</si>
  <si>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</si>
  <si>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</si>
  <si>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</si>
  <si>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</si>
  <si>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</si>
  <si>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</si>
  <si>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</si>
  <si>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</si>
  <si>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</si>
  <si>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</si>
  <si>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</si>
  <si>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</si>
  <si>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</si>
  <si>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</si>
  <si>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</si>
  <si>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</si>
  <si>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</si>
  <si>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</si>
  <si>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</si>
  <si>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</si>
  <si>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</si>
  <si>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</si>
  <si>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</si>
  <si>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</si>
  <si>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</si>
  <si>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</si>
  <si>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</si>
  <si>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</si>
  <si>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</si>
  <si>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</si>
  <si>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</si>
  <si>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</si>
  <si>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</si>
  <si>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</si>
  <si>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</si>
  <si>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</si>
  <si>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</si>
  <si>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</si>
  <si>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</si>
  <si>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</si>
  <si>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</si>
  <si>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</si>
  <si>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</si>
  <si>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</si>
  <si>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</si>
  <si>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</si>
  <si>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</si>
  <si>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</si>
  <si>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</si>
  <si>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</si>
  <si>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</si>
  <si>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</si>
  <si>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</si>
  <si>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</si>
  <si>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</si>
  <si>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</si>
  <si>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</si>
  <si>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</si>
  <si>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</si>
  <si>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</si>
  <si>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</si>
  <si>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</si>
  <si>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</si>
  <si>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</si>
  <si>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</si>
  <si>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</si>
  <si>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</si>
  <si>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</si>
  <si>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</si>
  <si>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</si>
  <si>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</si>
  <si>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</si>
  <si>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</si>
  <si>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</si>
  <si>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</si>
  <si>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</si>
  <si>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</si>
  <si>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</si>
  <si>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</si>
  <si>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</si>
  <si>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</si>
  <si>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</si>
  <si>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</si>
  <si>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</si>
  <si>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</si>
  <si>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</si>
  <si>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</si>
  <si>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</si>
  <si>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</si>
  <si>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</si>
  <si>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</si>
  <si>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</si>
  <si>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</si>
  <si>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</si>
  <si>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</si>
  <si>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</si>
  <si>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</si>
  <si>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</si>
  <si>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</si>
  <si>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</si>
  <si>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</si>
  <si>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</si>
  <si>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</si>
  <si>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</si>
  <si>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</si>
  <si>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</si>
  <si>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</si>
  <si>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</si>
  <si>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</si>
  <si>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</si>
  <si>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</si>
  <si>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</si>
  <si>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</si>
  <si>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</si>
  <si>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</si>
  <si>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</si>
  <si>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</si>
  <si>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</si>
  <si>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</si>
  <si>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</si>
  <si>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</si>
  <si>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</si>
  <si>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</si>
  <si>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</si>
  <si>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</si>
  <si>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</si>
  <si>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</si>
  <si>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</si>
  <si>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</si>
  <si>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</si>
  <si>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</si>
  <si>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</si>
  <si>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</si>
  <si>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</si>
  <si>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</si>
  <si>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</si>
  <si>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</si>
  <si>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</si>
  <si>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</si>
  <si>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</si>
  <si>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</si>
  <si>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</si>
  <si>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</si>
  <si>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</si>
  <si>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</si>
  <si>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</si>
  <si>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</si>
  <si>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</si>
  <si>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</si>
  <si>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</si>
  <si>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</si>
  <si>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</si>
  <si>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</si>
  <si>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</si>
  <si>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</si>
  <si>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</si>
  <si>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</si>
  <si>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</si>
  <si>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</si>
  <si>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</si>
  <si>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</si>
  <si>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</si>
  <si>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</si>
  <si>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</si>
  <si>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</si>
  <si>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</si>
  <si>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</si>
  <si>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</si>
  <si>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</si>
  <si>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</si>
  <si>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</si>
  <si>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</si>
  <si>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</si>
  <si>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</si>
  <si>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</si>
  <si>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</si>
  <si>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</si>
  <si>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</si>
  <si>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</si>
  <si>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</si>
  <si>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</si>
  <si>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</si>
  <si>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</si>
  <si>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</si>
  <si>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</si>
  <si>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</si>
  <si>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</si>
  <si>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</si>
  <si>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</si>
  <si>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</si>
  <si>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</si>
  <si>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</si>
  <si>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</si>
  <si>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</si>
  <si>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</si>
  <si>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</si>
  <si>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</si>
  <si>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</si>
  <si>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</si>
  <si>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</si>
  <si>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</si>
  <si>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</si>
  <si>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</si>
  <si>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</si>
  <si>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</si>
  <si>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</si>
  <si>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</si>
  <si>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</si>
  <si>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</si>
  <si>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</si>
  <si>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</si>
  <si>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</si>
  <si>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</si>
  <si>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</si>
  <si>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</si>
  <si>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</si>
  <si>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</si>
  <si>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</si>
  <si>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</si>
  <si>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</si>
  <si>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</si>
  <si>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</si>
  <si>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</si>
  <si>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</si>
  <si>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</si>
  <si>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</si>
  <si>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</si>
  <si>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</si>
  <si>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</si>
  <si>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</si>
  <si>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</si>
  <si>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</si>
  <si>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</si>
  <si>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</si>
  <si>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</si>
  <si>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</si>
  <si>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</si>
  <si>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</si>
  <si>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</si>
  <si>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</si>
  <si>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</si>
  <si>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</si>
  <si>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</si>
  <si>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</si>
  <si>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</si>
  <si>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</si>
  <si>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</si>
  <si>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</si>
  <si>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</si>
  <si>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</si>
  <si>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</si>
  <si>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</si>
  <si>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</si>
  <si>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</si>
  <si>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</si>
  <si>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</si>
  <si>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</si>
  <si>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</si>
  <si>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</si>
  <si>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</si>
  <si>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</si>
  <si>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</si>
  <si>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</si>
  <si>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</si>
  <si>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</si>
  <si>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</si>
  <si>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</si>
  <si>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</si>
  <si>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</si>
  <si>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</si>
  <si>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</si>
  <si>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</si>
  <si>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</si>
  <si>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</si>
  <si>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</si>
  <si>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</si>
  <si>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</si>
  <si>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</si>
  <si>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</si>
  <si>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</si>
  <si>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</si>
  <si>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</si>
  <si>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</si>
  <si>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</si>
  <si>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</si>
  <si>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</si>
  <si>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</si>
  <si>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</si>
  <si>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</si>
  <si>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</si>
  <si>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</si>
  <si>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</si>
  <si>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</si>
  <si>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</si>
  <si>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</si>
  <si>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</si>
  <si>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</si>
  <si>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</si>
  <si>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</si>
  <si>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</si>
  <si>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</si>
  <si>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</si>
  <si>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</si>
  <si>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</si>
  <si>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</si>
  <si>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</si>
  <si>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</si>
  <si>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</si>
  <si>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</si>
  <si>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</si>
  <si>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</si>
  <si>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</si>
  <si>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</si>
  <si>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</si>
  <si>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</si>
  <si>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</si>
  <si>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</si>
  <si>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</si>
  <si>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</si>
  <si>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</si>
  <si>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</si>
  <si>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</si>
  <si>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</si>
  <si>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</si>
  <si>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</si>
  <si>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</si>
  <si>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</si>
  <si>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</si>
  <si>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</si>
  <si>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</si>
  <si>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</si>
  <si>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</si>
  <si>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</si>
  <si>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</si>
  <si>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</si>
  <si>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</si>
  <si>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</si>
  <si>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</si>
  <si>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</si>
  <si>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</si>
  <si>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</si>
  <si>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</si>
  <si>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</si>
  <si>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</si>
  <si>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</si>
  <si>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</si>
  <si>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</si>
  <si>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</si>
  <si>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</si>
  <si>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</si>
  <si>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</si>
  <si>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</si>
  <si>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</si>
  <si>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</si>
  <si>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</si>
  <si>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</si>
  <si>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</si>
  <si>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</si>
  <si>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</si>
  <si>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</si>
  <si>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</si>
  <si>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</si>
  <si>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</si>
  <si>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</si>
  <si>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</si>
  <si>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</si>
  <si>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</si>
  <si>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</si>
  <si>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</si>
  <si>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</si>
  <si>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</si>
  <si>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</si>
  <si>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</si>
  <si>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</si>
  <si>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</si>
  <si>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</si>
  <si>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</si>
  <si>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</si>
  <si>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</si>
  <si>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</si>
  <si>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</si>
  <si>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</si>
  <si>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</si>
  <si>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</si>
  <si>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</si>
  <si>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</si>
  <si>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</si>
  <si>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</si>
  <si>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</si>
  <si>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</si>
  <si>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</si>
  <si>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</si>
  <si>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</si>
  <si>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</si>
  <si>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</si>
  <si>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</si>
  <si>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</si>
  <si>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</si>
  <si>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</si>
  <si>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</si>
  <si>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</si>
  <si>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</si>
  <si>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</si>
  <si>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</si>
  <si>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</si>
  <si>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</si>
  <si>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</si>
  <si>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</si>
  <si>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</si>
  <si>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</si>
  <si>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</si>
  <si>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</si>
  <si>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</si>
  <si>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</si>
  <si>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</si>
  <si>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</si>
  <si>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</si>
  <si>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</si>
  <si>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</si>
  <si>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</si>
  <si>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</si>
  <si>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</si>
  <si>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</si>
  <si>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</si>
  <si>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</si>
  <si>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</si>
  <si>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</si>
  <si>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</si>
  <si>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</si>
  <si>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</si>
  <si>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</si>
  <si>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</si>
  <si>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</si>
  <si>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</si>
  <si>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</si>
  <si>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</si>
  <si>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</si>
  <si>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</si>
  <si>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</si>
  <si>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</si>
  <si>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</si>
  <si>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</si>
  <si>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</si>
  <si>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</si>
  <si>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</si>
  <si>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</si>
  <si>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</si>
  <si>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</si>
  <si>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</si>
  <si>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</si>
  <si>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</si>
  <si>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</si>
  <si>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</si>
  <si>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</si>
  <si>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</si>
  <si>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</si>
  <si>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</si>
  <si>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</si>
  <si>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</si>
  <si>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</si>
  <si>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</si>
  <si>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</si>
  <si>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</si>
  <si>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</si>
  <si>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</si>
  <si>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</si>
  <si>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</si>
  <si>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</si>
  <si>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</si>
  <si>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</si>
  <si>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</si>
  <si>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</si>
  <si>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</si>
  <si>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</si>
  <si>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</si>
  <si>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</si>
  <si>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</si>
  <si>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</si>
  <si>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</si>
  <si>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</si>
  <si>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</si>
  <si>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</si>
  <si>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</si>
  <si>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</si>
  <si>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</si>
  <si>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</si>
  <si>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</si>
  <si>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</si>
  <si>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</si>
  <si>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</si>
  <si>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</si>
  <si>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</si>
  <si>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</si>
  <si>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</si>
  <si>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</si>
  <si>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</si>
  <si>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</si>
  <si>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</si>
  <si>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</si>
  <si>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</si>
  <si>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</si>
  <si>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</si>
  <si>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</si>
  <si>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</si>
  <si>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</si>
  <si>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</si>
  <si>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</si>
  <si>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</si>
  <si>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</si>
  <si>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</si>
  <si>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</si>
  <si>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</si>
  <si>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</si>
  <si>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</si>
  <si>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</si>
  <si>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</si>
  <si>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</si>
  <si>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</si>
  <si>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</si>
  <si>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</si>
  <si>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</si>
  <si>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</si>
  <si>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</si>
  <si>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</si>
  <si>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</si>
  <si>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</si>
  <si>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</si>
  <si>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</si>
  <si>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</si>
  <si>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</si>
  <si>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</si>
  <si>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</si>
  <si>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</si>
  <si>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</si>
  <si>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</si>
  <si>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</si>
  <si>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</si>
  <si>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</si>
  <si>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</si>
  <si>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</si>
  <si>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</si>
  <si>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</si>
  <si>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</si>
  <si>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</si>
  <si>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</si>
  <si>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</si>
  <si>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</si>
  <si>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</si>
  <si>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</si>
  <si>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</si>
  <si>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</si>
  <si>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</si>
  <si>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</si>
  <si>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</si>
  <si>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</si>
  <si>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</si>
  <si>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</si>
  <si>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</si>
  <si>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</si>
  <si>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</si>
  <si>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</si>
  <si>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</si>
  <si>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</si>
  <si>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</si>
  <si>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</si>
  <si>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</si>
  <si>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</si>
  <si>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</si>
  <si>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</si>
  <si>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</si>
  <si>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</si>
  <si>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</si>
  <si>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</si>
  <si>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</si>
  <si>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</si>
  <si>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</si>
  <si>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</si>
  <si>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</si>
  <si>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</si>
  <si>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</si>
  <si>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</si>
  <si>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</si>
  <si>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</si>
  <si>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</si>
  <si>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</si>
  <si>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</si>
  <si>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</si>
  <si>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</si>
  <si>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</si>
  <si>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</si>
  <si>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</si>
  <si>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</si>
  <si>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</si>
  <si>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</si>
  <si>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</si>
  <si>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</si>
  <si>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</si>
  <si>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</si>
  <si>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</si>
  <si>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</si>
  <si>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</si>
  <si>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</si>
  <si>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</si>
  <si>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</si>
  <si>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</si>
  <si>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</si>
  <si>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</si>
  <si>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</si>
  <si>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</si>
  <si>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</si>
  <si>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</si>
  <si>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</si>
  <si>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</si>
  <si>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</si>
  <si>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</si>
  <si>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</si>
  <si>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</si>
  <si>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</si>
  <si>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</si>
  <si>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</si>
  <si>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</si>
  <si>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</si>
  <si>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</si>
  <si>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</si>
  <si>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</si>
  <si>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</si>
  <si>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</si>
  <si>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</si>
  <si>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</si>
  <si>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</si>
  <si>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</si>
  <si>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</si>
  <si>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</si>
  <si>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</si>
  <si>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</si>
  <si>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</si>
  <si>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</si>
  <si>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</si>
  <si>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</si>
  <si>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</si>
  <si>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</si>
  <si>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</si>
  <si>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</si>
  <si>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</si>
  <si>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</si>
  <si>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</si>
  <si>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</si>
  <si>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</si>
  <si>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</si>
  <si>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</si>
  <si>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</si>
  <si>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</si>
  <si>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</si>
  <si>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</si>
  <si>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</si>
  <si>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</si>
  <si>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</si>
  <si>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</si>
  <si>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</si>
  <si>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</si>
  <si>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</si>
  <si>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</si>
  <si>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</si>
  <si>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</si>
  <si>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</si>
  <si>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</si>
  <si>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</si>
  <si>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</si>
  <si>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</si>
  <si>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</si>
  <si>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</si>
  <si>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</si>
  <si>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</si>
  <si>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</si>
  <si>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</si>
  <si>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</si>
  <si>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</si>
  <si>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</si>
  <si>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</si>
  <si>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</si>
  <si>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</si>
  <si>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</si>
  <si>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</si>
  <si>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</si>
  <si>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</si>
  <si>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</si>
  <si>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</si>
  <si>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</si>
  <si>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</si>
  <si>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</si>
  <si>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</si>
  <si>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</si>
  <si>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</si>
  <si>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</si>
  <si>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</si>
  <si>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</si>
  <si>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</si>
  <si>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</si>
  <si>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</si>
  <si>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</si>
  <si>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</si>
  <si>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</si>
  <si>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</si>
  <si>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</si>
  <si>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</si>
  <si>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</si>
  <si>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</si>
  <si>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</si>
  <si>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</si>
  <si>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</si>
  <si>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</si>
  <si>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</si>
  <si>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</si>
  <si>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</si>
  <si>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</si>
  <si>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</si>
  <si>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</si>
  <si>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</si>
  <si>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</si>
  <si>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</si>
  <si>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</si>
  <si>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</si>
  <si>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</si>
  <si>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</si>
  <si>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</si>
  <si>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</si>
  <si>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</si>
  <si>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</si>
  <si>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</si>
  <si>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</si>
  <si>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</si>
  <si>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</si>
  <si>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</si>
  <si>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</si>
  <si>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</si>
  <si>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</si>
  <si>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</si>
  <si>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</si>
  <si>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</si>
  <si>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</si>
  <si>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</si>
  <si>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</si>
  <si>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</si>
  <si>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</si>
  <si>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</si>
  <si>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</si>
  <si>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</si>
  <si>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</si>
  <si>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</si>
  <si>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</si>
  <si>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</si>
  <si>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</si>
  <si>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</si>
  <si>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</si>
  <si>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</si>
  <si>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</si>
  <si>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</si>
  <si>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</si>
  <si>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</si>
  <si>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</si>
  <si>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</si>
  <si>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</si>
  <si>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</si>
  <si>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</si>
  <si>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</si>
  <si>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</si>
  <si>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</si>
  <si>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</si>
  <si>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</si>
  <si>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</si>
  <si>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</si>
  <si>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</si>
  <si>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</si>
  <si>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</si>
  <si>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</si>
  <si>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</si>
  <si>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</si>
  <si>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</si>
  <si>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</si>
  <si>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</si>
  <si>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</si>
  <si>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</si>
  <si>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</si>
  <si>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</si>
  <si>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</si>
  <si>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</si>
  <si>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</si>
  <si>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</si>
  <si>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</si>
  <si>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</si>
  <si>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</si>
  <si>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</si>
  <si>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</si>
  <si>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</si>
  <si>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</si>
  <si>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</si>
  <si>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</si>
  <si>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</si>
  <si>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</si>
  <si>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</si>
  <si>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</si>
  <si>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</si>
  <si>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</si>
  <si>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</si>
  <si>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</si>
  <si>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</si>
  <si>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</si>
  <si>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</si>
  <si>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</si>
  <si>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</si>
  <si>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</si>
  <si>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</si>
  <si>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</si>
  <si>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</si>
  <si>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</si>
  <si>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</si>
  <si>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</si>
  <si>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</si>
  <si>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</si>
  <si>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</si>
  <si>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</si>
  <si>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</si>
  <si>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</si>
  <si>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</si>
  <si>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</si>
  <si>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</si>
  <si>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</si>
  <si>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</si>
  <si>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</si>
  <si>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</si>
  <si>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</si>
  <si>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</si>
  <si>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</si>
  <si>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</si>
  <si>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</si>
  <si>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</si>
  <si>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</si>
  <si>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</si>
  <si>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</si>
  <si>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</si>
  <si>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</si>
  <si>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</si>
  <si>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</si>
  <si>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</si>
  <si>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</si>
  <si>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</si>
  <si>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</si>
  <si>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</si>
  <si>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</si>
  <si>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</si>
  <si>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</si>
  <si>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</si>
  <si>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</si>
  <si>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</si>
  <si>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</si>
  <si>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</si>
  <si>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</si>
  <si>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</si>
  <si>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</si>
  <si>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</si>
  <si>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</si>
  <si>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</si>
  <si>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</si>
  <si>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</si>
  <si>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</si>
  <si>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</si>
  <si>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</si>
  <si>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</si>
  <si>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</si>
  <si>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</si>
  <si>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</si>
  <si>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</si>
  <si>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</si>
  <si>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</si>
  <si>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</si>
  <si>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</si>
  <si>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</si>
  <si>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</si>
  <si>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</si>
  <si>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</si>
  <si>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</si>
  <si>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</si>
  <si>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</si>
  <si>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</si>
  <si>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</si>
  <si>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</si>
  <si>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</si>
  <si>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</si>
  <si>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</si>
  <si>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</si>
  <si>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</si>
  <si>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</si>
  <si>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</si>
  <si>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</si>
  <si>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</si>
  <si>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</si>
  <si>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</si>
  <si>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</si>
  <si>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</si>
  <si>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</si>
  <si>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</si>
  <si>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</si>
  <si>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</si>
  <si>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</si>
  <si>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</si>
  <si>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</si>
  <si>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</si>
  <si>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</si>
  <si>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</si>
  <si>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</si>
  <si>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</si>
  <si>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</si>
  <si>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</si>
  <si>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</si>
  <si>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</si>
  <si>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</si>
  <si>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</si>
  <si>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</si>
  <si>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</si>
  <si>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</si>
  <si>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</si>
  <si>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</si>
  <si>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</si>
  <si>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</si>
  <si>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</si>
  <si>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</si>
  <si>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</si>
  <si>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</si>
  <si>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</si>
  <si>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</si>
  <si>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</si>
  <si>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</si>
  <si>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</si>
  <si>
    <t>Atletico Ottawa vs Inter Toronto FC / Total 2.5</t>
  </si>
  <si>
    <t>Deportivo Alaves vs Villarreal / Both Teams To Score</t>
  </si>
  <si>
    <t>Rio Ave vs Sporting CP / Match Odds</t>
  </si>
  <si>
    <t>Lille OSC vs Paris Saint-Germain / Both Teams To Score</t>
  </si>
  <si>
    <t>Wrexham vs Birmingham City / Both Teams To Score</t>
  </si>
  <si>
    <t>Al-Nassr Riyadh vs Al-Taawoun Buraidah / Match Odds</t>
  </si>
  <si>
    <t>Rodez vs Pau FC / Correct Score</t>
  </si>
  <si>
    <t>Montpellier HSC vs US Boulogne / Correct Score</t>
  </si>
  <si>
    <t>VfL Bochum vs VfL Osnabrück / Correct Score</t>
  </si>
  <si>
    <t>Al-Riyadh vs Neom SC / Correct Score</t>
  </si>
  <si>
    <t>Eintracht Braunschweig vs Hertha BSC / Both Teams To Score</t>
  </si>
  <si>
    <t>Shenzhen Peng City vs Shanghai Port / Correct Score</t>
  </si>
  <si>
    <t>Shanghai Shenhua vs Shandong Taishan / Correct Score</t>
  </si>
  <si>
    <t>Dalian Yingbo vs Beijing Guoan / Correct Score</t>
  </si>
  <si>
    <t>Shanghai Shenhua vs Shandong Taishan / Total 2.5</t>
  </si>
  <si>
    <t>SC União Torreense vs Vizela / Total 2.5</t>
  </si>
  <si>
    <t>Galatasaray SK vs Göztepe / Match Odds</t>
  </si>
  <si>
    <t>Al-Fateh Al-Hasa vs Al-Ittihad Jeddah / Correct Score</t>
  </si>
  <si>
    <t>Galatasaray SK vs Göztepe / Total 2.5</t>
  </si>
  <si>
    <t>Académico de Viseu vs FC Porto / Match Odds</t>
  </si>
  <si>
    <t>ÍB Vestmannaeyja vs Þór Akureyri / Correct Score</t>
  </si>
  <si>
    <t>Borussia Dortmund vs Hamburger SV / Correct Score</t>
  </si>
  <si>
    <t>Tottenham Hotspur vs Newcastle United / Both Teams To Score</t>
  </si>
  <si>
    <t>FC Arges Pitesti vs Sepsi OSK Sfantu Gheorghe / Total 0.5</t>
  </si>
  <si>
    <t>Sabadell vs UD Almería / Total 0.5</t>
  </si>
  <si>
    <t>Alverca vs Santa Clara / Total 0.5</t>
  </si>
  <si>
    <t>Celtic vs Falkirk / Correct Score</t>
  </si>
  <si>
    <t>SV Elversberg vs Bayer 04 Leverkusen / Both Teams To Score</t>
  </si>
  <si>
    <t>BK Häcken vs Västerås SK FK / Correct Score</t>
  </si>
  <si>
    <t>Chengdu Rongcheng vs Liaoning Tieren F.C. / Match Odds</t>
  </si>
  <si>
    <t>Derby County vs Swansea City / Total 2.5</t>
  </si>
  <si>
    <t>Middlesbrough vs West Bromwich Albion / Both Teams To Score</t>
  </si>
  <si>
    <t>1. FC Heidenheim vs Dynamo Dresden / Total 2.5</t>
  </si>
  <si>
    <t>Shimizu S-Pulse vs Kashiwa Reysol / Correct Score</t>
  </si>
  <si>
    <t>Gamba Osaka vs Sanfrecce Hiroshima / Correct Score</t>
  </si>
  <si>
    <t>Independiente Rivadavia vs Racing Club / Total 2.5</t>
  </si>
  <si>
    <t>Mirassol FC vs Palmeiras / Correct Score</t>
  </si>
  <si>
    <t>Club Guaraní vs Club Sportivo Ameliano / Total 2.5</t>
  </si>
  <si>
    <t>Argentinos Juniors vs Aldosivi / Total 2.5</t>
  </si>
  <si>
    <t>Famalicão vs Gil Vicente / Total 0.5</t>
  </si>
  <si>
    <t>Flamengo vs Botafogo FR / Correct Score</t>
  </si>
  <si>
    <t>Fram Reykjavik vs KA Akureyrar / Correct Score</t>
  </si>
  <si>
    <t>Real Madrid vs Málaga / Match Odds</t>
  </si>
  <si>
    <t>Viking FK vs Aalesunds FK / Match Odds</t>
  </si>
  <si>
    <t>Tromsø vs Sarpsborg 08 / Correct Score</t>
  </si>
  <si>
    <t>Viking FK vs Aalesunds FK / Correct Score</t>
  </si>
  <si>
    <t>Real Madrid vs Málaga / Correct Score</t>
  </si>
  <si>
    <t>Sandefjord Fotball vs Brann / Correct Score</t>
  </si>
  <si>
    <t>FK Teplice vs FK Jablonec / Total 0.5</t>
  </si>
  <si>
    <t>IFK Göteborg vs Örgryte IS / Correct Score</t>
  </si>
  <si>
    <t>Tallinna FC Flora vs Paide Linnameeskond / Correct Score</t>
  </si>
  <si>
    <t>FC St. Gallen vs FC Thun / Total 2.5</t>
  </si>
  <si>
    <t>Athlético Paranaense vs Fluminense FC / Both Teams To Score</t>
  </si>
  <si>
    <t>Willem II vs Heerenveen / Correct Score</t>
  </si>
  <si>
    <t>Feyenoord vs ADO Den Haag / Match Odds</t>
  </si>
  <si>
    <t>Bodø/Glimt vs Rosenborg BK / Correct Score</t>
  </si>
  <si>
    <t>Feyenoord vs ADO Den Haag / Total 2.5</t>
  </si>
  <si>
    <t>Aarhus Fremad vs Vejle BK / Correct Score</t>
  </si>
  <si>
    <t>FC Sion vs FC Lugano / Total 2.5</t>
  </si>
  <si>
    <t>KAA Gent vs Club Brugge / Correct Score</t>
  </si>
  <si>
    <t>Aberdeen vs Rangers / Correct Score</t>
  </si>
  <si>
    <t>San Diego FC vs Los Angeles Galaxy / Correct Score</t>
  </si>
  <si>
    <t>Nashville Soccer Club vs FC Cincinnati / Correct Score</t>
  </si>
  <si>
    <t>Houston Dynamo vs San Jose Earthquakes / Correct Score</t>
  </si>
  <si>
    <t>Alianza Lima vs Deportivo Garcilaso / Total 2.5</t>
  </si>
  <si>
    <t>Alianza Lima vs Deportivo Garcilaso / Match Odds</t>
  </si>
  <si>
    <t>Inter Miami CF vs CF Montreal / Correct Score</t>
  </si>
  <si>
    <t>DC United vs Los Angeles FC / Correct Score</t>
  </si>
  <si>
    <t>Atlético Mineiro vs EC Vitória / Correct Score</t>
  </si>
  <si>
    <t>Visitante LTD</t>
  </si>
  <si>
    <t>Fortaleza EC vs Operário Ferroviário / Correct Score</t>
  </si>
  <si>
    <t>Unión La Calera vs La Serena / Total 2.5</t>
  </si>
  <si>
    <t>FC Barcelona vs Rayo Vallecano / Match Odds</t>
  </si>
  <si>
    <t>Benfica vs Estoril-Praia / Match Odds</t>
  </si>
  <si>
    <t>IK Sirius vs Malmö FF / Total 2.5</t>
  </si>
  <si>
    <t>IK Sirius vs Malmö FF / Correct Score</t>
  </si>
  <si>
    <t>FK Liepaja vs Riga FC / Correct Score</t>
  </si>
  <si>
    <t>Asyut Petroleum vs National Bank / Total 0.5</t>
  </si>
  <si>
    <t>Londrina vs EC Juventude / Total 0.5</t>
  </si>
  <si>
    <t>Londrina vs EC Juventude / Correct Score</t>
  </si>
  <si>
    <t>Portsmouth vs Derby County / Total 2.5</t>
  </si>
  <si>
    <t>Birmingham City vs Southampton / Both Teams To Score</t>
  </si>
  <si>
    <t>Bradford City vs Cambridge United / Total 0.5</t>
  </si>
  <si>
    <t>Durban City FC vs Stellenbosch FC / Total 0.5</t>
  </si>
  <si>
    <t>Västerås SK FK</t>
  </si>
  <si>
    <t>Þór Akureyri</t>
  </si>
  <si>
    <t>Lay 1x0 2T</t>
  </si>
  <si>
    <t>1x0 | 0x1</t>
  </si>
  <si>
    <t>Vélez Sársfield vs Boca Juniors / Correct Score</t>
  </si>
  <si>
    <t>Flamengo vs Mirassol FC / Match Odds</t>
  </si>
  <si>
    <t>Club Olimpia vs Club Guaraní / Total 2.5</t>
  </si>
  <si>
    <t>Celtic vs Aberdeen / Match Odds</t>
  </si>
  <si>
    <t>FC Luzern vs FC Vaduz / Correct Score</t>
  </si>
  <si>
    <t>Grasshopper Club Zürich vs FC St. Gallen / Correct Score</t>
  </si>
  <si>
    <t>Millwall vs Wrexham / Total 2.5</t>
  </si>
  <si>
    <t>FC Zbrojovka Brno vs FC Hradec Králové / Total 0.5</t>
  </si>
  <si>
    <t>Vanspor FK vs Batman Petrolspor / Correct Score</t>
  </si>
  <si>
    <t>Shimizu S-Pulse vs FC Tokyo / Correct Score</t>
  </si>
  <si>
    <t>KAA Gent vs Oud-Heverlee Leuven / Correct Score</t>
  </si>
  <si>
    <t>Anderlecht vs Kortrijk / Correct Score</t>
  </si>
  <si>
    <t>Al Diriyah vs Al-Qadisiyah / Correct Score</t>
  </si>
  <si>
    <t>Hibernian vs Hearts / Both Teams To Score</t>
  </si>
  <si>
    <t>Al Ahly vs Smouha SC / Total 0.5</t>
  </si>
  <si>
    <t>CRB vs América-MG / Match Odds</t>
  </si>
  <si>
    <t>New York City FC vs Nashville Soccer Club / Correct Score</t>
  </si>
  <si>
    <t>FC Porto vs Moreirense FC / Match Odds</t>
  </si>
  <si>
    <t>Sandefjord Fotball vs Viking FK / Correct Score</t>
  </si>
  <si>
    <t>Paris Saint-Germain vs AS Monaco / Both Teams To Score</t>
  </si>
  <si>
    <t>UD Las Palmas vs Leganés / Total 0.5</t>
  </si>
  <si>
    <t>Al-Shabab Riyadh vs Al-Hilal Riyadh / Match Odds</t>
  </si>
  <si>
    <t>Al-Shabab Riyadh vs Al-Hilal Riyadh / Correct Score</t>
  </si>
  <si>
    <t>Al Ahli Jeddah vs Al-Riyadh / Match Odds</t>
  </si>
  <si>
    <t>NK Varaždin vs Istra 1961 / Correct Score</t>
  </si>
  <si>
    <t>CFR Cluj vs FC Farul Constanta / Total 0.5</t>
  </si>
  <si>
    <t>Viborg FF vs Lyngby BK / Correct Score</t>
  </si>
  <si>
    <t>Richards Bay FC vs AmaZulu / Total 0.5</t>
  </si>
  <si>
    <t>Universitario de Deportes vs Comerciantes Unidos / Total 2.5</t>
  </si>
  <si>
    <t>Fluminense FC vs Vasco da Gama / Both Teams To Score</t>
  </si>
  <si>
    <t>Sporting CP vs Nacional da Madeira / Match Odds</t>
  </si>
  <si>
    <t>St Mirren vs Celtic / Correct Score</t>
  </si>
  <si>
    <t>Swansea City vs Wrexham / Total 0.5</t>
  </si>
  <si>
    <t>Sint-Truidense VV vs RAAL La Louviere / Correct Score</t>
  </si>
  <si>
    <t>Carrarese vs Empoli / Total 0.5</t>
  </si>
  <si>
    <t>Marítimo vs Benfica / Match Odds</t>
  </si>
  <si>
    <t>FC Schalke 04 vs FC Bayern München / Match Odds</t>
  </si>
  <si>
    <t>FC Schalke 04 vs FC Bayern München / Correct Score</t>
  </si>
  <si>
    <t>FC Utrecht vs Go Ahead Eagles / Total 2.5</t>
  </si>
  <si>
    <t>Hapoel Jerusalem vs Hapoel Ironi Kiryat Shmona / Total 2.5</t>
  </si>
  <si>
    <t>MTK Budapest vs Kisvárda / Total 2.5</t>
  </si>
  <si>
    <t>Sekhukhune United vs TS Galaxy FC / Total 0.5</t>
  </si>
  <si>
    <t>RC Lens vs FC Lorient / Correct Score</t>
  </si>
  <si>
    <t>Brentford vs Sunderland / Correct Score</t>
  </si>
  <si>
    <t>Queens Park Rangers vs Middlesbrough / Both Teams To Score</t>
  </si>
  <si>
    <t>Rangers vs Motherwell / Both Teams To Score</t>
  </si>
  <si>
    <t>West Bromwich Albion vs Watford / Correct Score</t>
  </si>
  <si>
    <t>Manchester City vs Coventry City / Match Odds</t>
  </si>
  <si>
    <t>Manchester City vs Coventry City / Correct Score</t>
  </si>
  <si>
    <t>Millwall vs Bolton Wanderers / Correct Score</t>
  </si>
  <si>
    <t>Aberdeen vs Kilmarnock / Correct Score</t>
  </si>
  <si>
    <t>SC Paderborn 07 vs SC Freiburg / Both Teams To Score</t>
  </si>
  <si>
    <t>Degerfors IF vs Halmstads BK / Correct Score</t>
  </si>
  <si>
    <t>Hansa Rostock vs SV Wehen Wiesbaden / Correct Score</t>
  </si>
  <si>
    <t>Stade Reims vs En Avant Guingamp / Correct Score</t>
  </si>
  <si>
    <t>Real Sociedad B vs CD Tenerife / Total 0.5</t>
  </si>
  <si>
    <t>Stade Reims vs En Avant Guingamp / Total 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</si>
</sst>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3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10"/>
      <color theme="1"/>
      <name val="Arial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20" fillId="0" borderId="0" applyFont="0" applyFill="0" applyBorder="0" applyAlignment="0" applyProtection="0"/>
    <xf numFmtId="0" fontId="134" fillId="0" borderId="0"/>
    <xf numFmtId="9" fontId="134" fillId="0" borderId="0" applyFont="0" applyFill="0" applyBorder="0" applyAlignment="0" applyProtection="0"/>
    <xf numFmtId="0" fontId="98" fillId="0" borderId="0"/>
    <xf numFmtId="9" fontId="98" fillId="0" borderId="0" applyFont="0" applyFill="0" applyBorder="0" applyAlignment="0" applyProtection="0"/>
  </cellStyleXfs>
  <cellXfs count="1484">
    <xf numFmtId="0" fontId="0" fillId="0" borderId="0" xfId="0"/>
    <xf numFmtId="0" fontId="217" fillId="0" borderId="0" xfId="0" applyFont="1" applyAlignment="1">
      <alignment horizontal="center" vertical="center"/>
    </xf>
    <xf numFmtId="4" fontId="217" fillId="0" borderId="0" xfId="0" applyNumberFormat="1" applyFont="1" applyAlignment="1">
      <alignment horizontal="center" vertical="center"/>
    </xf>
    <xf numFmtId="0" fontId="217" fillId="0" borderId="0" xfId="0" applyFont="1"/>
    <xf numFmtId="0" fontId="218" fillId="0" borderId="0" xfId="0" applyFont="1" applyAlignment="1">
      <alignment horizontal="center" vertical="center"/>
    </xf>
    <xf numFmtId="0" fontId="217" fillId="0" borderId="0" xfId="0" applyFont="1" applyBorder="1" applyAlignment="1">
      <alignment vertical="center"/>
    </xf>
    <xf numFmtId="0" fontId="219" fillId="2" borderId="1" xfId="0" applyFont="1" applyFill="1" applyBorder="1" applyAlignment="1">
      <alignment horizontal="left" vertical="center" wrapText="1"/>
    </xf>
    <xf numFmtId="0" fontId="219" fillId="2" borderId="1" xfId="0" applyFont="1" applyFill="1" applyBorder="1" applyAlignment="1">
      <alignment horizontal="center" vertical="center" wrapText="1"/>
    </xf>
    <xf numFmtId="0" fontId="219" fillId="2" borderId="0" xfId="0" applyFont="1" applyFill="1" applyAlignment="1">
      <alignment horizontal="right" vertical="center" wrapText="1"/>
    </xf>
    <xf numFmtId="0" fontId="217" fillId="0" borderId="0" xfId="0" applyFont="1" applyAlignment="1">
      <alignment vertical="center"/>
    </xf>
    <xf numFmtId="14" fontId="217" fillId="0" borderId="0" xfId="0" applyNumberFormat="1" applyFont="1" applyAlignment="1">
      <alignment vertical="center"/>
    </xf>
    <xf numFmtId="4" fontId="217" fillId="0" borderId="0" xfId="0" applyNumberFormat="1" applyFont="1" applyAlignment="1">
      <alignment vertical="center"/>
    </xf>
    <xf numFmtId="10" fontId="217" fillId="0" borderId="0" xfId="0" applyNumberFormat="1" applyFont="1" applyAlignment="1">
      <alignment vertical="center"/>
    </xf>
    <xf numFmtId="0" fontId="217" fillId="0" borderId="0" xfId="0" applyFont="1" applyFill="1" applyAlignment="1">
      <alignment vertical="center"/>
    </xf>
    <xf numFmtId="14" fontId="217" fillId="0" borderId="0" xfId="0" applyNumberFormat="1" applyFont="1" applyBorder="1" applyAlignment="1">
      <alignment vertical="center"/>
    </xf>
    <xf numFmtId="4" fontId="217" fillId="0" borderId="0" xfId="0" applyNumberFormat="1" applyFont="1" applyBorder="1" applyAlignment="1">
      <alignment vertical="center"/>
    </xf>
    <xf numFmtId="10" fontId="217" fillId="0" borderId="0" xfId="0" applyNumberFormat="1" applyFont="1" applyBorder="1" applyAlignment="1">
      <alignment vertical="center"/>
    </xf>
    <xf numFmtId="10" fontId="217" fillId="0" borderId="0" xfId="1" applyNumberFormat="1" applyFont="1" applyAlignment="1">
      <alignment horizontal="center" vertical="center"/>
    </xf>
    <xf numFmtId="9" fontId="217" fillId="0" borderId="0" xfId="0" applyNumberFormat="1" applyFont="1" applyAlignment="1">
      <alignment horizontal="center" vertical="center"/>
    </xf>
    <xf numFmtId="164" fontId="217" fillId="0" borderId="0" xfId="0" applyNumberFormat="1" applyFont="1" applyAlignment="1">
      <alignment horizontal="center" vertical="center"/>
    </xf>
    <xf numFmtId="3" fontId="217" fillId="0" borderId="0" xfId="0" applyNumberFormat="1" applyFont="1" applyAlignment="1">
      <alignment horizontal="center" vertical="center"/>
    </xf>
    <xf numFmtId="14" fontId="217" fillId="0" borderId="0" xfId="0" applyNumberFormat="1" applyFont="1" applyAlignment="1">
      <alignment horizontal="center" vertical="center"/>
    </xf>
    <xf numFmtId="0" fontId="218" fillId="0" borderId="0" xfId="0" applyFont="1" applyAlignment="1">
      <alignment horizontal="center" vertical="center" wrapText="1"/>
    </xf>
    <xf numFmtId="4" fontId="218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17" fillId="0" borderId="0" xfId="1" applyNumberFormat="1" applyFont="1" applyAlignment="1">
      <alignment horizontal="center" vertical="center"/>
    </xf>
    <xf numFmtId="14" fontId="221" fillId="0" borderId="0" xfId="0" applyNumberFormat="1" applyFont="1" applyAlignment="1">
      <alignment horizontal="center" vertical="center"/>
    </xf>
    <xf numFmtId="0" fontId="221" fillId="0" borderId="0" xfId="0" applyFont="1" applyAlignment="1">
      <alignment horizontal="center" vertical="center"/>
    </xf>
    <xf numFmtId="4" fontId="221" fillId="0" borderId="0" xfId="0" applyNumberFormat="1" applyFont="1" applyAlignment="1">
      <alignment horizontal="center" vertical="center"/>
    </xf>
    <xf numFmtId="164" fontId="221" fillId="0" borderId="0" xfId="0" applyNumberFormat="1" applyFont="1" applyAlignment="1">
      <alignment horizontal="center" vertical="center"/>
    </xf>
    <xf numFmtId="10" fontId="221" fillId="0" borderId="0" xfId="1" applyNumberFormat="1" applyFont="1" applyAlignment="1">
      <alignment horizontal="center" vertical="center"/>
    </xf>
    <xf numFmtId="3" fontId="221" fillId="0" borderId="0" xfId="0" applyNumberFormat="1" applyFont="1" applyAlignment="1">
      <alignment horizontal="center" vertical="center"/>
    </xf>
    <xf numFmtId="0" fontId="221" fillId="0" borderId="0" xfId="0" applyFont="1" applyAlignment="1">
      <alignment horizontal="center" vertical="center" wrapText="1"/>
    </xf>
    <xf numFmtId="16" fontId="218" fillId="0" borderId="0" xfId="0" applyNumberFormat="1" applyFont="1" applyAlignment="1">
      <alignment horizontal="center" vertical="center"/>
    </xf>
    <xf numFmtId="4" fontId="217" fillId="0" borderId="2" xfId="0" applyNumberFormat="1" applyFont="1" applyBorder="1" applyAlignment="1">
      <alignment horizontal="center" vertical="center"/>
    </xf>
    <xf numFmtId="165" fontId="217" fillId="0" borderId="0" xfId="1" applyNumberFormat="1" applyFont="1" applyBorder="1" applyAlignment="1">
      <alignment horizontal="center" vertical="center"/>
    </xf>
    <xf numFmtId="4" fontId="217" fillId="0" borderId="3" xfId="1" applyNumberFormat="1" applyFont="1" applyBorder="1" applyAlignment="1">
      <alignment horizontal="center" vertical="center"/>
    </xf>
    <xf numFmtId="4" fontId="217" fillId="0" borderId="0" xfId="1" applyNumberFormat="1" applyFont="1" applyBorder="1" applyAlignment="1">
      <alignment horizontal="center" vertical="center"/>
    </xf>
    <xf numFmtId="17" fontId="218" fillId="0" borderId="0" xfId="0" applyNumberFormat="1" applyFont="1" applyAlignment="1">
      <alignment horizontal="center" vertical="center"/>
    </xf>
    <xf numFmtId="0" fontId="218" fillId="0" borderId="2" xfId="0" applyFont="1" applyBorder="1" applyAlignment="1">
      <alignment horizontal="center" vertical="center"/>
    </xf>
    <xf numFmtId="0" fontId="218" fillId="0" borderId="0" xfId="0" applyFont="1" applyBorder="1" applyAlignment="1">
      <alignment horizontal="center" vertical="center"/>
    </xf>
    <xf numFmtId="0" fontId="218" fillId="0" borderId="3" xfId="0" applyFont="1" applyBorder="1" applyAlignment="1">
      <alignment horizontal="center" vertical="center"/>
    </xf>
    <xf numFmtId="0" fontId="216" fillId="0" borderId="0" xfId="0" applyFont="1"/>
    <xf numFmtId="4" fontId="216" fillId="0" borderId="0" xfId="0" applyNumberFormat="1" applyFont="1" applyAlignment="1">
      <alignment vertical="center"/>
    </xf>
    <xf numFmtId="10" fontId="216" fillId="0" borderId="0" xfId="0" applyNumberFormat="1" applyFont="1" applyAlignment="1">
      <alignment vertical="center"/>
    </xf>
    <xf numFmtId="9" fontId="218" fillId="3" borderId="0" xfId="0" applyNumberFormat="1" applyFont="1" applyFill="1" applyBorder="1" applyAlignment="1">
      <alignment horizontal="center" vertical="center"/>
    </xf>
    <xf numFmtId="4" fontId="218" fillId="3" borderId="0" xfId="0" applyNumberFormat="1" applyFont="1" applyFill="1" applyBorder="1" applyAlignment="1">
      <alignment horizontal="center" vertical="center"/>
    </xf>
    <xf numFmtId="0" fontId="216" fillId="0" borderId="0" xfId="0" applyFont="1" applyAlignment="1">
      <alignment horizontal="center" vertical="center"/>
    </xf>
    <xf numFmtId="4" fontId="216" fillId="0" borderId="0" xfId="0" applyNumberFormat="1" applyFont="1" applyAlignment="1">
      <alignment horizontal="center" vertical="center"/>
    </xf>
    <xf numFmtId="9" fontId="216" fillId="0" borderId="0" xfId="0" applyNumberFormat="1" applyFont="1" applyAlignment="1">
      <alignment horizontal="center" vertical="center"/>
    </xf>
    <xf numFmtId="166" fontId="216" fillId="0" borderId="0" xfId="0" applyNumberFormat="1" applyFont="1" applyAlignment="1">
      <alignment horizontal="center" vertical="center"/>
    </xf>
    <xf numFmtId="4" fontId="216" fillId="3" borderId="0" xfId="0" applyNumberFormat="1" applyFont="1" applyFill="1" applyAlignment="1">
      <alignment horizontal="center" vertical="center"/>
    </xf>
    <xf numFmtId="9" fontId="216" fillId="3" borderId="0" xfId="0" applyNumberFormat="1" applyFont="1" applyFill="1" applyAlignment="1">
      <alignment horizontal="center" vertical="center"/>
    </xf>
    <xf numFmtId="3" fontId="216" fillId="3" borderId="0" xfId="0" applyNumberFormat="1" applyFont="1" applyFill="1" applyAlignment="1">
      <alignment horizontal="center" vertical="center"/>
    </xf>
    <xf numFmtId="0" fontId="216" fillId="3" borderId="0" xfId="0" applyFont="1" applyFill="1" applyAlignment="1">
      <alignment horizontal="center" vertical="center"/>
    </xf>
    <xf numFmtId="0" fontId="216" fillId="0" borderId="4" xfId="0" applyFont="1" applyBorder="1" applyAlignment="1">
      <alignment horizontal="center" vertical="center"/>
    </xf>
    <xf numFmtId="0" fontId="216" fillId="0" borderId="5" xfId="0" applyFont="1" applyBorder="1" applyAlignment="1">
      <alignment horizontal="center" vertical="center"/>
    </xf>
    <xf numFmtId="0" fontId="216" fillId="0" borderId="6" xfId="0" applyFont="1" applyBorder="1" applyAlignment="1">
      <alignment horizontal="center" vertical="center"/>
    </xf>
    <xf numFmtId="0" fontId="216" fillId="0" borderId="0" xfId="0" applyFont="1" applyAlignment="1">
      <alignment horizontal="center" vertical="center" wrapText="1"/>
    </xf>
    <xf numFmtId="0" fontId="221" fillId="0" borderId="0" xfId="0" applyFont="1" applyAlignment="1">
      <alignment vertical="center"/>
    </xf>
    <xf numFmtId="14" fontId="221" fillId="0" borderId="0" xfId="0" applyNumberFormat="1" applyFont="1" applyAlignment="1">
      <alignment vertical="center"/>
    </xf>
    <xf numFmtId="4" fontId="221" fillId="0" borderId="0" xfId="0" applyNumberFormat="1" applyFont="1" applyAlignment="1">
      <alignment vertical="center"/>
    </xf>
    <xf numFmtId="14" fontId="216" fillId="0" borderId="0" xfId="0" applyNumberFormat="1" applyFont="1" applyAlignment="1">
      <alignment vertical="center"/>
    </xf>
    <xf numFmtId="0" fontId="215" fillId="0" borderId="0" xfId="0" applyFont="1" applyAlignment="1">
      <alignment vertical="center"/>
    </xf>
    <xf numFmtId="14" fontId="215" fillId="0" borderId="0" xfId="0" applyNumberFormat="1" applyFont="1" applyAlignment="1">
      <alignment vertical="center"/>
    </xf>
    <xf numFmtId="4" fontId="215" fillId="0" borderId="0" xfId="0" applyNumberFormat="1" applyFont="1" applyAlignment="1">
      <alignment vertical="center"/>
    </xf>
    <xf numFmtId="10" fontId="215" fillId="0" borderId="0" xfId="0" applyNumberFormat="1" applyFont="1" applyAlignment="1">
      <alignment vertical="center"/>
    </xf>
    <xf numFmtId="0" fontId="214" fillId="0" borderId="0" xfId="0" applyFont="1" applyAlignment="1">
      <alignment vertical="center"/>
    </xf>
    <xf numFmtId="0" fontId="214" fillId="0" borderId="0" xfId="0" applyFont="1" applyAlignment="1">
      <alignment horizontal="center" vertical="center"/>
    </xf>
    <xf numFmtId="16" fontId="214" fillId="0" borderId="0" xfId="0" applyNumberFormat="1" applyFont="1" applyAlignment="1">
      <alignment horizontal="center" vertical="center"/>
    </xf>
    <xf numFmtId="4" fontId="214" fillId="0" borderId="0" xfId="0" applyNumberFormat="1" applyFont="1" applyAlignment="1">
      <alignment horizontal="center" vertical="center"/>
    </xf>
    <xf numFmtId="4" fontId="214" fillId="0" borderId="0" xfId="0" applyNumberFormat="1" applyFont="1" applyAlignment="1">
      <alignment vertical="center"/>
    </xf>
    <xf numFmtId="10" fontId="214" fillId="0" borderId="0" xfId="1" applyNumberFormat="1" applyFont="1" applyAlignment="1">
      <alignment vertical="center"/>
    </xf>
    <xf numFmtId="0" fontId="214" fillId="0" borderId="0" xfId="0" applyFont="1"/>
    <xf numFmtId="16" fontId="214" fillId="0" borderId="0" xfId="0" applyNumberFormat="1" applyFont="1" applyAlignment="1">
      <alignment vertical="center"/>
    </xf>
    <xf numFmtId="10" fontId="214" fillId="0" borderId="0" xfId="1" applyNumberFormat="1" applyFont="1" applyAlignment="1">
      <alignment horizontal="center" vertical="center"/>
    </xf>
    <xf numFmtId="165" fontId="214" fillId="0" borderId="0" xfId="1" applyNumberFormat="1" applyFont="1" applyAlignment="1">
      <alignment vertical="center"/>
    </xf>
    <xf numFmtId="14" fontId="213" fillId="0" borderId="0" xfId="0" applyNumberFormat="1" applyFont="1" applyAlignment="1">
      <alignment vertical="center"/>
    </xf>
    <xf numFmtId="4" fontId="213" fillId="0" borderId="0" xfId="0" applyNumberFormat="1" applyFont="1" applyAlignment="1">
      <alignment vertical="center"/>
    </xf>
    <xf numFmtId="10" fontId="213" fillId="0" borderId="0" xfId="0" applyNumberFormat="1" applyFont="1" applyAlignment="1">
      <alignment vertical="center"/>
    </xf>
    <xf numFmtId="4" fontId="213" fillId="0" borderId="0" xfId="0" applyNumberFormat="1" applyFont="1" applyAlignment="1">
      <alignment horizontal="center" vertical="center"/>
    </xf>
    <xf numFmtId="0" fontId="213" fillId="0" borderId="0" xfId="0" applyFont="1" applyAlignment="1">
      <alignment horizontal="center" vertical="center"/>
    </xf>
    <xf numFmtId="14" fontId="214" fillId="0" borderId="0" xfId="0" applyNumberFormat="1" applyFont="1" applyAlignment="1">
      <alignment vertical="center"/>
    </xf>
    <xf numFmtId="0" fontId="218" fillId="0" borderId="2" xfId="0" applyFont="1" applyBorder="1" applyAlignment="1">
      <alignment horizontal="center" vertical="center"/>
    </xf>
    <xf numFmtId="0" fontId="218" fillId="0" borderId="0" xfId="0" applyFont="1" applyBorder="1" applyAlignment="1">
      <alignment horizontal="center" vertical="center"/>
    </xf>
    <xf numFmtId="0" fontId="218" fillId="0" borderId="3" xfId="0" applyFont="1" applyBorder="1" applyAlignment="1">
      <alignment horizontal="center" vertical="center"/>
    </xf>
    <xf numFmtId="3" fontId="221" fillId="0" borderId="0" xfId="0" applyNumberFormat="1" applyFont="1" applyAlignment="1">
      <alignment vertical="center"/>
    </xf>
    <xf numFmtId="3" fontId="221" fillId="0" borderId="0" xfId="0" applyNumberFormat="1" applyFont="1" applyBorder="1" applyAlignment="1">
      <alignment vertical="center"/>
    </xf>
    <xf numFmtId="0" fontId="212" fillId="0" borderId="0" xfId="0" applyFont="1" applyAlignment="1">
      <alignment horizontal="center" vertical="center"/>
    </xf>
    <xf numFmtId="14" fontId="212" fillId="0" borderId="0" xfId="0" applyNumberFormat="1" applyFont="1" applyAlignment="1">
      <alignment vertical="center"/>
    </xf>
    <xf numFmtId="4" fontId="212" fillId="0" borderId="0" xfId="0" applyNumberFormat="1" applyFont="1" applyAlignment="1">
      <alignment vertical="center"/>
    </xf>
    <xf numFmtId="3" fontId="212" fillId="0" borderId="0" xfId="0" applyNumberFormat="1" applyFont="1" applyAlignment="1">
      <alignment vertical="center"/>
    </xf>
    <xf numFmtId="14" fontId="212" fillId="0" borderId="0" xfId="0" applyNumberFormat="1" applyFont="1" applyAlignment="1">
      <alignment horizontal="center" vertical="center"/>
    </xf>
    <xf numFmtId="4" fontId="212" fillId="0" borderId="0" xfId="0" applyNumberFormat="1" applyFont="1" applyAlignment="1">
      <alignment horizontal="center" vertical="center"/>
    </xf>
    <xf numFmtId="164" fontId="212" fillId="0" borderId="0" xfId="0" applyNumberFormat="1" applyFont="1" applyAlignment="1">
      <alignment horizontal="center" vertical="center"/>
    </xf>
    <xf numFmtId="10" fontId="212" fillId="0" borderId="0" xfId="1" applyNumberFormat="1" applyFont="1" applyAlignment="1">
      <alignment horizontal="center" vertical="center"/>
    </xf>
    <xf numFmtId="3" fontId="212" fillId="0" borderId="0" xfId="0" applyNumberFormat="1" applyFont="1" applyAlignment="1">
      <alignment horizontal="center" vertical="center"/>
    </xf>
    <xf numFmtId="14" fontId="211" fillId="0" borderId="0" xfId="0" applyNumberFormat="1" applyFont="1" applyAlignment="1">
      <alignment vertical="center"/>
    </xf>
    <xf numFmtId="4" fontId="211" fillId="0" borderId="0" xfId="0" applyNumberFormat="1" applyFont="1" applyAlignment="1">
      <alignment vertical="center"/>
    </xf>
    <xf numFmtId="3" fontId="211" fillId="0" borderId="0" xfId="0" applyNumberFormat="1" applyFont="1" applyAlignment="1">
      <alignment vertical="center"/>
    </xf>
    <xf numFmtId="0" fontId="210" fillId="0" borderId="0" xfId="0" applyFont="1" applyAlignment="1">
      <alignment horizontal="center" vertical="center"/>
    </xf>
    <xf numFmtId="14" fontId="209" fillId="0" borderId="0" xfId="0" applyNumberFormat="1" applyFont="1" applyAlignment="1">
      <alignment vertical="center"/>
    </xf>
    <xf numFmtId="4" fontId="209" fillId="0" borderId="0" xfId="0" applyNumberFormat="1" applyFont="1" applyAlignment="1">
      <alignment vertical="center"/>
    </xf>
    <xf numFmtId="3" fontId="209" fillId="0" borderId="0" xfId="0" applyNumberFormat="1" applyFont="1" applyAlignment="1">
      <alignment vertical="center"/>
    </xf>
    <xf numFmtId="16" fontId="221" fillId="0" borderId="0" xfId="0" applyNumberFormat="1" applyFont="1" applyAlignment="1">
      <alignment horizontal="center" vertical="center"/>
    </xf>
    <xf numFmtId="14" fontId="208" fillId="0" borderId="0" xfId="0" applyNumberFormat="1" applyFont="1" applyAlignment="1">
      <alignment vertical="center"/>
    </xf>
    <xf numFmtId="4" fontId="208" fillId="0" borderId="0" xfId="0" applyNumberFormat="1" applyFont="1" applyAlignment="1">
      <alignment vertical="center"/>
    </xf>
    <xf numFmtId="3" fontId="208" fillId="0" borderId="0" xfId="0" applyNumberFormat="1" applyFont="1" applyAlignment="1">
      <alignment vertical="center"/>
    </xf>
    <xf numFmtId="0" fontId="208" fillId="0" borderId="0" xfId="0" applyFont="1" applyAlignment="1">
      <alignment horizontal="center" vertical="center"/>
    </xf>
    <xf numFmtId="0" fontId="207" fillId="0" borderId="0" xfId="0" applyFont="1" applyAlignment="1">
      <alignment horizontal="center" vertical="center"/>
    </xf>
    <xf numFmtId="4" fontId="216" fillId="0" borderId="0" xfId="0" applyNumberFormat="1" applyFont="1" applyFill="1" applyAlignment="1">
      <alignment horizontal="center" vertical="center"/>
    </xf>
    <xf numFmtId="14" fontId="206" fillId="0" borderId="0" xfId="0" applyNumberFormat="1" applyFont="1" applyAlignment="1">
      <alignment vertical="center"/>
    </xf>
    <xf numFmtId="4" fontId="206" fillId="0" borderId="0" xfId="0" applyNumberFormat="1" applyFont="1" applyAlignment="1">
      <alignment vertical="center"/>
    </xf>
    <xf numFmtId="3" fontId="206" fillId="0" borderId="0" xfId="0" applyNumberFormat="1" applyFont="1" applyAlignment="1">
      <alignment vertical="center"/>
    </xf>
    <xf numFmtId="0" fontId="206" fillId="0" borderId="0" xfId="0" applyFont="1" applyAlignment="1">
      <alignment horizontal="center" vertical="center"/>
    </xf>
    <xf numFmtId="14" fontId="206" fillId="0" borderId="0" xfId="0" applyNumberFormat="1" applyFont="1" applyAlignment="1">
      <alignment horizontal="center" vertical="center"/>
    </xf>
    <xf numFmtId="4" fontId="206" fillId="0" borderId="0" xfId="0" applyNumberFormat="1" applyFont="1" applyAlignment="1">
      <alignment horizontal="center" vertical="center"/>
    </xf>
    <xf numFmtId="164" fontId="206" fillId="0" borderId="0" xfId="0" applyNumberFormat="1" applyFont="1" applyAlignment="1">
      <alignment horizontal="center" vertical="center"/>
    </xf>
    <xf numFmtId="10" fontId="206" fillId="0" borderId="0" xfId="1" applyNumberFormat="1" applyFont="1" applyAlignment="1">
      <alignment horizontal="center" vertical="center"/>
    </xf>
    <xf numFmtId="3" fontId="206" fillId="0" borderId="0" xfId="0" applyNumberFormat="1" applyFont="1" applyAlignment="1">
      <alignment horizontal="center" vertical="center"/>
    </xf>
    <xf numFmtId="0" fontId="216" fillId="4" borderId="0" xfId="0" applyFont="1" applyFill="1" applyAlignment="1">
      <alignment horizontal="center" vertical="center"/>
    </xf>
    <xf numFmtId="0" fontId="216" fillId="4" borderId="5" xfId="0" applyFont="1" applyFill="1" applyBorder="1" applyAlignment="1">
      <alignment horizontal="center" vertical="center"/>
    </xf>
    <xf numFmtId="14" fontId="205" fillId="0" borderId="0" xfId="0" applyNumberFormat="1" applyFont="1" applyAlignment="1">
      <alignment vertical="center"/>
    </xf>
    <xf numFmtId="4" fontId="205" fillId="0" borderId="0" xfId="0" applyNumberFormat="1" applyFont="1" applyAlignment="1">
      <alignment vertical="center"/>
    </xf>
    <xf numFmtId="3" fontId="205" fillId="0" borderId="0" xfId="0" applyNumberFormat="1" applyFont="1" applyAlignment="1">
      <alignment vertical="center"/>
    </xf>
    <xf numFmtId="0" fontId="204" fillId="0" borderId="0" xfId="0" applyFont="1" applyAlignment="1">
      <alignment horizontal="center" vertical="center"/>
    </xf>
    <xf numFmtId="9" fontId="216" fillId="4" borderId="0" xfId="0" applyNumberFormat="1" applyFont="1" applyFill="1" applyAlignment="1">
      <alignment horizontal="center" vertical="center"/>
    </xf>
    <xf numFmtId="0" fontId="203" fillId="0" borderId="0" xfId="0" applyFont="1" applyAlignment="1">
      <alignment horizontal="center" vertical="center"/>
    </xf>
    <xf numFmtId="14" fontId="202" fillId="0" borderId="0" xfId="0" applyNumberFormat="1" applyFont="1" applyAlignment="1">
      <alignment vertical="center"/>
    </xf>
    <xf numFmtId="4" fontId="202" fillId="0" borderId="0" xfId="0" applyNumberFormat="1" applyFont="1" applyAlignment="1">
      <alignment vertical="center"/>
    </xf>
    <xf numFmtId="3" fontId="202" fillId="0" borderId="0" xfId="0" applyNumberFormat="1" applyFont="1" applyAlignment="1">
      <alignment vertical="center"/>
    </xf>
    <xf numFmtId="16" fontId="222" fillId="0" borderId="0" xfId="0" applyNumberFormat="1" applyFont="1" applyAlignment="1">
      <alignment horizontal="center" vertical="center"/>
    </xf>
    <xf numFmtId="4" fontId="222" fillId="0" borderId="0" xfId="0" applyNumberFormat="1" applyFont="1" applyAlignment="1">
      <alignment horizontal="center" vertical="center"/>
    </xf>
    <xf numFmtId="0" fontId="222" fillId="0" borderId="0" xfId="0" applyFont="1" applyAlignment="1">
      <alignment horizontal="center" vertical="center"/>
    </xf>
    <xf numFmtId="0" fontId="201" fillId="0" borderId="0" xfId="0" applyFont="1" applyAlignment="1">
      <alignment horizontal="center" vertical="center"/>
    </xf>
    <xf numFmtId="4" fontId="216" fillId="0" borderId="11" xfId="0" applyNumberFormat="1" applyFont="1" applyBorder="1" applyAlignment="1">
      <alignment horizontal="center" vertical="center"/>
    </xf>
    <xf numFmtId="166" fontId="216" fillId="0" borderId="11" xfId="0" applyNumberFormat="1" applyFont="1" applyBorder="1" applyAlignment="1">
      <alignment horizontal="center" vertical="center"/>
    </xf>
    <xf numFmtId="0" fontId="216" fillId="0" borderId="11" xfId="0" applyFont="1" applyBorder="1" applyAlignment="1">
      <alignment horizontal="center" vertical="center"/>
    </xf>
    <xf numFmtId="165" fontId="216" fillId="0" borderId="11" xfId="1" applyNumberFormat="1" applyFont="1" applyBorder="1" applyAlignment="1">
      <alignment horizontal="center" vertical="center"/>
    </xf>
    <xf numFmtId="0" fontId="201" fillId="0" borderId="13" xfId="0" applyFont="1" applyBorder="1" applyAlignment="1">
      <alignment horizontal="center" vertical="center" wrapText="1"/>
    </xf>
    <xf numFmtId="0" fontId="216" fillId="0" borderId="0" xfId="0" applyFont="1" applyBorder="1" applyAlignment="1">
      <alignment horizontal="center" vertical="center" wrapText="1"/>
    </xf>
    <xf numFmtId="0" fontId="201" fillId="0" borderId="0" xfId="0" applyFont="1" applyBorder="1" applyAlignment="1">
      <alignment horizontal="center" vertical="center" wrapText="1"/>
    </xf>
    <xf numFmtId="0" fontId="216" fillId="0" borderId="14" xfId="0" applyFont="1" applyBorder="1" applyAlignment="1">
      <alignment horizontal="center" vertical="center" wrapText="1"/>
    </xf>
    <xf numFmtId="0" fontId="216" fillId="0" borderId="13" xfId="0" applyFont="1" applyBorder="1" applyAlignment="1">
      <alignment horizontal="center" vertical="center" wrapText="1"/>
    </xf>
    <xf numFmtId="0" fontId="201" fillId="0" borderId="14" xfId="0" applyFont="1" applyBorder="1" applyAlignment="1">
      <alignment horizontal="center" vertical="center" wrapText="1"/>
    </xf>
    <xf numFmtId="0" fontId="218" fillId="5" borderId="8" xfId="0" applyFont="1" applyFill="1" applyBorder="1" applyAlignment="1">
      <alignment horizontal="center" vertical="center" wrapText="1"/>
    </xf>
    <xf numFmtId="0" fontId="218" fillId="6" borderId="15" xfId="0" applyFont="1" applyFill="1" applyBorder="1" applyAlignment="1">
      <alignment horizontal="center" vertical="center" wrapText="1"/>
    </xf>
    <xf numFmtId="0" fontId="218" fillId="6" borderId="9" xfId="0" applyFont="1" applyFill="1" applyBorder="1" applyAlignment="1">
      <alignment horizontal="center" vertical="center" wrapText="1"/>
    </xf>
    <xf numFmtId="0" fontId="218" fillId="6" borderId="8" xfId="0" applyFont="1" applyFill="1" applyBorder="1" applyAlignment="1">
      <alignment horizontal="center" vertical="center" wrapText="1"/>
    </xf>
    <xf numFmtId="4" fontId="216" fillId="0" borderId="12" xfId="0" applyNumberFormat="1" applyFont="1" applyBorder="1" applyAlignment="1">
      <alignment horizontal="center" vertical="center"/>
    </xf>
    <xf numFmtId="0" fontId="218" fillId="0" borderId="7" xfId="0" applyFont="1" applyBorder="1" applyAlignment="1">
      <alignment horizontal="center" vertical="center" wrapText="1"/>
    </xf>
    <xf numFmtId="14" fontId="200" fillId="0" borderId="0" xfId="0" applyNumberFormat="1" applyFont="1" applyAlignment="1">
      <alignment vertical="center"/>
    </xf>
    <xf numFmtId="4" fontId="200" fillId="0" borderId="0" xfId="0" applyNumberFormat="1" applyFont="1" applyAlignment="1">
      <alignment vertical="center"/>
    </xf>
    <xf numFmtId="3" fontId="200" fillId="0" borderId="0" xfId="0" applyNumberFormat="1" applyFont="1" applyAlignment="1">
      <alignment vertical="center"/>
    </xf>
    <xf numFmtId="14" fontId="199" fillId="0" borderId="0" xfId="0" applyNumberFormat="1" applyFont="1" applyAlignment="1">
      <alignment vertical="center"/>
    </xf>
    <xf numFmtId="4" fontId="199" fillId="0" borderId="0" xfId="0" applyNumberFormat="1" applyFont="1" applyAlignment="1">
      <alignment vertical="center"/>
    </xf>
    <xf numFmtId="3" fontId="199" fillId="0" borderId="0" xfId="0" applyNumberFormat="1" applyFont="1" applyAlignment="1">
      <alignment vertical="center"/>
    </xf>
    <xf numFmtId="16" fontId="198" fillId="0" borderId="0" xfId="0" applyNumberFormat="1" applyFont="1" applyAlignment="1">
      <alignment horizontal="center" vertical="center"/>
    </xf>
    <xf numFmtId="4" fontId="198" fillId="0" borderId="0" xfId="0" applyNumberFormat="1" applyFont="1" applyAlignment="1">
      <alignment horizontal="center"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3" fontId="197" fillId="0" borderId="0" xfId="0" applyNumberFormat="1" applyFont="1" applyAlignment="1">
      <alignment vertical="center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3" fontId="195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0" fontId="193" fillId="0" borderId="0" xfId="0" applyFont="1" applyAlignment="1">
      <alignment vertical="center"/>
    </xf>
    <xf numFmtId="2" fontId="217" fillId="0" borderId="0" xfId="0" applyNumberFormat="1" applyFont="1" applyAlignment="1">
      <alignment vertical="center"/>
    </xf>
    <xf numFmtId="2" fontId="221" fillId="0" borderId="0" xfId="0" applyNumberFormat="1" applyFont="1" applyAlignment="1">
      <alignment vertical="center"/>
    </xf>
    <xf numFmtId="2" fontId="215" fillId="0" borderId="0" xfId="0" applyNumberFormat="1" applyFont="1" applyAlignment="1">
      <alignment vertical="center"/>
    </xf>
    <xf numFmtId="2" fontId="211" fillId="0" borderId="0" xfId="0" applyNumberFormat="1" applyFont="1" applyAlignment="1">
      <alignment vertical="center"/>
    </xf>
    <xf numFmtId="2" fontId="209" fillId="0" borderId="0" xfId="0" applyNumberFormat="1" applyFont="1" applyAlignment="1">
      <alignment vertical="center"/>
    </xf>
    <xf numFmtId="2" fontId="205" fillId="0" borderId="0" xfId="0" applyNumberFormat="1" applyFont="1" applyAlignment="1">
      <alignment vertical="center"/>
    </xf>
    <xf numFmtId="2" fontId="202" fillId="0" borderId="0" xfId="0" applyNumberFormat="1" applyFont="1" applyAlignment="1">
      <alignment vertical="center"/>
    </xf>
    <xf numFmtId="2" fontId="200" fillId="0" borderId="0" xfId="0" applyNumberFormat="1" applyFont="1" applyAlignment="1">
      <alignment vertical="center"/>
    </xf>
    <xf numFmtId="2" fontId="199" fillId="0" borderId="0" xfId="0" applyNumberFormat="1" applyFont="1" applyAlignment="1">
      <alignment vertical="center"/>
    </xf>
    <xf numFmtId="2" fontId="197" fillId="0" borderId="0" xfId="0" applyNumberFormat="1" applyFont="1" applyAlignment="1">
      <alignment vertical="center"/>
    </xf>
    <xf numFmtId="2" fontId="195" fillId="0" borderId="0" xfId="0" applyNumberFormat="1" applyFont="1" applyAlignment="1">
      <alignment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0" fontId="192" fillId="0" borderId="0" xfId="0" applyFont="1" applyBorder="1" applyAlignment="1">
      <alignment horizontal="center" vertical="center" wrapText="1"/>
    </xf>
    <xf numFmtId="0" fontId="192" fillId="0" borderId="14" xfId="0" applyFont="1" applyBorder="1" applyAlignment="1">
      <alignment horizontal="center" vertical="center" wrapText="1"/>
    </xf>
    <xf numFmtId="16" fontId="223" fillId="0" borderId="0" xfId="0" applyNumberFormat="1" applyFont="1" applyAlignment="1">
      <alignment horizontal="center" vertical="center"/>
    </xf>
    <xf numFmtId="4" fontId="223" fillId="0" borderId="0" xfId="0" applyNumberFormat="1" applyFont="1" applyAlignment="1">
      <alignment horizontal="center" vertical="center"/>
    </xf>
    <xf numFmtId="0" fontId="223" fillId="0" borderId="0" xfId="0" applyFont="1" applyAlignment="1">
      <alignment horizontal="center"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3" fontId="191" fillId="0" borderId="0" xfId="0" applyNumberFormat="1" applyFont="1" applyAlignment="1">
      <alignment vertical="center"/>
    </xf>
    <xf numFmtId="0" fontId="216" fillId="0" borderId="11" xfId="0" applyFont="1" applyFill="1" applyBorder="1" applyAlignment="1">
      <alignment horizontal="center"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0" fontId="190" fillId="0" borderId="0" xfId="0" applyFont="1" applyAlignment="1">
      <alignment horizontal="left" vertical="center"/>
    </xf>
    <xf numFmtId="0" fontId="216" fillId="0" borderId="16" xfId="0" applyFont="1" applyBorder="1" applyAlignment="1">
      <alignment horizontal="center" vertical="center"/>
    </xf>
    <xf numFmtId="0" fontId="216" fillId="0" borderId="17" xfId="0" applyFont="1" applyBorder="1" applyAlignment="1">
      <alignment horizontal="center" vertical="center"/>
    </xf>
    <xf numFmtId="0" fontId="216" fillId="0" borderId="18" xfId="0" applyFont="1" applyBorder="1" applyAlignment="1">
      <alignment horizontal="center" vertical="center"/>
    </xf>
    <xf numFmtId="0" fontId="216" fillId="0" borderId="10" xfId="0" applyFont="1" applyBorder="1" applyAlignment="1">
      <alignment horizontal="center" vertical="center"/>
    </xf>
    <xf numFmtId="0" fontId="216" fillId="0" borderId="12" xfId="0" applyFont="1" applyBorder="1" applyAlignment="1">
      <alignment horizontal="center" vertical="center"/>
    </xf>
    <xf numFmtId="0" fontId="216" fillId="0" borderId="19" xfId="0" applyFont="1" applyBorder="1" applyAlignment="1">
      <alignment horizontal="center" vertical="center"/>
    </xf>
    <xf numFmtId="0" fontId="216" fillId="0" borderId="20" xfId="0" applyFont="1" applyBorder="1" applyAlignment="1">
      <alignment horizontal="center" vertical="center"/>
    </xf>
    <xf numFmtId="0" fontId="216" fillId="0" borderId="21" xfId="0" applyFont="1" applyBorder="1" applyAlignment="1">
      <alignment horizontal="center" vertical="center"/>
    </xf>
    <xf numFmtId="166" fontId="216" fillId="0" borderId="11" xfId="0" applyNumberFormat="1" applyFont="1" applyFill="1" applyBorder="1" applyAlignment="1">
      <alignment horizontal="center"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3" fontId="189" fillId="0" borderId="0" xfId="0" applyNumberFormat="1" applyFont="1" applyAlignment="1">
      <alignment vertical="center"/>
    </xf>
    <xf numFmtId="4" fontId="216" fillId="0" borderId="11" xfId="0" applyNumberFormat="1" applyFont="1" applyFill="1" applyBorder="1" applyAlignment="1">
      <alignment horizontal="center" vertical="center"/>
    </xf>
    <xf numFmtId="0" fontId="218" fillId="0" borderId="8" xfId="0" applyFont="1" applyBorder="1" applyAlignment="1">
      <alignment horizontal="center" vertical="center" wrapText="1"/>
    </xf>
    <xf numFmtId="0" fontId="218" fillId="0" borderId="11" xfId="0" applyFont="1" applyBorder="1" applyAlignment="1">
      <alignment horizontal="center" vertical="center"/>
    </xf>
    <xf numFmtId="16" fontId="216" fillId="0" borderId="10" xfId="0" applyNumberFormat="1" applyFont="1" applyBorder="1" applyAlignment="1">
      <alignment horizontal="center"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3" fontId="188" fillId="0" borderId="0" xfId="0" applyNumberFormat="1" applyFont="1" applyAlignment="1">
      <alignment vertical="center"/>
    </xf>
    <xf numFmtId="4" fontId="187" fillId="0" borderId="11" xfId="0" applyNumberFormat="1" applyFont="1" applyBorder="1" applyAlignment="1">
      <alignment horizontal="center"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4" fontId="186" fillId="0" borderId="11" xfId="0" applyNumberFormat="1" applyFont="1" applyBorder="1" applyAlignment="1">
      <alignment horizontal="center"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10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0" fontId="182" fillId="0" borderId="0" xfId="0" applyFont="1" applyAlignment="1">
      <alignment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0" fontId="175" fillId="0" borderId="0" xfId="0" applyFont="1" applyAlignment="1">
      <alignment vertical="center"/>
    </xf>
    <xf numFmtId="3" fontId="224" fillId="0" borderId="0" xfId="0" applyNumberFormat="1" applyFont="1" applyAlignment="1">
      <alignment vertical="center"/>
    </xf>
    <xf numFmtId="3" fontId="224" fillId="0" borderId="0" xfId="0" applyNumberFormat="1" applyFont="1" applyBorder="1" applyAlignment="1">
      <alignment vertical="center"/>
    </xf>
    <xf numFmtId="0" fontId="224" fillId="0" borderId="0" xfId="0" applyFont="1" applyAlignment="1">
      <alignment vertical="center"/>
    </xf>
    <xf numFmtId="3" fontId="175" fillId="0" borderId="0" xfId="0" applyNumberFormat="1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0" fontId="170" fillId="0" borderId="0" xfId="0" applyFont="1" applyAlignment="1">
      <alignment horizontal="center" vertical="center"/>
    </xf>
    <xf numFmtId="9" fontId="170" fillId="0" borderId="0" xfId="1" applyFont="1" applyAlignment="1">
      <alignment horizontal="center" vertical="center"/>
    </xf>
    <xf numFmtId="4" fontId="170" fillId="0" borderId="0" xfId="0" applyNumberFormat="1" applyFont="1" applyAlignment="1">
      <alignment horizontal="center" vertical="center"/>
    </xf>
    <xf numFmtId="0" fontId="170" fillId="7" borderId="0" xfId="0" applyFont="1" applyFill="1" applyAlignment="1">
      <alignment horizontal="center" vertical="center"/>
    </xf>
    <xf numFmtId="0" fontId="218" fillId="0" borderId="0" xfId="0" applyFont="1" applyFill="1" applyAlignment="1">
      <alignment horizontal="center" vertical="center"/>
    </xf>
    <xf numFmtId="0" fontId="170" fillId="0" borderId="0" xfId="0" applyFont="1" applyFill="1" applyAlignment="1">
      <alignment horizontal="center" vertical="center"/>
    </xf>
    <xf numFmtId="9" fontId="170" fillId="0" borderId="0" xfId="0" applyNumberFormat="1" applyFont="1" applyAlignment="1">
      <alignment horizontal="center" vertical="center"/>
    </xf>
    <xf numFmtId="0" fontId="170" fillId="8" borderId="0" xfId="0" applyFont="1" applyFill="1" applyAlignment="1">
      <alignment horizontal="center"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0" fontId="175" fillId="0" borderId="0" xfId="0" applyFont="1" applyFill="1" applyAlignment="1">
      <alignment vertical="center"/>
    </xf>
    <xf numFmtId="0" fontId="0" fillId="0" borderId="0" xfId="0" applyFill="1"/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9" fillId="0" borderId="0" xfId="0" applyNumberFormat="1" applyFont="1" applyBorder="1" applyAlignment="1">
      <alignment vertical="center"/>
    </xf>
    <xf numFmtId="4" fontId="139" fillId="0" borderId="0" xfId="0" applyNumberFormat="1" applyFont="1" applyBorder="1" applyAlignment="1">
      <alignment vertical="center"/>
    </xf>
    <xf numFmtId="10" fontId="185" fillId="0" borderId="0" xfId="0" applyNumberFormat="1" applyFont="1" applyBorder="1" applyAlignment="1">
      <alignment vertical="center"/>
    </xf>
    <xf numFmtId="3" fontId="139" fillId="0" borderId="0" xfId="0" applyNumberFormat="1" applyFont="1" applyBorder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4" fontId="137" fillId="0" borderId="0" xfId="0" applyNumberFormat="1" applyFont="1" applyBorder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4" fillId="0" borderId="0" xfId="2" applyFont="1" applyAlignment="1">
      <alignment vertical="center"/>
    </xf>
    <xf numFmtId="0" fontId="218" fillId="0" borderId="0" xfId="2" applyFont="1" applyAlignment="1">
      <alignment horizontal="center" vertical="center"/>
    </xf>
    <xf numFmtId="0" fontId="134" fillId="0" borderId="0" xfId="2" applyFont="1" applyAlignment="1">
      <alignment horizontal="center" vertical="center"/>
    </xf>
    <xf numFmtId="4" fontId="134" fillId="0" borderId="0" xfId="2" applyNumberFormat="1" applyFont="1" applyAlignment="1">
      <alignment horizontal="center" vertical="center"/>
    </xf>
    <xf numFmtId="165" fontId="134" fillId="0" borderId="0" xfId="2" applyNumberFormat="1" applyFont="1" applyAlignment="1">
      <alignment horizontal="center" vertical="center"/>
    </xf>
    <xf numFmtId="165" fontId="134" fillId="0" borderId="0" xfId="3" applyNumberFormat="1" applyFont="1" applyAlignment="1">
      <alignment horizontal="center" vertical="center"/>
    </xf>
    <xf numFmtId="165" fontId="134" fillId="0" borderId="0" xfId="1" applyNumberFormat="1" applyFont="1" applyAlignment="1">
      <alignment horizontal="center" vertical="center"/>
    </xf>
    <xf numFmtId="4" fontId="134" fillId="0" borderId="0" xfId="1" applyNumberFormat="1" applyFont="1" applyAlignment="1">
      <alignment horizontal="center" vertical="center"/>
    </xf>
    <xf numFmtId="0" fontId="133" fillId="0" borderId="0" xfId="0" applyFont="1" applyAlignment="1">
      <alignment vertical="center"/>
    </xf>
    <xf numFmtId="0" fontId="218" fillId="9" borderId="22" xfId="0" applyFont="1" applyFill="1" applyBorder="1" applyAlignment="1">
      <alignment horizontal="right" vertical="center"/>
    </xf>
    <xf numFmtId="4" fontId="133" fillId="0" borderId="0" xfId="0" applyNumberFormat="1" applyFont="1" applyAlignment="1">
      <alignment vertical="center"/>
    </xf>
    <xf numFmtId="165" fontId="133" fillId="0" borderId="0" xfId="0" applyNumberFormat="1" applyFont="1" applyAlignment="1">
      <alignment vertical="center"/>
    </xf>
    <xf numFmtId="4" fontId="218" fillId="9" borderId="23" xfId="0" applyNumberFormat="1" applyFont="1" applyFill="1" applyBorder="1" applyAlignment="1">
      <alignment vertical="center"/>
    </xf>
    <xf numFmtId="165" fontId="218" fillId="9" borderId="23" xfId="0" applyNumberFormat="1" applyFont="1" applyFill="1" applyBorder="1" applyAlignment="1">
      <alignment vertical="center"/>
    </xf>
    <xf numFmtId="14" fontId="132" fillId="0" borderId="0" xfId="0" applyNumberFormat="1" applyFont="1" applyAlignment="1">
      <alignment vertical="center"/>
    </xf>
    <xf numFmtId="0" fontId="132" fillId="0" borderId="0" xfId="0" applyFont="1" applyAlignment="1">
      <alignment horizontal="center" vertical="center"/>
    </xf>
    <xf numFmtId="14" fontId="132" fillId="0" borderId="0" xfId="0" applyNumberFormat="1" applyFont="1" applyAlignment="1">
      <alignment horizontal="center" vertical="center"/>
    </xf>
    <xf numFmtId="4" fontId="132" fillId="0" borderId="0" xfId="0" applyNumberFormat="1" applyFont="1" applyAlignment="1">
      <alignment horizontal="center" vertical="center"/>
    </xf>
    <xf numFmtId="167" fontId="132" fillId="0" borderId="0" xfId="0" applyNumberFormat="1" applyFont="1" applyAlignment="1">
      <alignment horizontal="center" vertical="center"/>
    </xf>
    <xf numFmtId="165" fontId="132" fillId="0" borderId="0" xfId="1" applyNumberFormat="1" applyFont="1" applyAlignment="1">
      <alignment horizontal="center" vertical="center"/>
    </xf>
    <xf numFmtId="0" fontId="132" fillId="0" borderId="0" xfId="0" applyFont="1" applyAlignment="1">
      <alignment horizontal="center" vertical="center" wrapText="1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1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1" fillId="0" borderId="0" xfId="0" applyFont="1" applyAlignment="1">
      <alignment horizontal="center" vertical="center"/>
    </xf>
    <xf numFmtId="4" fontId="131" fillId="0" borderId="0" xfId="0" applyNumberFormat="1" applyFont="1" applyAlignment="1">
      <alignment horizontal="center" vertical="center"/>
    </xf>
    <xf numFmtId="4" fontId="132" fillId="10" borderId="0" xfId="0" applyNumberFormat="1" applyFont="1" applyFill="1" applyAlignment="1">
      <alignment horizontal="center"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30" fillId="0" borderId="0" xfId="0" applyFont="1" applyAlignment="1">
      <alignment horizontal="center"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0" fontId="128" fillId="0" borderId="0" xfId="0" applyFont="1" applyAlignment="1">
      <alignment horizontal="center"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10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0" fontId="126" fillId="0" borderId="0" xfId="0" applyFont="1" applyAlignment="1">
      <alignment horizontal="center"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0" fontId="124" fillId="0" borderId="0" xfId="0" applyFont="1"/>
    <xf numFmtId="0" fontId="124" fillId="0" borderId="0" xfId="0" applyFont="1" applyAlignment="1">
      <alignment horizontal="center" vertical="center"/>
    </xf>
    <xf numFmtId="16" fontId="124" fillId="0" borderId="0" xfId="0" applyNumberFormat="1" applyFont="1" applyAlignment="1">
      <alignment horizontal="center" vertical="center"/>
    </xf>
    <xf numFmtId="4" fontId="124" fillId="0" borderId="0" xfId="0" applyNumberFormat="1" applyFont="1" applyAlignment="1">
      <alignment horizontal="center" vertical="center"/>
    </xf>
    <xf numFmtId="4" fontId="218" fillId="0" borderId="0" xfId="0" applyNumberFormat="1" applyFont="1" applyAlignment="1">
      <alignment horizontal="center" vertical="center"/>
    </xf>
    <xf numFmtId="4" fontId="123" fillId="0" borderId="0" xfId="1" applyNumberFormat="1" applyFont="1" applyAlignment="1">
      <alignment horizontal="center" vertical="center"/>
    </xf>
    <xf numFmtId="10" fontId="123" fillId="0" borderId="0" xfId="1" applyNumberFormat="1" applyFont="1" applyAlignment="1">
      <alignment horizontal="center" vertical="center"/>
    </xf>
    <xf numFmtId="0" fontId="123" fillId="0" borderId="0" xfId="0" applyFont="1" applyAlignment="1">
      <alignment horizontal="center" vertical="center"/>
    </xf>
    <xf numFmtId="0" fontId="123" fillId="0" borderId="0" xfId="0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4" fontId="122" fillId="0" borderId="0" xfId="0" applyNumberFormat="1" applyFont="1" applyAlignment="1">
      <alignment horizontal="center" vertical="center"/>
    </xf>
    <xf numFmtId="16" fontId="122" fillId="0" borderId="0" xfId="0" applyNumberFormat="1" applyFont="1" applyAlignment="1">
      <alignment horizontal="center" vertical="center"/>
    </xf>
    <xf numFmtId="0" fontId="122" fillId="0" borderId="0" xfId="0" applyFont="1" applyAlignment="1">
      <alignment horizontal="center" vertical="center"/>
    </xf>
    <xf numFmtId="4" fontId="122" fillId="0" borderId="0" xfId="1" applyNumberFormat="1" applyFont="1" applyAlignment="1">
      <alignment horizontal="center" vertical="center"/>
    </xf>
    <xf numFmtId="10" fontId="122" fillId="0" borderId="0" xfId="1" applyNumberFormat="1" applyFont="1" applyAlignment="1">
      <alignment horizontal="center" vertical="center"/>
    </xf>
    <xf numFmtId="4" fontId="121" fillId="0" borderId="0" xfId="0" applyNumberFormat="1" applyFont="1" applyAlignment="1">
      <alignment horizontal="center" vertical="center"/>
    </xf>
    <xf numFmtId="0" fontId="121" fillId="0" borderId="0" xfId="0" applyFont="1"/>
    <xf numFmtId="165" fontId="124" fillId="0" borderId="0" xfId="1" applyNumberFormat="1" applyFont="1"/>
    <xf numFmtId="4" fontId="124" fillId="0" borderId="0" xfId="0" applyNumberFormat="1" applyFont="1"/>
    <xf numFmtId="16" fontId="225" fillId="0" borderId="0" xfId="0" applyNumberFormat="1" applyFont="1" applyAlignment="1">
      <alignment horizontal="center" vertical="center"/>
    </xf>
    <xf numFmtId="0" fontId="225" fillId="0" borderId="0" xfId="0" applyFont="1" applyAlignment="1">
      <alignment horizontal="center" vertical="center"/>
    </xf>
    <xf numFmtId="4" fontId="225" fillId="0" borderId="0" xfId="0" applyNumberFormat="1" applyFont="1" applyAlignment="1">
      <alignment horizontal="center" vertical="center"/>
    </xf>
    <xf numFmtId="4" fontId="225" fillId="0" borderId="0" xfId="1" applyNumberFormat="1" applyFont="1" applyAlignment="1">
      <alignment horizontal="center" vertical="center"/>
    </xf>
    <xf numFmtId="10" fontId="225" fillId="0" borderId="0" xfId="1" applyNumberFormat="1" applyFont="1" applyAlignment="1">
      <alignment horizontal="center" vertical="center"/>
    </xf>
    <xf numFmtId="4" fontId="226" fillId="0" borderId="0" xfId="0" applyNumberFormat="1" applyFont="1" applyAlignment="1">
      <alignment horizontal="center" vertical="center" wrapText="1"/>
    </xf>
    <xf numFmtId="20" fontId="122" fillId="0" borderId="0" xfId="0" applyNumberFormat="1" applyFont="1" applyAlignment="1">
      <alignment horizontal="center" vertical="center"/>
    </xf>
    <xf numFmtId="20" fontId="124" fillId="0" borderId="0" xfId="0" applyNumberFormat="1" applyFont="1" applyAlignment="1">
      <alignment horizontal="center" vertical="center"/>
    </xf>
    <xf numFmtId="4" fontId="120" fillId="0" borderId="0" xfId="0" applyNumberFormat="1" applyFont="1" applyAlignment="1">
      <alignment horizontal="center" vertical="center"/>
    </xf>
    <xf numFmtId="0" fontId="120" fillId="0" borderId="0" xfId="0" applyFont="1" applyAlignment="1">
      <alignment horizontal="center" vertical="center"/>
    </xf>
    <xf numFmtId="20" fontId="225" fillId="0" borderId="0" xfId="0" applyNumberFormat="1" applyFont="1" applyAlignment="1">
      <alignment horizontal="center" vertical="center"/>
    </xf>
    <xf numFmtId="16" fontId="124" fillId="0" borderId="0" xfId="0" applyNumberFormat="1" applyFont="1"/>
    <xf numFmtId="16" fontId="120" fillId="0" borderId="0" xfId="0" applyNumberFormat="1" applyFont="1" applyAlignment="1">
      <alignment horizontal="center" vertical="center"/>
    </xf>
    <xf numFmtId="10" fontId="120" fillId="0" borderId="0" xfId="1" applyNumberFormat="1" applyFont="1" applyAlignment="1">
      <alignment horizontal="center" vertical="center"/>
    </xf>
    <xf numFmtId="4" fontId="120" fillId="0" borderId="0" xfId="1" applyNumberFormat="1" applyFont="1" applyAlignment="1">
      <alignment horizontal="center" vertical="center"/>
    </xf>
    <xf numFmtId="20" fontId="120" fillId="0" borderId="0" xfId="0" applyNumberFormat="1" applyFont="1" applyAlignment="1">
      <alignment horizontal="center" vertical="center"/>
    </xf>
    <xf numFmtId="4" fontId="123" fillId="0" borderId="0" xfId="0" applyNumberFormat="1" applyFont="1" applyAlignment="1">
      <alignment horizontal="center"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4" fontId="118" fillId="0" borderId="0" xfId="0" applyNumberFormat="1" applyFont="1" applyAlignment="1">
      <alignment horizontal="center" vertical="center"/>
    </xf>
    <xf numFmtId="0" fontId="117" fillId="0" borderId="0" xfId="0" applyFont="1"/>
    <xf numFmtId="16" fontId="225" fillId="10" borderId="0" xfId="0" applyNumberFormat="1" applyFont="1" applyFill="1" applyAlignment="1">
      <alignment horizontal="center" vertical="center"/>
    </xf>
    <xf numFmtId="0" fontId="225" fillId="10" borderId="0" xfId="0" applyFont="1" applyFill="1" applyAlignment="1">
      <alignment horizontal="center" vertical="center"/>
    </xf>
    <xf numFmtId="0" fontId="124" fillId="10" borderId="0" xfId="0" applyFont="1" applyFill="1" applyAlignment="1">
      <alignment horizontal="center" vertical="center"/>
    </xf>
    <xf numFmtId="4" fontId="225" fillId="10" borderId="0" xfId="0" applyNumberFormat="1" applyFont="1" applyFill="1" applyAlignment="1">
      <alignment horizontal="center" vertical="center"/>
    </xf>
    <xf numFmtId="10" fontId="225" fillId="10" borderId="0" xfId="1" applyNumberFormat="1" applyFont="1" applyFill="1" applyAlignment="1">
      <alignment horizontal="center" vertical="center"/>
    </xf>
    <xf numFmtId="4" fontId="225" fillId="10" borderId="0" xfId="1" applyNumberFormat="1" applyFont="1" applyFill="1" applyAlignment="1">
      <alignment horizontal="center" vertical="center"/>
    </xf>
    <xf numFmtId="0" fontId="116" fillId="0" borderId="0" xfId="0" applyFont="1"/>
    <xf numFmtId="4" fontId="116" fillId="0" borderId="0" xfId="0" applyNumberFormat="1" applyFont="1" applyAlignment="1">
      <alignment horizontal="center" vertical="center"/>
    </xf>
    <xf numFmtId="4" fontId="115" fillId="0" borderId="0" xfId="0" applyNumberFormat="1" applyFont="1" applyAlignment="1">
      <alignment horizontal="center"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5" fillId="0" borderId="0" xfId="0" applyFont="1" applyAlignment="1">
      <alignment horizontal="center" vertical="center"/>
    </xf>
    <xf numFmtId="164" fontId="132" fillId="0" borderId="0" xfId="0" applyNumberFormat="1" applyFont="1" applyAlignment="1">
      <alignment horizontal="center" vertical="center"/>
    </xf>
    <xf numFmtId="0" fontId="115" fillId="0" borderId="0" xfId="2" applyFont="1" applyAlignment="1">
      <alignment horizontal="center" vertical="center"/>
    </xf>
    <xf numFmtId="0" fontId="114" fillId="0" borderId="0" xfId="0" applyFont="1" applyAlignment="1">
      <alignment horizontal="center" vertical="center"/>
    </xf>
    <xf numFmtId="10" fontId="132" fillId="0" borderId="0" xfId="0" applyNumberFormat="1" applyFont="1" applyAlignment="1">
      <alignment horizontal="center" vertical="center"/>
    </xf>
    <xf numFmtId="10" fontId="132" fillId="0" borderId="0" xfId="1" applyNumberFormat="1" applyFont="1" applyAlignment="1">
      <alignment horizontal="center" vertical="center"/>
    </xf>
    <xf numFmtId="4" fontId="132" fillId="3" borderId="0" xfId="0" applyNumberFormat="1" applyFont="1" applyFill="1" applyAlignment="1">
      <alignment horizontal="center" vertical="center"/>
    </xf>
    <xf numFmtId="10" fontId="132" fillId="3" borderId="0" xfId="0" applyNumberFormat="1" applyFont="1" applyFill="1" applyAlignment="1">
      <alignment horizontal="center"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3" fillId="0" borderId="0" xfId="0" applyNumberFormat="1" applyFont="1" applyAlignment="1">
      <alignment horizontal="center" vertical="center"/>
    </xf>
    <xf numFmtId="0" fontId="113" fillId="0" borderId="0" xfId="0" applyFont="1" applyAlignment="1">
      <alignment horizontal="center" vertical="center"/>
    </xf>
    <xf numFmtId="164" fontId="113" fillId="0" borderId="0" xfId="0" applyNumberFormat="1" applyFont="1" applyAlignment="1">
      <alignment horizontal="center" vertical="center"/>
    </xf>
    <xf numFmtId="4" fontId="113" fillId="0" borderId="0" xfId="0" applyNumberFormat="1" applyFont="1" applyAlignment="1">
      <alignment horizontal="center"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2" fillId="0" borderId="0" xfId="0" applyNumberFormat="1" applyFont="1" applyAlignment="1">
      <alignment horizontal="center" vertical="center"/>
    </xf>
    <xf numFmtId="0" fontId="112" fillId="0" borderId="0" xfId="0" applyFont="1" applyAlignment="1">
      <alignment horizontal="center" vertical="center"/>
    </xf>
    <xf numFmtId="164" fontId="112" fillId="0" borderId="0" xfId="0" applyNumberFormat="1" applyFont="1" applyAlignment="1">
      <alignment horizontal="center" vertical="center"/>
    </xf>
    <xf numFmtId="4" fontId="112" fillId="0" borderId="0" xfId="0" applyNumberFormat="1" applyFont="1" applyAlignment="1">
      <alignment horizontal="center" vertical="center"/>
    </xf>
    <xf numFmtId="165" fontId="112" fillId="0" borderId="0" xfId="1" applyNumberFormat="1" applyFont="1" applyAlignment="1">
      <alignment horizontal="center"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1" fillId="0" borderId="0" xfId="0" applyNumberFormat="1" applyFont="1" applyAlignment="1">
      <alignment horizontal="center" vertical="center"/>
    </xf>
    <xf numFmtId="0" fontId="111" fillId="0" borderId="0" xfId="0" applyFont="1" applyAlignment="1">
      <alignment horizontal="center" vertical="center"/>
    </xf>
    <xf numFmtId="164" fontId="111" fillId="0" borderId="0" xfId="0" applyNumberFormat="1" applyFont="1" applyAlignment="1">
      <alignment horizontal="center" vertical="center"/>
    </xf>
    <xf numFmtId="4" fontId="111" fillId="0" borderId="0" xfId="0" applyNumberFormat="1" applyFont="1" applyAlignment="1">
      <alignment horizontal="center" vertical="center"/>
    </xf>
    <xf numFmtId="165" fontId="111" fillId="0" borderId="0" xfId="1" applyNumberFormat="1" applyFont="1" applyAlignment="1">
      <alignment horizontal="center" vertical="center"/>
    </xf>
    <xf numFmtId="4" fontId="111" fillId="3" borderId="0" xfId="0" applyNumberFormat="1" applyFont="1" applyFill="1" applyAlignment="1">
      <alignment horizontal="center"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14" fontId="110" fillId="0" borderId="0" xfId="0" applyNumberFormat="1" applyFont="1" applyAlignment="1">
      <alignment horizontal="center" vertical="center"/>
    </xf>
    <xf numFmtId="0" fontId="110" fillId="0" borderId="0" xfId="0" applyFont="1" applyAlignment="1">
      <alignment horizontal="center" vertical="center"/>
    </xf>
    <xf numFmtId="164" fontId="110" fillId="0" borderId="0" xfId="0" applyNumberFormat="1" applyFont="1" applyAlignment="1">
      <alignment horizontal="center" vertical="center"/>
    </xf>
    <xf numFmtId="4" fontId="110" fillId="0" borderId="0" xfId="0" applyNumberFormat="1" applyFont="1" applyAlignment="1">
      <alignment horizontal="center" vertical="center"/>
    </xf>
    <xf numFmtId="165" fontId="110" fillId="0" borderId="0" xfId="1" applyNumberFormat="1" applyFont="1" applyAlignment="1">
      <alignment horizontal="center"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9" fillId="0" borderId="0" xfId="0" applyNumberFormat="1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164" fontId="109" fillId="0" borderId="0" xfId="0" applyNumberFormat="1" applyFont="1" applyAlignment="1">
      <alignment horizontal="center" vertical="center"/>
    </xf>
    <xf numFmtId="4" fontId="109" fillId="0" borderId="0" xfId="0" applyNumberFormat="1" applyFont="1" applyAlignment="1">
      <alignment horizontal="center" vertical="center"/>
    </xf>
    <xf numFmtId="165" fontId="109" fillId="0" borderId="0" xfId="1" applyNumberFormat="1" applyFont="1" applyAlignment="1">
      <alignment horizontal="center"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14" fontId="107" fillId="0" borderId="0" xfId="0" applyNumberFormat="1" applyFont="1" applyAlignment="1">
      <alignment horizontal="center" vertical="center"/>
    </xf>
    <xf numFmtId="0" fontId="107" fillId="0" borderId="0" xfId="0" applyFont="1" applyAlignment="1">
      <alignment horizontal="center" vertical="center"/>
    </xf>
    <xf numFmtId="164" fontId="107" fillId="0" borderId="0" xfId="0" applyNumberFormat="1" applyFont="1" applyAlignment="1">
      <alignment horizontal="center" vertical="center"/>
    </xf>
    <xf numFmtId="4" fontId="107" fillId="0" borderId="0" xfId="0" applyNumberFormat="1" applyFont="1" applyAlignment="1">
      <alignment horizontal="center" vertical="center"/>
    </xf>
    <xf numFmtId="165" fontId="107" fillId="0" borderId="0" xfId="1" applyNumberFormat="1" applyFont="1" applyAlignment="1">
      <alignment horizontal="center"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5" fillId="0" borderId="0" xfId="0" applyFont="1" applyAlignment="1">
      <alignment horizontal="center" vertical="center"/>
    </xf>
    <xf numFmtId="14" fontId="105" fillId="0" borderId="0" xfId="0" applyNumberFormat="1" applyFont="1" applyAlignment="1">
      <alignment horizontal="center" vertical="center"/>
    </xf>
    <xf numFmtId="4" fontId="105" fillId="0" borderId="0" xfId="0" applyNumberFormat="1" applyFont="1" applyAlignment="1">
      <alignment horizontal="center" vertical="center"/>
    </xf>
    <xf numFmtId="165" fontId="105" fillId="0" borderId="0" xfId="1" applyNumberFormat="1" applyFont="1" applyAlignment="1">
      <alignment horizontal="center"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14" fontId="103" fillId="0" borderId="0" xfId="0" applyNumberFormat="1" applyFont="1" applyAlignment="1">
      <alignment horizontal="center" vertical="center"/>
    </xf>
    <xf numFmtId="0" fontId="103" fillId="0" borderId="0" xfId="0" applyFont="1" applyAlignment="1">
      <alignment horizontal="center" vertical="center"/>
    </xf>
    <xf numFmtId="164" fontId="103" fillId="0" borderId="0" xfId="0" applyNumberFormat="1" applyFont="1" applyAlignment="1">
      <alignment horizontal="center" vertical="center"/>
    </xf>
    <xf numFmtId="4" fontId="103" fillId="0" borderId="0" xfId="0" applyNumberFormat="1" applyFont="1" applyAlignment="1">
      <alignment horizontal="center" vertical="center"/>
    </xf>
    <xf numFmtId="165" fontId="103" fillId="0" borderId="0" xfId="1" applyNumberFormat="1" applyFont="1" applyAlignment="1">
      <alignment horizontal="center"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14" fontId="227" fillId="0" borderId="0" xfId="0" applyNumberFormat="1" applyFont="1" applyAlignment="1">
      <alignment horizontal="center" vertical="center"/>
    </xf>
    <xf numFmtId="0" fontId="227" fillId="0" borderId="0" xfId="0" applyFont="1" applyAlignment="1">
      <alignment horizontal="center" vertical="center"/>
    </xf>
    <xf numFmtId="164" fontId="227" fillId="0" borderId="0" xfId="0" applyNumberFormat="1" applyFont="1" applyAlignment="1">
      <alignment horizontal="center" vertical="center"/>
    </xf>
    <xf numFmtId="4" fontId="227" fillId="0" borderId="0" xfId="0" applyNumberFormat="1" applyFont="1" applyAlignment="1">
      <alignment horizontal="center" vertical="center"/>
    </xf>
    <xf numFmtId="165" fontId="227" fillId="0" borderId="0" xfId="1" applyNumberFormat="1" applyFont="1" applyAlignment="1">
      <alignment horizontal="center"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100" fillId="0" borderId="0" xfId="0" applyFont="1" applyAlignment="1">
      <alignment horizontal="center"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14" fontId="227" fillId="0" borderId="0" xfId="0" applyNumberFormat="1" applyFont="1" applyAlignment="1">
      <alignment vertical="center"/>
    </xf>
    <xf numFmtId="4" fontId="227" fillId="0" borderId="0" xfId="0" applyNumberFormat="1" applyFont="1" applyAlignment="1">
      <alignment vertical="center"/>
    </xf>
    <xf numFmtId="10" fontId="227" fillId="0" borderId="0" xfId="0" applyNumberFormat="1" applyFont="1" applyBorder="1" applyAlignment="1">
      <alignment vertical="center"/>
    </xf>
    <xf numFmtId="3" fontId="227" fillId="0" borderId="0" xfId="0" applyNumberFormat="1" applyFont="1" applyAlignment="1">
      <alignment vertical="center"/>
    </xf>
    <xf numFmtId="0" fontId="99" fillId="0" borderId="0" xfId="0" applyFont="1" applyAlignment="1">
      <alignment horizontal="center" vertical="center"/>
    </xf>
    <xf numFmtId="0" fontId="227" fillId="0" borderId="0" xfId="0" applyFont="1" applyFill="1" applyAlignment="1">
      <alignment vertical="center"/>
    </xf>
    <xf numFmtId="4" fontId="227" fillId="0" borderId="0" xfId="0" applyNumberFormat="1" applyFont="1" applyFill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14" fontId="98" fillId="0" borderId="0" xfId="0" applyNumberFormat="1" applyFont="1" applyAlignment="1">
      <alignment horizontal="center" vertical="center"/>
    </xf>
    <xf numFmtId="0" fontId="98" fillId="0" borderId="0" xfId="0" applyFont="1" applyAlignment="1">
      <alignment horizontal="center" vertical="center"/>
    </xf>
    <xf numFmtId="164" fontId="98" fillId="0" borderId="0" xfId="0" applyNumberFormat="1" applyFont="1" applyAlignment="1">
      <alignment horizontal="center" vertical="center"/>
    </xf>
    <xf numFmtId="4" fontId="98" fillId="0" borderId="0" xfId="0" applyNumberFormat="1" applyFont="1" applyAlignment="1">
      <alignment horizontal="center" vertical="center"/>
    </xf>
    <xf numFmtId="165" fontId="98" fillId="0" borderId="0" xfId="1" applyNumberFormat="1" applyFont="1" applyAlignment="1">
      <alignment horizontal="center"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8" fillId="0" borderId="0" xfId="0" applyFont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98" fillId="0" borderId="0" xfId="4" applyFont="1" applyAlignment="1">
      <alignment vertical="center"/>
    </xf>
    <xf numFmtId="4" fontId="98" fillId="3" borderId="0" xfId="4" applyNumberFormat="1" applyFont="1" applyFill="1" applyAlignment="1">
      <alignment vertical="center"/>
    </xf>
    <xf numFmtId="165" fontId="98" fillId="3" borderId="0" xfId="4" applyNumberFormat="1" applyFont="1" applyFill="1" applyAlignment="1">
      <alignment vertical="center"/>
    </xf>
    <xf numFmtId="4" fontId="98" fillId="0" borderId="0" xfId="4" applyNumberFormat="1" applyFont="1" applyAlignment="1">
      <alignment vertical="center"/>
    </xf>
    <xf numFmtId="9" fontId="98" fillId="0" borderId="0" xfId="4" applyNumberFormat="1" applyFont="1" applyAlignment="1">
      <alignment vertical="center"/>
    </xf>
    <xf numFmtId="165" fontId="98" fillId="0" borderId="0" xfId="4" applyNumberFormat="1" applyFont="1" applyAlignment="1">
      <alignment vertical="center"/>
    </xf>
    <xf numFmtId="168" fontId="98" fillId="0" borderId="0" xfId="4" applyNumberFormat="1" applyFont="1" applyAlignment="1">
      <alignment vertical="center"/>
    </xf>
    <xf numFmtId="10" fontId="98" fillId="0" borderId="0" xfId="5" applyNumberFormat="1" applyFont="1" applyAlignment="1">
      <alignment vertical="center"/>
    </xf>
    <xf numFmtId="0" fontId="98" fillId="3" borderId="0" xfId="4" applyFont="1" applyFill="1" applyAlignment="1">
      <alignment vertical="center"/>
    </xf>
    <xf numFmtId="4" fontId="98" fillId="0" borderId="0" xfId="4" applyNumberFormat="1" applyFont="1" applyFill="1" applyAlignment="1">
      <alignment vertical="center"/>
    </xf>
    <xf numFmtId="165" fontId="98" fillId="0" borderId="0" xfId="5" applyNumberFormat="1" applyFont="1" applyFill="1" applyAlignment="1">
      <alignment vertical="center"/>
    </xf>
    <xf numFmtId="0" fontId="218" fillId="11" borderId="24" xfId="4" applyFont="1" applyFill="1" applyBorder="1" applyAlignment="1">
      <alignment vertical="center"/>
    </xf>
    <xf numFmtId="10" fontId="218" fillId="11" borderId="25" xfId="5" applyNumberFormat="1" applyFont="1" applyFill="1" applyBorder="1" applyAlignment="1">
      <alignment vertical="center"/>
    </xf>
    <xf numFmtId="0" fontId="218" fillId="11" borderId="26" xfId="4" applyFont="1" applyFill="1" applyBorder="1" applyAlignment="1">
      <alignment vertical="center"/>
    </xf>
    <xf numFmtId="4" fontId="218" fillId="11" borderId="27" xfId="4" applyNumberFormat="1" applyFont="1" applyFill="1" applyBorder="1" applyAlignment="1">
      <alignment vertical="center"/>
    </xf>
    <xf numFmtId="0" fontId="218" fillId="12" borderId="4" xfId="4" applyFont="1" applyFill="1" applyBorder="1" applyAlignment="1">
      <alignment vertical="center"/>
    </xf>
    <xf numFmtId="10" fontId="218" fillId="12" borderId="6" xfId="5" applyNumberFormat="1" applyFont="1" applyFill="1" applyBorder="1" applyAlignment="1">
      <alignment vertical="center"/>
    </xf>
    <xf numFmtId="0" fontId="218" fillId="13" borderId="24" xfId="4" applyFont="1" applyFill="1" applyBorder="1" applyAlignment="1">
      <alignment vertical="center"/>
    </xf>
    <xf numFmtId="10" fontId="218" fillId="13" borderId="25" xfId="5" applyNumberFormat="1" applyFont="1" applyFill="1" applyBorder="1" applyAlignment="1">
      <alignment vertical="center"/>
    </xf>
    <xf numFmtId="0" fontId="218" fillId="13" borderId="26" xfId="4" applyFont="1" applyFill="1" applyBorder="1" applyAlignment="1">
      <alignment vertical="center"/>
    </xf>
    <xf numFmtId="10" fontId="218" fillId="13" borderId="27" xfId="5" applyNumberFormat="1" applyFont="1" applyFill="1" applyBorder="1" applyAlignment="1">
      <alignment vertical="center"/>
    </xf>
    <xf numFmtId="166" fontId="98" fillId="3" borderId="0" xfId="4" applyNumberFormat="1" applyFont="1" applyFill="1" applyAlignment="1">
      <alignment vertical="center"/>
    </xf>
    <xf numFmtId="0" fontId="97" fillId="0" borderId="0" xfId="4" applyFont="1" applyAlignment="1">
      <alignment vertical="center"/>
    </xf>
    <xf numFmtId="0" fontId="98" fillId="3" borderId="25" xfId="4" applyFont="1" applyFill="1" applyBorder="1" applyAlignment="1">
      <alignment vertical="center"/>
    </xf>
    <xf numFmtId="0" fontId="218" fillId="0" borderId="24" xfId="4" applyFont="1" applyBorder="1" applyAlignment="1">
      <alignment vertical="center"/>
    </xf>
    <xf numFmtId="0" fontId="218" fillId="0" borderId="26" xfId="4" applyFont="1" applyBorder="1" applyAlignment="1">
      <alignment vertical="center"/>
    </xf>
    <xf numFmtId="165" fontId="98" fillId="0" borderId="27" xfId="1" applyNumberFormat="1" applyFont="1" applyBorder="1" applyAlignment="1">
      <alignment vertical="center"/>
    </xf>
    <xf numFmtId="4" fontId="98" fillId="3" borderId="25" xfId="4" applyNumberFormat="1" applyFont="1" applyFill="1" applyBorder="1" applyAlignment="1">
      <alignment vertical="center"/>
    </xf>
    <xf numFmtId="4" fontId="98" fillId="0" borderId="27" xfId="4" applyNumberFormat="1" applyFont="1" applyBorder="1" applyAlignment="1">
      <alignment vertical="center"/>
    </xf>
    <xf numFmtId="165" fontId="98" fillId="0" borderId="0" xfId="1" applyNumberFormat="1" applyFont="1" applyAlignment="1">
      <alignment vertical="center"/>
    </xf>
    <xf numFmtId="4" fontId="98" fillId="0" borderId="0" xfId="4" applyNumberFormat="1" applyFont="1" applyBorder="1" applyAlignment="1">
      <alignment vertical="center"/>
    </xf>
    <xf numFmtId="0" fontId="96" fillId="0" borderId="0" xfId="4" applyFont="1" applyAlignment="1">
      <alignment vertical="center"/>
    </xf>
    <xf numFmtId="4" fontId="98" fillId="0" borderId="0" xfId="1" applyNumberFormat="1" applyFont="1" applyAlignment="1">
      <alignment vertical="center"/>
    </xf>
    <xf numFmtId="4" fontId="96" fillId="0" borderId="0" xfId="4" applyNumberFormat="1" applyFont="1" applyAlignment="1">
      <alignment vertical="center"/>
    </xf>
    <xf numFmtId="165" fontId="98" fillId="3" borderId="0" xfId="1" applyNumberFormat="1" applyFont="1" applyFill="1" applyAlignment="1">
      <alignment vertical="center"/>
    </xf>
    <xf numFmtId="0" fontId="218" fillId="0" borderId="0" xfId="4" applyFont="1" applyBorder="1" applyAlignment="1">
      <alignment vertical="center"/>
    </xf>
    <xf numFmtId="165" fontId="95" fillId="3" borderId="0" xfId="4" applyNumberFormat="1" applyFont="1" applyFill="1" applyAlignment="1">
      <alignment vertical="center"/>
    </xf>
    <xf numFmtId="0" fontId="94" fillId="0" borderId="0" xfId="0" applyFont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94" fillId="0" borderId="0" xfId="0" applyFont="1"/>
    <xf numFmtId="0" fontId="94" fillId="0" borderId="0" xfId="0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0" fontId="94" fillId="0" borderId="0" xfId="0" applyFont="1" applyAlignment="1">
      <alignment horizontal="center" vertical="center"/>
    </xf>
    <xf numFmtId="0" fontId="217" fillId="0" borderId="0" xfId="0" applyFont="1" applyFill="1" applyBorder="1" applyAlignment="1">
      <alignment vertical="center"/>
    </xf>
    <xf numFmtId="0" fontId="216" fillId="0" borderId="0" xfId="0" applyFont="1" applyFill="1" applyAlignment="1">
      <alignment vertical="center"/>
    </xf>
    <xf numFmtId="0" fontId="221" fillId="0" borderId="0" xfId="0" applyFont="1" applyFill="1" applyAlignment="1">
      <alignment vertical="center"/>
    </xf>
    <xf numFmtId="0" fontId="215" fillId="0" borderId="0" xfId="0" applyFont="1" applyFill="1" applyAlignment="1">
      <alignment vertical="center"/>
    </xf>
    <xf numFmtId="0" fontId="213" fillId="0" borderId="0" xfId="0" applyFont="1" applyFill="1" applyAlignment="1">
      <alignment vertical="center"/>
    </xf>
    <xf numFmtId="0" fontId="212" fillId="0" borderId="0" xfId="0" applyFont="1" applyFill="1" applyAlignment="1">
      <alignment vertical="center"/>
    </xf>
    <xf numFmtId="0" fontId="211" fillId="0" borderId="0" xfId="0" applyFont="1" applyFill="1" applyAlignment="1">
      <alignment vertical="center"/>
    </xf>
    <xf numFmtId="0" fontId="209" fillId="0" borderId="0" xfId="0" applyFont="1" applyFill="1" applyAlignment="1">
      <alignment vertical="center"/>
    </xf>
    <xf numFmtId="0" fontId="208" fillId="0" borderId="0" xfId="0" applyFont="1" applyFill="1" applyAlignment="1">
      <alignment vertical="center"/>
    </xf>
    <xf numFmtId="0" fontId="206" fillId="0" borderId="0" xfId="0" applyFont="1" applyFill="1" applyAlignment="1">
      <alignment vertical="center"/>
    </xf>
    <xf numFmtId="0" fontId="205" fillId="0" borderId="0" xfId="0" applyFont="1" applyFill="1" applyAlignment="1">
      <alignment vertical="center"/>
    </xf>
    <xf numFmtId="0" fontId="202" fillId="0" borderId="0" xfId="0" applyFont="1" applyFill="1" applyAlignment="1">
      <alignment vertical="center"/>
    </xf>
    <xf numFmtId="0" fontId="200" fillId="0" borderId="0" xfId="0" applyFont="1" applyFill="1" applyAlignment="1">
      <alignment vertical="center"/>
    </xf>
    <xf numFmtId="0" fontId="199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9" fillId="0" borderId="0" xfId="0" applyFont="1" applyFill="1" applyBorder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4" fontId="217" fillId="0" borderId="0" xfId="0" applyNumberFormat="1" applyFont="1" applyFill="1" applyAlignment="1">
      <alignment vertical="center"/>
    </xf>
    <xf numFmtId="4" fontId="217" fillId="0" borderId="0" xfId="0" applyNumberFormat="1" applyFont="1" applyFill="1" applyBorder="1" applyAlignment="1">
      <alignment vertical="center"/>
    </xf>
    <xf numFmtId="4" fontId="216" fillId="0" borderId="0" xfId="0" applyNumberFormat="1" applyFont="1" applyFill="1" applyAlignment="1">
      <alignment vertical="center"/>
    </xf>
    <xf numFmtId="4" fontId="221" fillId="0" borderId="0" xfId="0" applyNumberFormat="1" applyFont="1" applyFill="1" applyAlignment="1">
      <alignment vertical="center"/>
    </xf>
    <xf numFmtId="4" fontId="215" fillId="0" borderId="0" xfId="0" applyNumberFormat="1" applyFont="1" applyFill="1" applyAlignment="1">
      <alignment vertical="center"/>
    </xf>
    <xf numFmtId="4" fontId="213" fillId="0" borderId="0" xfId="0" applyNumberFormat="1" applyFont="1" applyFill="1" applyAlignment="1">
      <alignment vertical="center"/>
    </xf>
    <xf numFmtId="4" fontId="212" fillId="0" borderId="0" xfId="0" applyNumberFormat="1" applyFont="1" applyFill="1" applyAlignment="1">
      <alignment vertical="center"/>
    </xf>
    <xf numFmtId="4" fontId="211" fillId="0" borderId="0" xfId="0" applyNumberFormat="1" applyFont="1" applyFill="1" applyAlignment="1">
      <alignment vertical="center"/>
    </xf>
    <xf numFmtId="4" fontId="209" fillId="0" borderId="0" xfId="0" applyNumberFormat="1" applyFont="1" applyFill="1" applyAlignment="1">
      <alignment vertical="center"/>
    </xf>
    <xf numFmtId="4" fontId="208" fillId="0" borderId="0" xfId="0" applyNumberFormat="1" applyFont="1" applyFill="1" applyAlignment="1">
      <alignment vertical="center"/>
    </xf>
    <xf numFmtId="4" fontId="206" fillId="0" borderId="0" xfId="0" applyNumberFormat="1" applyFont="1" applyFill="1" applyAlignment="1">
      <alignment vertical="center"/>
    </xf>
    <xf numFmtId="4" fontId="205" fillId="0" borderId="0" xfId="0" applyNumberFormat="1" applyFont="1" applyFill="1" applyAlignment="1">
      <alignment vertical="center"/>
    </xf>
    <xf numFmtId="4" fontId="202" fillId="0" borderId="0" xfId="0" applyNumberFormat="1" applyFont="1" applyFill="1" applyAlignment="1">
      <alignment vertical="center"/>
    </xf>
    <xf numFmtId="4" fontId="200" fillId="0" borderId="0" xfId="0" applyNumberFormat="1" applyFont="1" applyFill="1" applyAlignment="1">
      <alignment vertical="center"/>
    </xf>
    <xf numFmtId="4" fontId="199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9" fillId="0" borderId="0" xfId="0" applyNumberFormat="1" applyFont="1" applyFill="1" applyBorder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0" fontId="93" fillId="0" borderId="0" xfId="0" applyFont="1" applyFill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0" fontId="217" fillId="0" borderId="0" xfId="0" applyFont="1" applyAlignment="1">
      <alignment horizontal="center" vertical="center" wrapText="1"/>
    </xf>
    <xf numFmtId="0" fontId="92" fillId="0" borderId="0" xfId="0" applyFont="1" applyFill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2" fillId="0" borderId="0" xfId="0" applyFont="1" applyAlignment="1">
      <alignment horizontal="center" vertical="center"/>
    </xf>
    <xf numFmtId="16" fontId="218" fillId="0" borderId="0" xfId="0" applyNumberFormat="1" applyFont="1" applyFill="1" applyAlignment="1">
      <alignment horizontal="center" vertical="center"/>
    </xf>
    <xf numFmtId="4" fontId="217" fillId="0" borderId="0" xfId="0" applyNumberFormat="1" applyFont="1" applyFill="1" applyAlignment="1">
      <alignment horizontal="center" vertical="center"/>
    </xf>
    <xf numFmtId="0" fontId="217" fillId="0" borderId="0" xfId="0" applyFont="1" applyFill="1" applyAlignment="1">
      <alignment horizontal="center" vertical="center"/>
    </xf>
    <xf numFmtId="0" fontId="92" fillId="0" borderId="0" xfId="4" applyFont="1" applyAlignment="1">
      <alignment vertical="center"/>
    </xf>
    <xf numFmtId="0" fontId="91" fillId="0" borderId="0" xfId="0" applyFont="1" applyFill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0" fillId="0" borderId="0" xfId="0" applyFont="1" applyFill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217" fillId="3" borderId="0" xfId="0" applyFont="1" applyFill="1"/>
    <xf numFmtId="0" fontId="89" fillId="0" borderId="0" xfId="0" applyFont="1" applyFill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14" fontId="89" fillId="0" borderId="0" xfId="0" applyNumberFormat="1" applyFont="1" applyAlignment="1">
      <alignment horizontal="center" vertical="center"/>
    </xf>
    <xf numFmtId="0" fontId="89" fillId="0" borderId="0" xfId="0" applyFont="1" applyAlignment="1">
      <alignment horizontal="center" vertical="center"/>
    </xf>
    <xf numFmtId="164" fontId="89" fillId="0" borderId="0" xfId="0" applyNumberFormat="1" applyFont="1" applyAlignment="1">
      <alignment horizontal="center" vertical="center"/>
    </xf>
    <xf numFmtId="4" fontId="89" fillId="0" borderId="0" xfId="0" applyNumberFormat="1" applyFont="1" applyAlignment="1">
      <alignment horizontal="center" vertical="center"/>
    </xf>
    <xf numFmtId="165" fontId="89" fillId="0" borderId="0" xfId="1" applyNumberFormat="1" applyFont="1" applyAlignment="1">
      <alignment horizontal="center" vertical="center"/>
    </xf>
    <xf numFmtId="0" fontId="218" fillId="0" borderId="0" xfId="0" applyFont="1"/>
    <xf numFmtId="0" fontId="88" fillId="0" borderId="0" xfId="0" applyFont="1" applyFill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7" fillId="0" borderId="0" xfId="0" applyFont="1" applyFill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6" fillId="0" borderId="0" xfId="0" applyFont="1" applyFill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6" fillId="0" borderId="0" xfId="0" applyFont="1" applyAlignment="1">
      <alignment horizontal="center" vertical="center"/>
    </xf>
    <xf numFmtId="0" fontId="86" fillId="0" borderId="0" xfId="0" applyFont="1" applyAlignment="1">
      <alignment horizontal="left" vertical="center"/>
    </xf>
    <xf numFmtId="4" fontId="86" fillId="0" borderId="0" xfId="0" applyNumberFormat="1" applyFont="1" applyAlignment="1">
      <alignment horizontal="center" vertical="center"/>
    </xf>
    <xf numFmtId="3" fontId="105" fillId="0" borderId="0" xfId="0" applyNumberFormat="1" applyFont="1" applyAlignment="1">
      <alignment horizontal="center" vertical="center"/>
    </xf>
    <xf numFmtId="0" fontId="85" fillId="0" borderId="0" xfId="0" applyFont="1" applyFill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4" fillId="0" borderId="0" xfId="0" applyFont="1" applyFill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0" fontId="83" fillId="0" borderId="0" xfId="0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horizontal="center" vertical="center"/>
    </xf>
    <xf numFmtId="4" fontId="218" fillId="0" borderId="0" xfId="0" applyNumberFormat="1" applyFont="1" applyFill="1" applyAlignment="1">
      <alignment horizontal="center" vertical="center"/>
    </xf>
    <xf numFmtId="0" fontId="82" fillId="0" borderId="0" xfId="0" applyFont="1" applyFill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81" fillId="0" borderId="0" xfId="0" applyFont="1" applyFill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229" fillId="15" borderId="1" xfId="0" applyFont="1" applyFill="1" applyBorder="1" applyAlignment="1">
      <alignment horizontal="center" vertical="center" wrapText="1"/>
    </xf>
    <xf numFmtId="0" fontId="229" fillId="15" borderId="1" xfId="0" applyFont="1" applyFill="1" applyBorder="1" applyAlignment="1">
      <alignment vertical="center" wrapText="1"/>
    </xf>
    <xf numFmtId="22" fontId="229" fillId="15" borderId="1" xfId="0" applyNumberFormat="1" applyFont="1" applyFill="1" applyBorder="1" applyAlignment="1">
      <alignment horizontal="center" vertical="center" wrapText="1"/>
    </xf>
    <xf numFmtId="8" fontId="230" fillId="15" borderId="1" xfId="0" applyNumberFormat="1" applyFont="1" applyFill="1" applyBorder="1" applyAlignment="1">
      <alignment horizontal="right" vertical="center" wrapText="1"/>
    </xf>
    <xf numFmtId="0" fontId="80" fillId="0" borderId="0" xfId="0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79" fillId="0" borderId="0" xfId="0" applyFont="1" applyAlignment="1">
      <alignment horizontal="center" vertical="center"/>
    </xf>
    <xf numFmtId="14" fontId="79" fillId="0" borderId="0" xfId="0" applyNumberFormat="1" applyFont="1" applyAlignment="1">
      <alignment horizontal="center" vertical="center"/>
    </xf>
    <xf numFmtId="164" fontId="79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165" fontId="79" fillId="0" borderId="0" xfId="1" applyNumberFormat="1" applyFont="1" applyAlignment="1">
      <alignment horizontal="center" vertical="center"/>
    </xf>
    <xf numFmtId="0" fontId="79" fillId="0" borderId="0" xfId="0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0" fontId="78" fillId="0" borderId="0" xfId="0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8" fillId="0" borderId="0" xfId="0" applyFont="1" applyAlignment="1">
      <alignment horizontal="center" vertical="center"/>
    </xf>
    <xf numFmtId="4" fontId="78" fillId="0" borderId="0" xfId="0" applyNumberFormat="1" applyFont="1" applyAlignment="1">
      <alignment horizontal="center" vertical="center"/>
    </xf>
    <xf numFmtId="14" fontId="78" fillId="0" borderId="0" xfId="0" applyNumberFormat="1" applyFont="1" applyAlignment="1">
      <alignment horizontal="center" vertical="center"/>
    </xf>
    <xf numFmtId="164" fontId="78" fillId="0" borderId="0" xfId="0" applyNumberFormat="1" applyFont="1" applyAlignment="1">
      <alignment horizontal="center" vertical="center"/>
    </xf>
    <xf numFmtId="165" fontId="78" fillId="0" borderId="0" xfId="1" applyNumberFormat="1" applyFont="1" applyAlignment="1">
      <alignment horizontal="center" vertical="center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14" fontId="77" fillId="0" borderId="0" xfId="0" applyNumberFormat="1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164" fontId="77" fillId="0" borderId="0" xfId="0" applyNumberFormat="1" applyFont="1" applyAlignment="1">
      <alignment horizontal="center" vertical="center"/>
    </xf>
    <xf numFmtId="4" fontId="77" fillId="0" borderId="0" xfId="0" applyNumberFormat="1" applyFont="1" applyAlignment="1">
      <alignment horizontal="center" vertical="center"/>
    </xf>
    <xf numFmtId="165" fontId="77" fillId="0" borderId="0" xfId="1" applyNumberFormat="1" applyFont="1" applyAlignment="1">
      <alignment horizontal="center" vertical="center"/>
    </xf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14" fontId="75" fillId="0" borderId="0" xfId="0" applyNumberFormat="1" applyFont="1" applyFill="1" applyBorder="1" applyAlignment="1">
      <alignment horizontal="center" vertical="center"/>
    </xf>
    <xf numFmtId="0" fontId="75" fillId="0" borderId="0" xfId="0" applyFont="1" applyFill="1" applyBorder="1" applyAlignment="1">
      <alignment horizontal="center" vertical="center"/>
    </xf>
    <xf numFmtId="164" fontId="75" fillId="0" borderId="0" xfId="0" applyNumberFormat="1" applyFont="1" applyFill="1" applyBorder="1" applyAlignment="1">
      <alignment horizontal="center" vertical="center"/>
    </xf>
    <xf numFmtId="4" fontId="75" fillId="0" borderId="0" xfId="0" applyNumberFormat="1" applyFont="1" applyFill="1" applyBorder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4" fontId="74" fillId="0" borderId="0" xfId="0" applyNumberFormat="1" applyFont="1" applyBorder="1" applyAlignment="1">
      <alignment horizontal="center" vertical="center"/>
    </xf>
    <xf numFmtId="164" fontId="74" fillId="0" borderId="0" xfId="0" applyNumberFormat="1" applyFont="1" applyBorder="1" applyAlignment="1">
      <alignment horizontal="center" vertical="center"/>
    </xf>
    <xf numFmtId="4" fontId="74" fillId="0" borderId="0" xfId="0" applyNumberFormat="1" applyFont="1" applyBorder="1" applyAlignment="1">
      <alignment horizontal="center" vertical="center"/>
    </xf>
    <xf numFmtId="165" fontId="74" fillId="0" borderId="0" xfId="1" applyNumberFormat="1" applyFont="1" applyBorder="1" applyAlignment="1">
      <alignment horizontal="center" vertical="center"/>
    </xf>
    <xf numFmtId="0" fontId="74" fillId="0" borderId="0" xfId="0" applyFont="1" applyFill="1" applyBorder="1" applyAlignment="1">
      <alignment horizontal="center" vertical="center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0" fillId="0" borderId="0" xfId="0" applyFont="1"/>
    <xf numFmtId="0" fontId="70" fillId="0" borderId="0" xfId="0" applyFont="1" applyAlignment="1">
      <alignment horizontal="center" vertical="center"/>
    </xf>
    <xf numFmtId="165" fontId="70" fillId="0" borderId="0" xfId="1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3" fontId="70" fillId="0" borderId="0" xfId="0" applyNumberFormat="1" applyFont="1" applyAlignment="1">
      <alignment horizontal="center" vertical="center"/>
    </xf>
    <xf numFmtId="165" fontId="70" fillId="0" borderId="0" xfId="0" applyNumberFormat="1" applyFont="1" applyAlignment="1">
      <alignment horizontal="center" vertical="center"/>
    </xf>
    <xf numFmtId="4" fontId="70" fillId="0" borderId="0" xfId="1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top"/>
    </xf>
    <xf numFmtId="0" fontId="69" fillId="0" borderId="0" xfId="0" applyFont="1" applyAlignment="1">
      <alignment horizontal="center" vertical="center"/>
    </xf>
    <xf numFmtId="165" fontId="70" fillId="3" borderId="0" xfId="1" applyNumberFormat="1" applyFont="1" applyFill="1" applyAlignment="1">
      <alignment horizontal="center" vertical="center"/>
    </xf>
    <xf numFmtId="3" fontId="70" fillId="0" borderId="0" xfId="1" applyNumberFormat="1" applyFont="1" applyAlignment="1">
      <alignment horizontal="center"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8" fillId="0" borderId="0" xfId="0" applyFont="1"/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0" fontId="67" fillId="0" borderId="0" xfId="0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Alignment="1">
      <alignment vertical="center"/>
    </xf>
    <xf numFmtId="4" fontId="66" fillId="0" borderId="0" xfId="0" applyNumberFormat="1" applyFont="1" applyAlignment="1">
      <alignment vertical="center"/>
    </xf>
    <xf numFmtId="0" fontId="66" fillId="0" borderId="0" xfId="0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/>
    <xf numFmtId="0" fontId="65" fillId="0" borderId="0" xfId="0" applyFont="1" applyAlignment="1">
      <alignment vertical="center"/>
    </xf>
    <xf numFmtId="3" fontId="65" fillId="0" borderId="0" xfId="0" applyNumberFormat="1" applyFont="1" applyAlignment="1">
      <alignment vertical="center"/>
    </xf>
    <xf numFmtId="3" fontId="65" fillId="0" borderId="0" xfId="0" applyNumberFormat="1" applyFont="1" applyBorder="1" applyAlignment="1">
      <alignment vertical="center"/>
    </xf>
    <xf numFmtId="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horizontal="center" vertical="center"/>
    </xf>
    <xf numFmtId="0" fontId="218" fillId="3" borderId="0" xfId="0" applyFont="1" applyFill="1" applyAlignment="1">
      <alignment horizontal="center" vertical="center" wrapText="1"/>
    </xf>
    <xf numFmtId="0" fontId="218" fillId="0" borderId="0" xfId="0" applyFont="1" applyAlignment="1">
      <alignment horizontal="center" vertical="top" wrapText="1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horizontal="center" vertical="center"/>
    </xf>
    <xf numFmtId="4" fontId="63" fillId="0" borderId="0" xfId="0" applyNumberFormat="1" applyFont="1" applyAlignment="1">
      <alignment horizontal="center"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1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60" fillId="0" borderId="0" xfId="0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0" fontId="59" fillId="0" borderId="0" xfId="0" applyFont="1" applyAlignment="1">
      <alignment horizontal="center"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5" fillId="0" borderId="0" xfId="0" applyFont="1" applyAlignment="1">
      <alignment horizontal="center"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4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3" fontId="45" fillId="0" borderId="0" xfId="0" applyNumberFormat="1" applyFont="1" applyAlignment="1">
      <alignment vertical="center"/>
    </xf>
    <xf numFmtId="4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169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169" fontId="40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169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169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169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169" fontId="35" fillId="0" borderId="0" xfId="0" applyNumberFormat="1" applyFont="1" applyAlignment="1">
      <alignment vertical="center"/>
    </xf>
    <xf numFmtId="4" fontId="34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169" fontId="32" fillId="0" borderId="0" xfId="0" applyNumberFormat="1" applyFont="1" applyAlignment="1">
      <alignment vertical="center"/>
    </xf>
    <xf numFmtId="4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169" fontId="30" fillId="0" borderId="0" xfId="0" applyNumberFormat="1" applyFont="1" applyAlignment="1">
      <alignment vertical="center"/>
    </xf>
    <xf numFmtId="49" fontId="217" fillId="0" borderId="0" xfId="0" applyNumberFormat="1" applyFont="1" applyAlignment="1">
      <alignment vertical="center"/>
    </xf>
    <xf numFmtId="49" fontId="193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211" fillId="0" borderId="0" xfId="0" applyNumberFormat="1" applyFont="1" applyAlignment="1">
      <alignment vertical="center"/>
    </xf>
    <xf numFmtId="49" fontId="216" fillId="0" borderId="0" xfId="0" applyNumberFormat="1" applyFont="1" applyAlignment="1">
      <alignment vertical="center"/>
    </xf>
    <xf numFmtId="49" fontId="221" fillId="0" borderId="0" xfId="0" applyNumberFormat="1" applyFont="1" applyAlignment="1">
      <alignment vertical="center"/>
    </xf>
    <xf numFmtId="49" fontId="212" fillId="0" borderId="0" xfId="0" applyNumberFormat="1" applyFont="1" applyAlignment="1">
      <alignment vertical="center"/>
    </xf>
    <xf numFmtId="49" fontId="209" fillId="0" borderId="0" xfId="0" applyNumberFormat="1" applyFont="1" applyAlignment="1">
      <alignment vertical="center"/>
    </xf>
    <xf numFmtId="49" fontId="205" fillId="0" borderId="0" xfId="0" applyNumberFormat="1" applyFont="1" applyAlignment="1">
      <alignment vertical="center"/>
    </xf>
    <xf numFmtId="49" fontId="202" fillId="0" borderId="0" xfId="0" applyNumberFormat="1" applyFont="1" applyAlignment="1">
      <alignment vertical="center"/>
    </xf>
    <xf numFmtId="49" fontId="200" fillId="0" borderId="0" xfId="0" applyNumberFormat="1" applyFont="1" applyAlignment="1">
      <alignment vertical="center"/>
    </xf>
    <xf numFmtId="49" fontId="199" fillId="0" borderId="0" xfId="0" applyNumberFormat="1" applyFont="1" applyAlignment="1">
      <alignment vertical="center"/>
    </xf>
    <xf numFmtId="49" fontId="195" fillId="0" borderId="0" xfId="0" applyNumberFormat="1" applyFont="1" applyAlignment="1">
      <alignment vertical="center"/>
    </xf>
    <xf numFmtId="49" fontId="192" fillId="0" borderId="0" xfId="0" applyNumberFormat="1" applyFont="1" applyAlignment="1">
      <alignment vertical="center"/>
    </xf>
    <xf numFmtId="49" fontId="191" fillId="0" borderId="0" xfId="0" applyNumberFormat="1" applyFont="1" applyAlignment="1">
      <alignment vertical="center"/>
    </xf>
    <xf numFmtId="49" fontId="189" fillId="0" borderId="0" xfId="0" applyNumberFormat="1" applyFont="1" applyAlignment="1">
      <alignment vertical="center"/>
    </xf>
    <xf numFmtId="49" fontId="188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85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2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78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171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4" fillId="0" borderId="0" xfId="0" applyNumberFormat="1" applyFont="1" applyAlignment="1">
      <alignment vertical="center"/>
    </xf>
    <xf numFmtId="49" fontId="153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9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6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29" fillId="0" borderId="0" xfId="0" quotePrefix="1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28" fillId="0" borderId="0" xfId="0" quotePrefix="1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169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169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169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169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169" fontId="23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169" fontId="21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169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0" fontId="231" fillId="0" borderId="0" xfId="0" applyFont="1" applyFill="1" applyAlignment="1">
      <alignment vertical="center"/>
    </xf>
    <xf numFmtId="14" fontId="231" fillId="0" borderId="0" xfId="0" applyNumberFormat="1" applyFont="1" applyAlignment="1">
      <alignment vertical="center"/>
    </xf>
    <xf numFmtId="4" fontId="231" fillId="0" borderId="0" xfId="0" applyNumberFormat="1" applyFont="1" applyFill="1" applyAlignment="1">
      <alignment vertical="center"/>
    </xf>
    <xf numFmtId="4" fontId="231" fillId="0" borderId="0" xfId="0" applyNumberFormat="1" applyFont="1" applyAlignment="1">
      <alignment vertical="center"/>
    </xf>
    <xf numFmtId="49" fontId="231" fillId="0" borderId="0" xfId="0" applyNumberFormat="1" applyFont="1" applyAlignment="1">
      <alignment vertical="center"/>
    </xf>
    <xf numFmtId="3" fontId="231" fillId="0" borderId="0" xfId="0" applyNumberFormat="1" applyFont="1" applyAlignment="1">
      <alignment vertical="center"/>
    </xf>
    <xf numFmtId="169" fontId="231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49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0" fontId="8" fillId="0" borderId="0" xfId="0" pivotButton="1" applyFont="1"/>
    <xf numFmtId="0" fontId="8" fillId="0" borderId="0" xfId="0" applyFont="1"/>
    <xf numFmtId="4" fontId="8" fillId="0" borderId="0" xfId="0" applyNumberFormat="1" applyFont="1"/>
    <xf numFmtId="0" fontId="8" fillId="0" borderId="0" xfId="0" pivotButton="1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165" fontId="8" fillId="0" borderId="0" xfId="0" applyNumberFormat="1" applyFont="1" applyAlignment="1">
      <alignment vertical="center"/>
    </xf>
    <xf numFmtId="0" fontId="8" fillId="0" borderId="0" xfId="0" applyFont="1" applyFill="1" applyAlignment="1">
      <alignment horizontal="left" vertical="center"/>
    </xf>
    <xf numFmtId="4" fontId="8" fillId="0" borderId="0" xfId="0" applyNumberFormat="1" applyFont="1" applyFill="1" applyAlignment="1">
      <alignment horizontal="left" vertical="center"/>
    </xf>
    <xf numFmtId="165" fontId="8" fillId="0" borderId="0" xfId="0" applyNumberFormat="1" applyFont="1" applyFill="1" applyAlignment="1">
      <alignment vertical="center"/>
    </xf>
    <xf numFmtId="3" fontId="8" fillId="0" borderId="0" xfId="0" applyNumberFormat="1" applyFont="1"/>
    <xf numFmtId="4" fontId="8" fillId="0" borderId="0" xfId="0" applyNumberFormat="1" applyFont="1" applyAlignment="1">
      <alignment horizontal="left" vertical="center" indent="1"/>
    </xf>
    <xf numFmtId="4" fontId="8" fillId="0" borderId="0" xfId="0" applyNumberFormat="1" applyFont="1" applyAlignment="1">
      <alignment horizontal="left"/>
    </xf>
    <xf numFmtId="16" fontId="8" fillId="0" borderId="0" xfId="0" applyNumberFormat="1" applyFont="1"/>
    <xf numFmtId="49" fontId="7" fillId="0" borderId="0" xfId="0" applyNumberFormat="1" applyFont="1" applyAlignment="1">
      <alignment vertical="center"/>
    </xf>
    <xf numFmtId="4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8" fontId="232" fillId="15" borderId="1" xfId="0" applyNumberFormat="1" applyFont="1" applyFill="1" applyBorder="1" applyAlignment="1">
      <alignment horizontal="right" vertical="center" wrapText="1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31" fillId="0" borderId="0" xfId="0" pivotButton="1" applyFont="1"/>
    <xf numFmtId="0" fontId="231" fillId="0" borderId="0" xfId="0" applyFont="1"/>
    <xf numFmtId="0" fontId="231" fillId="0" borderId="0" xfId="0" applyFont="1" applyAlignment="1">
      <alignment horizontal="left"/>
    </xf>
    <xf numFmtId="4" fontId="231" fillId="0" borderId="0" xfId="0" applyNumberFormat="1" applyFont="1"/>
    <xf numFmtId="14" fontId="231" fillId="0" borderId="0" xfId="0" applyNumberFormat="1" applyFont="1" applyAlignment="1">
      <alignment horizontal="left"/>
    </xf>
    <xf numFmtId="0" fontId="231" fillId="0" borderId="0" xfId="0" applyFont="1" applyAlignment="1">
      <alignment horizontal="left" indent="1"/>
    </xf>
    <xf numFmtId="165" fontId="231" fillId="0" borderId="0" xfId="0" applyNumberFormat="1" applyFont="1"/>
    <xf numFmtId="3" fontId="1" fillId="0" borderId="0" xfId="0" applyNumberFormat="1" applyFont="1" applyAlignment="1">
      <alignment vertical="center"/>
    </xf>
    <xf numFmtId="0" fontId="218" fillId="0" borderId="4" xfId="4" applyFont="1" applyBorder="1" applyAlignment="1">
      <alignment horizontal="center" vertical="center"/>
    </xf>
    <xf numFmtId="0" fontId="218" fillId="0" borderId="6" xfId="4" applyFont="1" applyBorder="1" applyAlignment="1">
      <alignment horizontal="center" vertical="center"/>
    </xf>
    <xf numFmtId="0" fontId="228" fillId="14" borderId="4" xfId="4" applyFont="1" applyFill="1" applyBorder="1" applyAlignment="1">
      <alignment horizontal="center" vertical="center"/>
    </xf>
    <xf numFmtId="0" fontId="228" fillId="14" borderId="6" xfId="4" applyFont="1" applyFill="1" applyBorder="1" applyAlignment="1">
      <alignment horizontal="center" vertical="center"/>
    </xf>
    <xf numFmtId="0" fontId="218" fillId="0" borderId="2" xfId="0" applyFont="1" applyBorder="1" applyAlignment="1">
      <alignment horizontal="center" vertical="center"/>
    </xf>
    <xf numFmtId="0" fontId="218" fillId="0" borderId="0" xfId="0" applyFont="1" applyBorder="1" applyAlignment="1">
      <alignment horizontal="center" vertical="center"/>
    </xf>
    <xf numFmtId="0" fontId="218" fillId="0" borderId="3" xfId="0" applyFont="1" applyBorder="1" applyAlignment="1">
      <alignment horizontal="center" vertical="center"/>
    </xf>
    <xf numFmtId="0" fontId="196" fillId="0" borderId="13" xfId="0" applyFont="1" applyBorder="1" applyAlignment="1">
      <alignment horizontal="center" vertical="center"/>
    </xf>
    <xf numFmtId="0" fontId="216" fillId="0" borderId="0" xfId="0" applyFont="1" applyBorder="1" applyAlignment="1">
      <alignment horizontal="center" vertical="center"/>
    </xf>
    <xf numFmtId="0" fontId="216" fillId="0" borderId="14" xfId="0" applyFont="1" applyBorder="1" applyAlignment="1">
      <alignment horizontal="center" vertical="center"/>
    </xf>
    <xf numFmtId="0" fontId="196" fillId="0" borderId="0" xfId="0" applyFont="1" applyBorder="1" applyAlignment="1">
      <alignment horizontal="center" vertical="center"/>
    </xf>
    <xf numFmtId="0" fontId="196" fillId="0" borderId="14" xfId="0" applyFont="1" applyBorder="1" applyAlignment="1">
      <alignment horizontal="center"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1x0 | 0x1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Freebetunder</c:v>
                  </c:pt>
                  <c:pt idx="23">
                    <c:v>HT/FT Neutro</c:v>
                  </c:pt>
                  <c:pt idx="24">
                    <c:v>Lay 1x0 2T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0.71</c:v>
                </c:pt>
                <c:pt idx="23">
                  <c:v>28.3</c:v>
                </c:pt>
                <c:pt idx="24">
                  <c:v>-19.214749999999995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Back to Bahia</c:v>
                </c:pt>
                <c:pt idx="26">
                  <c:v>Over HT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Lay 1x0 2T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67.35129027778" createdVersion="6" refreshedVersion="6" minRefreshableVersion="3" recordCount="3996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9-01T21:22:17" count="3637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  <d v="2026-08-28T09:23:20"/>
        <d v="2026-08-28T10:34:17"/>
        <d v="2026-08-28T10:35:37"/>
        <d v="2026-08-28T10:56:49"/>
        <d v="2026-08-28T14:14:12"/>
        <d v="2026-08-28T14:47:14"/>
        <d v="2026-08-28T15:24:43"/>
        <d v="2026-08-28T16:52:19"/>
        <d v="2026-08-28T16:53:25"/>
        <d v="2026-08-28T17:01:28"/>
        <d v="2026-08-28T17:15:08"/>
        <d v="2026-08-28T17:25:33"/>
        <d v="2026-08-28T17:49:03"/>
        <d v="2026-08-28T18:09:02"/>
        <d v="2026-08-28T18:21:58"/>
        <d v="2026-08-28T22:10:29"/>
        <d v="2026-08-29T07:58:27"/>
        <d v="2026-08-29T08:29:25"/>
        <d v="2026-08-29T09:32:58"/>
        <d v="2026-08-29T09:53:05"/>
        <d v="2026-08-29T10:20:08"/>
        <d v="2026-08-29T10:28:39"/>
        <d v="2026-08-29T11:50:40"/>
        <d v="2026-08-29T12:07:47"/>
        <d v="2026-08-29T12:50:27"/>
        <d v="2026-08-29T13:03:45"/>
        <d v="2026-08-29T13:05:09"/>
        <d v="2026-08-29T13:18:17"/>
        <d v="2026-08-29T14:24:36"/>
        <d v="2026-08-29T15:20:55"/>
        <d v="2026-08-29T15:23:11"/>
        <d v="2026-08-29T15:56:59"/>
        <d v="2026-08-29T16:01:33"/>
        <d v="2026-08-29T16:48:42"/>
        <d v="2026-08-29T16:54:18"/>
        <d v="2026-08-29T17:30:15"/>
        <d v="2026-08-29T17:37:30"/>
        <d v="2026-08-29T20:23:29"/>
        <d v="2026-08-29T22:34:04"/>
        <d v="2026-08-29T22:37:34"/>
        <d v="2026-08-29T23:28:40"/>
        <d v="2026-08-29T23:28:43"/>
        <d v="2026-08-29T23:39:55"/>
        <d v="2026-08-29T23:40:10"/>
        <d v="2026-08-30T01:37:42"/>
        <d v="2026-08-30T09:52:32"/>
        <d v="2026-08-30T10:23:24"/>
        <d v="2026-08-30T10:37:13"/>
        <d v="2026-08-30T10:49:51"/>
        <d v="2026-08-30T10:53:21"/>
        <d v="2026-08-30T11:23:34"/>
        <d v="2026-08-30T11:25:10"/>
        <d v="2026-08-30T11:25:18"/>
        <d v="2026-08-30T11:39:08"/>
        <d v="2026-08-30T12:38:16"/>
        <d v="2026-08-30T12:51:30"/>
        <d v="2026-08-30T13:22:54"/>
        <d v="2026-08-30T13:38:27"/>
        <d v="2026-08-30T13:51:20"/>
        <d v="2026-08-30T13:57:09"/>
        <d v="2026-08-30T13:57:15"/>
        <d v="2026-08-30T13:57:23"/>
        <d v="2026-08-30T13:57:25"/>
        <d v="2026-08-30T13:57:26"/>
        <d v="2026-08-30T15:52:26"/>
        <d v="2026-08-30T17:56:14"/>
        <d v="2026-08-30T18:19:58"/>
        <d v="2026-08-30T18:24:45"/>
        <d v="2026-08-30T20:23:15"/>
        <d v="2026-08-30T20:31:58"/>
        <d v="2026-08-30T23:00:57"/>
        <d v="2026-08-31T12:36:49"/>
        <d v="2026-08-31T13:27:44"/>
        <d v="2026-08-31T15:51:38"/>
        <d v="2026-08-31T15:51:48"/>
        <d v="2026-08-31T18:09:59"/>
        <d v="2026-08-31T18:30:22"/>
        <d v="2026-08-31T21:11:56"/>
        <d v="2026-08-31T21:29:44"/>
        <d v="2026-09-01T16:22:00"/>
        <d v="2026-09-01T17:02:51"/>
        <d v="2026-09-01T17:15:16"/>
        <d v="2026-09-01T17:40:26"/>
        <d v="2026-09-01T21:22:05"/>
        <d v="2026-09-01T21:22:17"/>
      </sharedItems>
    </cacheField>
    <cacheField name="L/P Líquido" numFmtId="4">
      <sharedItems containsSemiMixedTypes="0" containsString="0" containsNumber="1" minValue="-57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7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7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Visitante LTD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16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5.3500149985001499"/>
        <n v="15.137218558107801"/>
        <n v="13.120097240670662"/>
        <n v="9.8186322472224816"/>
        <n v="14.576889794819531"/>
        <n v="11.954408161224185"/>
        <n v="13.228102798000178"/>
        <n v="75"/>
        <n v="100" u="1"/>
        <n v="155" u="1"/>
        <n v="704" u="1"/>
        <n v="31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9-02T00:00:00" count="258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58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  <s v="Montpellier HSC"/>
        <s v="Rodez"/>
        <s v="Gamba Osaka"/>
        <s v="Shimizu S-Pulse"/>
        <s v="Alverca"/>
        <s v="Sabadell"/>
        <s v="Académico de Viseu"/>
        <s v="Aarhus Fremad"/>
        <s v="FK Teplice"/>
        <s v="Argentinos Juniors"/>
        <s v="Asyut Petroleum"/>
        <s v="Unión La Calera"/>
        <s v="Durban City FC"/>
        <s v="Portsmouth"/>
      </sharedItems>
    </cacheField>
    <cacheField name="Visitante" numFmtId="3">
      <sharedItems count="1245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US Boulogne"/>
        <s v="Birmingham City"/>
        <s v="Inter Toronto FC"/>
        <s v="Sanfrecce Hiroshima"/>
        <s v="Kashiwa Reysol"/>
        <s v="Sepsi OSK Sfantu Gheorghe"/>
        <s v="Þór Akureyri"/>
        <s v="Vizela"/>
        <s v="Racing Club"/>
        <s v="National Bank"/>
        <s v="Stellenbosch F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9-01T21:22:17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67.35129143518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67.351291782405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67.35129201388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71.430808680554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71.430809837962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71.43081099537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71.43081203704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1x0 | 0x1"/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71.430813310188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71.430814467596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71.430815624997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71.430800231479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87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71.430803009258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8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6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5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1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2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3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4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5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6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7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8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399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0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1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2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3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4"/>
    <x v="130"/>
    <x v="299"/>
    <s v="FC Barcelona vs Athletic Bilbao"/>
    <d v="2026-08-27T18:02:31"/>
  </r>
  <r>
    <s v="Shanghai Shenhua vs Shandong Taishan / Total 2.5"/>
    <s v="Fulltbet"/>
    <x v="3552"/>
    <n v="0.44"/>
    <n v="4.4999999999999998E-2"/>
    <n v="0.46073298429319376"/>
    <x v="12"/>
    <x v="70"/>
    <x v="206"/>
    <n v="2"/>
    <x v="253"/>
    <n v="2.0732984293193757E-2"/>
    <n v="0.22"/>
    <n v="1"/>
    <x v="0"/>
    <x v="739"/>
    <x v="853"/>
    <s v="Shanghai Shenhua vs Shandong Taishan"/>
    <d v="2026-08-28T09:23:20"/>
  </r>
  <r>
    <s v="Dalian Yingbo vs Beijing Guoan / Correct Score"/>
    <s v="Fulltbet"/>
    <x v="3553"/>
    <n v="25.07"/>
    <n v="4.4999999999999998E-2"/>
    <n v="26.251308900523561"/>
    <x v="1"/>
    <x v="6"/>
    <x v="10"/>
    <n v="420"/>
    <x v="253"/>
    <n v="1.1813089005235611"/>
    <n v="5.969047619047619E-2"/>
    <n v="1"/>
    <x v="33"/>
    <x v="764"/>
    <x v="1086"/>
    <s v="Dalian Yingbo vs Beijing Guoan"/>
    <d v="2026-08-28T10:34:17"/>
  </r>
  <r>
    <s v="Shanghai Shenhua vs Shandong Taishan / Correct Score"/>
    <s v="Fulltbet"/>
    <x v="3554"/>
    <n v="9.73"/>
    <n v="4.4999999999999998E-2"/>
    <n v="10.188481675392671"/>
    <x v="17"/>
    <x v="5"/>
    <x v="311"/>
    <n v="438.17"/>
    <x v="253"/>
    <n v="0.4584816753926706"/>
    <n v="2.2205993107697927E-2"/>
    <n v="1"/>
    <x v="0"/>
    <x v="739"/>
    <x v="853"/>
    <s v="Shanghai Shenhua vs Shandong Taishan"/>
    <d v="2026-08-28T10:35:37"/>
  </r>
  <r>
    <s v="Shenzhen Peng City vs Shanghai Port / Correct Score"/>
    <s v="Fulltbet"/>
    <x v="3555"/>
    <n v="-419.98"/>
    <n v="4.4999999999999998E-2"/>
    <n v="-419.98"/>
    <x v="1"/>
    <x v="2"/>
    <x v="12"/>
    <n v="419.98"/>
    <x v="253"/>
    <n v="0"/>
    <n v="-1"/>
    <n v="0"/>
    <x v="33"/>
    <x v="917"/>
    <x v="693"/>
    <s v="Shenzhen Peng City vs Shanghai Port"/>
    <d v="2026-08-28T10:56:49"/>
  </r>
  <r>
    <s v="Eintracht Braunschweig vs Hertha BSC / Both Teams To Score"/>
    <s v="Fulltbet"/>
    <x v="3556"/>
    <n v="70.739999999999995"/>
    <n v="4.4999999999999998E-2"/>
    <n v="74.073298429319365"/>
    <x v="6"/>
    <x v="14"/>
    <x v="52"/>
    <n v="120"/>
    <x v="253"/>
    <n v="3.3332984293193704"/>
    <n v="0.58949999999999991"/>
    <n v="1"/>
    <x v="0"/>
    <x v="417"/>
    <x v="513"/>
    <s v="Eintracht Braunschweig vs Hertha BSC"/>
    <d v="2026-08-28T14:14:12"/>
  </r>
  <r>
    <s v="Al-Riyadh vs Neom SC / Correct Score"/>
    <s v="Fulltbet"/>
    <x v="3557"/>
    <n v="-64.75"/>
    <n v="4.4999999999999998E-2"/>
    <n v="-64.75"/>
    <x v="12"/>
    <x v="60"/>
    <x v="19"/>
    <n v="64.75"/>
    <x v="253"/>
    <n v="0"/>
    <n v="-1"/>
    <n v="0"/>
    <x v="0"/>
    <x v="358"/>
    <x v="297"/>
    <s v="Al-Riyadh vs Neom SC"/>
    <d v="2026-08-28T14:47:14"/>
  </r>
  <r>
    <s v="VfL Bochum vs VfL Osnabrück / Correct Score"/>
    <s v="Fulltbet"/>
    <x v="3558"/>
    <n v="-400.03"/>
    <n v="4.4999999999999998E-2"/>
    <n v="-400.03"/>
    <x v="21"/>
    <x v="5"/>
    <x v="404"/>
    <n v="400.04"/>
    <x v="253"/>
    <n v="0"/>
    <n v="-0.99997500249974991"/>
    <n v="0"/>
    <x v="0"/>
    <x v="272"/>
    <x v="532"/>
    <s v="VfL Bochum vs VfL Osnabrück"/>
    <d v="2026-08-28T15:24:43"/>
  </r>
  <r>
    <s v="Montpellier HSC vs US Boulogne / Correct Score"/>
    <s v="Fulltbet"/>
    <x v="3559"/>
    <n v="29.75"/>
    <n v="4.4999999999999998E-2"/>
    <n v="31.151832460732987"/>
    <x v="21"/>
    <x v="5"/>
    <x v="405"/>
    <n v="439.7"/>
    <x v="253"/>
    <n v="1.4018324607329866"/>
    <n v="6.7659768023652492E-2"/>
    <n v="1"/>
    <x v="0"/>
    <x v="1044"/>
    <x v="1104"/>
    <s v="Montpellier HSC vs US Boulogne"/>
    <d v="2026-08-28T16:52:19"/>
  </r>
  <r>
    <s v="Rodez vs Pau FC / Correct Score"/>
    <s v="Fulltbet"/>
    <x v="3560"/>
    <n v="5.79"/>
    <n v="4.4999999999999998E-2"/>
    <n v="6.0628272251308903"/>
    <x v="21"/>
    <x v="5"/>
    <x v="27"/>
    <n v="99.99"/>
    <x v="253"/>
    <n v="0.27282722513089031"/>
    <n v="5.7905790579057911E-2"/>
    <n v="1"/>
    <x v="0"/>
    <x v="1045"/>
    <x v="271"/>
    <s v="Rodez vs Pau FC"/>
    <d v="2026-08-28T16:53:25"/>
  </r>
  <r>
    <s v="Al-Nassr Riyadh vs Al-Taawoun Buraidah / Match Odds"/>
    <s v="Fulltbet"/>
    <x v="3561"/>
    <n v="31.29"/>
    <n v="4.4999999999999998E-2"/>
    <n v="32.764397905759161"/>
    <x v="3"/>
    <x v="7"/>
    <x v="29"/>
    <n v="475.02"/>
    <x v="253"/>
    <n v="1.4743979057591616"/>
    <n v="6.5870910698496904E-2"/>
    <n v="1"/>
    <x v="14"/>
    <x v="230"/>
    <x v="268"/>
    <s v="Al-Nassr Riyadh vs Al-Taawoun Buraidah"/>
    <d v="2026-08-28T17:01:28"/>
  </r>
  <r>
    <s v="Wrexham vs Birmingham City / Both Teams To Score"/>
    <s v="Fulltbet"/>
    <x v="3562"/>
    <n v="108.87"/>
    <n v="4.4999999999999998E-2"/>
    <n v="114.00000000000001"/>
    <x v="6"/>
    <x v="14"/>
    <x v="120"/>
    <n v="120"/>
    <x v="253"/>
    <n v="5.1300000000000097"/>
    <n v="0.90725"/>
    <n v="1"/>
    <x v="0"/>
    <x v="263"/>
    <x v="1105"/>
    <s v="Wrexham vs Birmingham City"/>
    <d v="2026-08-28T17:15:08"/>
  </r>
  <r>
    <s v="FC Bayern München vs VfB Stuttgart / Match Odds"/>
    <s v="Fulltbet"/>
    <x v="3563"/>
    <n v="43.2"/>
    <n v="4.4999999999999998E-2"/>
    <n v="45.235602094240839"/>
    <x v="3"/>
    <x v="7"/>
    <x v="23"/>
    <n v="475.02"/>
    <x v="253"/>
    <n v="2.0356020942408364"/>
    <n v="9.0943539219401293E-2"/>
    <n v="1"/>
    <x v="3"/>
    <x v="107"/>
    <x v="251"/>
    <s v="FC Bayern München vs VfB Stuttgart"/>
    <d v="2026-08-28T17:25:33"/>
  </r>
  <r>
    <s v="Lille OSC vs Paris Saint-Germain / Both Teams To Score"/>
    <s v="Fulltbet"/>
    <x v="3564"/>
    <n v="91.52"/>
    <n v="4.4999999999999998E-2"/>
    <n v="95.832460732984288"/>
    <x v="6"/>
    <x v="14"/>
    <x v="60"/>
    <n v="119.75"/>
    <x v="253"/>
    <n v="4.3124607329842917"/>
    <n v="0.76425887265135695"/>
    <n v="1"/>
    <x v="0"/>
    <x v="68"/>
    <x v="120"/>
    <s v="Lille OSC vs Paris Saint-Germain"/>
    <d v="2026-08-28T17:49:03"/>
  </r>
  <r>
    <s v="Rio Ave vs Sporting CP / Match Odds"/>
    <s v="Fulltbet"/>
    <x v="3565"/>
    <n v="47.75"/>
    <n v="4.4999999999999998E-2"/>
    <n v="50"/>
    <x v="3"/>
    <x v="18"/>
    <x v="14"/>
    <n v="475"/>
    <x v="253"/>
    <n v="2.25"/>
    <n v="0.10052631578947369"/>
    <n v="1"/>
    <x v="10"/>
    <x v="271"/>
    <x v="112"/>
    <s v="Rio Ave vs Sporting CP"/>
    <d v="2026-08-28T18:09:02"/>
  </r>
  <r>
    <s v="Deportivo Alaves vs Villarreal / Both Teams To Score"/>
    <s v="Fulltbet"/>
    <x v="3566"/>
    <n v="-120"/>
    <n v="4.4999999999999998E-2"/>
    <n v="-120"/>
    <x v="6"/>
    <x v="14"/>
    <x v="119"/>
    <n v="120"/>
    <x v="253"/>
    <n v="0"/>
    <n v="-1"/>
    <n v="0"/>
    <x v="0"/>
    <x v="685"/>
    <x v="288"/>
    <s v="Deportivo Alaves vs Villarreal"/>
    <d v="2026-08-28T18:21:58"/>
  </r>
  <r>
    <s v="Atletico Ottawa vs Inter Toronto FC / Total 2.5"/>
    <s v="Fulltbet"/>
    <x v="3567"/>
    <n v="0.76"/>
    <n v="4.4999999999999998E-2"/>
    <n v="0.79581151832460739"/>
    <x v="12"/>
    <x v="70"/>
    <x v="50"/>
    <n v="2"/>
    <x v="253"/>
    <n v="3.5811518324607383E-2"/>
    <n v="0.38"/>
    <n v="1"/>
    <x v="0"/>
    <x v="781"/>
    <x v="1106"/>
    <s v="Atletico Ottawa vs Inter Toronto FC"/>
    <d v="2026-08-28T22:10:29"/>
  </r>
  <r>
    <s v="Gamba Osaka vs Sanfrecce Hiroshima / Correct Score"/>
    <s v="Fulltbet"/>
    <x v="3568"/>
    <n v="6.37"/>
    <n v="4.4999999999999998E-2"/>
    <n v="6.6701570680628279"/>
    <x v="12"/>
    <x v="60"/>
    <x v="23"/>
    <n v="70.040000000000006"/>
    <x v="254"/>
    <n v="0.30015706806282783"/>
    <n v="9.0948029697315816E-2"/>
    <n v="1"/>
    <x v="0"/>
    <x v="1046"/>
    <x v="1107"/>
    <s v="Gamba Osaka vs Sanfrecce Hiroshima"/>
    <d v="2026-08-29T07:58:27"/>
  </r>
  <r>
    <s v="Shimizu S-Pulse vs Kashiwa Reysol / Correct Score"/>
    <s v="Fulltbet"/>
    <x v="3569"/>
    <n v="7.77"/>
    <n v="4.4999999999999998E-2"/>
    <n v="8.1361256544502609"/>
    <x v="12"/>
    <x v="60"/>
    <x v="89"/>
    <n v="71.63"/>
    <x v="254"/>
    <n v="0.36612565445026135"/>
    <n v="0.10847410302945694"/>
    <n v="1"/>
    <x v="0"/>
    <x v="1047"/>
    <x v="1108"/>
    <s v="Shimizu S-Pulse vs Kashiwa Reysol"/>
    <d v="2026-08-29T08:29:25"/>
  </r>
  <r>
    <s v="1. FC Heidenheim vs Dynamo Dresden / Total 2.5"/>
    <s v="Fulltbet"/>
    <x v="3570"/>
    <n v="1.18"/>
    <n v="4.4999999999999998E-2"/>
    <n v="1.2356020942408377"/>
    <x v="12"/>
    <x v="70"/>
    <x v="52"/>
    <n v="2"/>
    <x v="254"/>
    <n v="5.5602094240837729E-2"/>
    <n v="0.59"/>
    <n v="1"/>
    <x v="0"/>
    <x v="194"/>
    <x v="329"/>
    <s v="1. FC Heidenheim vs Dynamo Dresden"/>
    <d v="2026-08-29T09:32:58"/>
  </r>
  <r>
    <s v="Middlesbrough vs West Bromwich Albion / Both Teams To Score"/>
    <s v="Fulltbet"/>
    <x v="3571"/>
    <n v="93.97"/>
    <n v="4.4999999999999998E-2"/>
    <n v="98.397905759162313"/>
    <x v="6"/>
    <x v="14"/>
    <x v="67"/>
    <n v="120"/>
    <x v="254"/>
    <n v="4.4279057591623143"/>
    <n v="0.78308333333333335"/>
    <n v="1"/>
    <x v="0"/>
    <x v="214"/>
    <x v="445"/>
    <s v="Middlesbrough vs West Bromwich Albion"/>
    <d v="2026-08-29T09:53:05"/>
  </r>
  <r>
    <s v="Derby County vs Swansea City / Total 2.5"/>
    <s v="Fulltbet"/>
    <x v="3572"/>
    <n v="1.71"/>
    <n v="4.4999999999999998E-2"/>
    <n v="1.7905759162303665"/>
    <x v="12"/>
    <x v="70"/>
    <x v="100"/>
    <n v="2"/>
    <x v="254"/>
    <n v="8.0575916230366529E-2"/>
    <n v="0.85499999999999998"/>
    <n v="1"/>
    <x v="0"/>
    <x v="209"/>
    <x v="211"/>
    <s v="Derby County vs Swansea City"/>
    <d v="2026-08-29T10:20:08"/>
  </r>
  <r>
    <s v="Chengdu Rongcheng vs Liaoning Tieren F.C. / Match Odds"/>
    <s v="Fulltbet"/>
    <x v="3573"/>
    <n v="31.73"/>
    <n v="4.4999999999999998E-2"/>
    <n v="33.225130890052355"/>
    <x v="34"/>
    <x v="20"/>
    <x v="19"/>
    <n v="245.85"/>
    <x v="254"/>
    <n v="1.495130890052355"/>
    <n v="0.12906243644498677"/>
    <n v="1"/>
    <x v="0"/>
    <x v="529"/>
    <x v="1002"/>
    <s v="Chengdu Rongcheng vs Liaoning Tieren F.C."/>
    <d v="2026-08-29T10:28:39"/>
  </r>
  <r>
    <s v="BK Häcken vs Västerås SK FK / Correct Score"/>
    <s v="Fulltbet"/>
    <x v="3574"/>
    <n v="13.169449999999999"/>
    <n v="4.4999999999999998E-2"/>
    <n v="13.79"/>
    <x v="1"/>
    <x v="5"/>
    <x v="155"/>
    <n v="399.91"/>
    <x v="254"/>
    <n v="0.62054999999999971"/>
    <n v="3.2931034482758616E-2"/>
    <n v="1"/>
    <x v="38"/>
    <x v="551"/>
    <x v="551"/>
    <s v="BK Häcken vs Västerås SK FK"/>
    <d v="2026-08-29T11:50:40"/>
  </r>
  <r>
    <s v="BK Häcken vs Västerås SK FK / Correct Score"/>
    <s v="Fulltbet"/>
    <x v="3574"/>
    <n v="23.875"/>
    <n v="4.4999999999999998E-2"/>
    <n v="25"/>
    <x v="21"/>
    <x v="5"/>
    <x v="10"/>
    <n v="400"/>
    <x v="254"/>
    <n v="1.125"/>
    <n v="5.9687499999999998E-2"/>
    <n v="1"/>
    <x v="0"/>
    <x v="551"/>
    <x v="551"/>
    <s v="BK Häcken vs Västerås SK FK"/>
    <d v="2026-08-29T11:50:40"/>
  </r>
  <r>
    <s v="SV Elversberg vs Bayer 04 Leverkusen / Both Teams To Score"/>
    <s v="Fulltbet"/>
    <x v="3575"/>
    <n v="68.760000000000005"/>
    <n v="4.4999999999999998E-2"/>
    <n v="72.000000000000014"/>
    <x v="6"/>
    <x v="14"/>
    <x v="97"/>
    <n v="120"/>
    <x v="254"/>
    <n v="3.2400000000000091"/>
    <n v="0.57300000000000006"/>
    <n v="1"/>
    <x v="0"/>
    <x v="136"/>
    <x v="197"/>
    <s v="SV Elversberg vs Bayer 04 Leverkusen"/>
    <d v="2026-08-29T12:07:47"/>
  </r>
  <r>
    <s v="Celtic vs Falkirk / Correct Score"/>
    <s v="Fulltbet"/>
    <x v="3576"/>
    <n v="45.55"/>
    <n v="4.4999999999999998E-2"/>
    <n v="47.696335078534034"/>
    <x v="2"/>
    <x v="3"/>
    <x v="31"/>
    <n v="477"/>
    <x v="254"/>
    <n v="2.1463350785340367"/>
    <n v="9.5492662473794537E-2"/>
    <n v="1"/>
    <x v="0"/>
    <x v="83"/>
    <x v="12"/>
    <s v="Celtic vs Falkirk"/>
    <d v="2026-08-29T12:50:27"/>
  </r>
  <r>
    <s v="Alverca vs Santa Clara / Total 0.5"/>
    <s v="Fulltbet"/>
    <x v="3577"/>
    <n v="9.65"/>
    <n v="4.4999999999999998E-2"/>
    <n v="10.104712041884818"/>
    <x v="12"/>
    <x v="47"/>
    <x v="48"/>
    <n v="20"/>
    <x v="254"/>
    <n v="0.45471204188481806"/>
    <n v="0.48250000000000004"/>
    <n v="1"/>
    <x v="0"/>
    <x v="1048"/>
    <x v="537"/>
    <s v="Alverca vs Santa Clara"/>
    <d v="2026-08-29T13:03:45"/>
  </r>
  <r>
    <s v="Celtic vs Falkirk / Match Odds"/>
    <s v="Fulltbet"/>
    <x v="3578"/>
    <n v="28.3"/>
    <n v="4.4999999999999998E-2"/>
    <n v="29.633507853403142"/>
    <x v="3"/>
    <x v="7"/>
    <x v="17"/>
    <n v="400.01"/>
    <x v="254"/>
    <n v="1.333507853403141"/>
    <n v="7.0748231294217645E-2"/>
    <n v="1"/>
    <x v="23"/>
    <x v="83"/>
    <x v="12"/>
    <s v="Celtic vs Falkirk"/>
    <d v="2026-08-29T13:05:09"/>
  </r>
  <r>
    <s v="Sabadell vs UD Almería / Total 0.5"/>
    <s v="Fulltbet"/>
    <x v="3579"/>
    <n v="9.5500000000000007"/>
    <n v="4.4999999999999998E-2"/>
    <n v="10.000000000000002"/>
    <x v="12"/>
    <x v="47"/>
    <x v="222"/>
    <n v="20"/>
    <x v="254"/>
    <n v="0.45000000000000107"/>
    <n v="0.47750000000000004"/>
    <n v="1"/>
    <x v="0"/>
    <x v="1049"/>
    <x v="203"/>
    <s v="Sabadell vs UD Almería"/>
    <d v="2026-08-29T13:18:17"/>
  </r>
  <r>
    <s v="FC Arges Pitesti vs Sepsi OSK Sfantu Gheorghe / Total 0.5"/>
    <s v="Fulltbet"/>
    <x v="3580"/>
    <n v="10.38"/>
    <n v="4.4999999999999998E-2"/>
    <n v="10.869109947643981"/>
    <x v="12"/>
    <x v="47"/>
    <x v="232"/>
    <n v="20"/>
    <x v="254"/>
    <n v="0.48910994764398019"/>
    <n v="0.51900000000000002"/>
    <n v="1"/>
    <x v="0"/>
    <x v="985"/>
    <x v="1109"/>
    <s v="FC Arges Pitesti vs Sepsi OSK Sfantu Gheorghe"/>
    <d v="2026-08-29T14:24:36"/>
  </r>
  <r>
    <s v="Tottenham Hotspur vs Newcastle United / Both Teams To Score"/>
    <s v="Fulltbet"/>
    <x v="3581"/>
    <n v="-120"/>
    <n v="4.4999999999999998E-2"/>
    <n v="-120"/>
    <x v="6"/>
    <x v="14"/>
    <x v="97"/>
    <n v="120"/>
    <x v="254"/>
    <n v="0"/>
    <n v="-1"/>
    <n v="0"/>
    <x v="0"/>
    <x v="111"/>
    <x v="290"/>
    <s v="Tottenham Hotspur vs Newcastle United"/>
    <d v="2026-08-29T15:20:55"/>
  </r>
  <r>
    <s v="Borussia Dortmund vs Hamburger SV / Correct Score"/>
    <s v="Fulltbet"/>
    <x v="3582"/>
    <n v="41.41"/>
    <n v="4.4999999999999998E-2"/>
    <n v="43.361256544502616"/>
    <x v="2"/>
    <x v="3"/>
    <x v="2"/>
    <n v="476.96"/>
    <x v="254"/>
    <n v="1.9512565445026198"/>
    <n v="8.6820697752432063E-2"/>
    <n v="1"/>
    <x v="0"/>
    <x v="84"/>
    <x v="131"/>
    <s v="Borussia Dortmund vs Hamburger SV"/>
    <d v="2026-08-29T15:23:11"/>
  </r>
  <r>
    <s v="ÍB Vestmannaeyja vs Þór Akureyri / Correct Score"/>
    <s v="Fulltbet"/>
    <x v="3583"/>
    <n v="-413.04"/>
    <n v="4.4999999999999998E-2"/>
    <n v="-413.04"/>
    <x v="1"/>
    <x v="5"/>
    <x v="110"/>
    <n v="413.04"/>
    <x v="254"/>
    <n v="0"/>
    <n v="-1"/>
    <n v="0"/>
    <x v="42"/>
    <x v="899"/>
    <x v="1110"/>
    <s v="ÍB Vestmannaeyja vs Þór Akureyri"/>
    <d v="2026-08-29T15:56:59"/>
  </r>
  <r>
    <s v="Académico de Viseu vs FC Porto / Match Odds"/>
    <s v="Fulltbet"/>
    <x v="3584"/>
    <n v="30.42"/>
    <n v="4.4999999999999998E-2"/>
    <n v="31.853403141361259"/>
    <x v="3"/>
    <x v="18"/>
    <x v="17"/>
    <n v="429.98"/>
    <x v="254"/>
    <n v="1.4334031413612571"/>
    <n v="7.074747662681985E-2"/>
    <n v="1"/>
    <x v="10"/>
    <x v="1050"/>
    <x v="294"/>
    <s v="Académico de Viseu vs FC Porto"/>
    <d v="2026-08-29T16:01:33"/>
  </r>
  <r>
    <s v="Galatasaray SK vs Göztepe / Total 2.5"/>
    <s v="Fulltbet"/>
    <x v="3585"/>
    <n v="0.49"/>
    <n v="4.4999999999999998E-2"/>
    <n v="0.51308900523560208"/>
    <x v="12"/>
    <x v="70"/>
    <x v="205"/>
    <n v="2"/>
    <x v="254"/>
    <n v="2.3089005235602089E-2"/>
    <n v="0.245"/>
    <n v="1"/>
    <x v="0"/>
    <x v="159"/>
    <x v="484"/>
    <s v="Galatasaray SK vs Göztepe"/>
    <d v="2026-08-29T16:48:42"/>
  </r>
  <r>
    <s v="Al-Fateh Al-Hasa vs Al-Ittihad Jeddah / Correct Score"/>
    <s v="Fulltbet"/>
    <x v="3586"/>
    <n v="6.37"/>
    <n v="4.4999999999999998E-2"/>
    <n v="6.6701570680628279"/>
    <x v="12"/>
    <x v="60"/>
    <x v="31"/>
    <n v="66.7"/>
    <x v="254"/>
    <n v="0.30015706806282783"/>
    <n v="9.5502248875562218E-2"/>
    <n v="1"/>
    <x v="0"/>
    <x v="248"/>
    <x v="304"/>
    <s v="Al-Fateh Al-Hasa vs Al-Ittihad Jeddah"/>
    <d v="2026-08-29T16:54:18"/>
  </r>
  <r>
    <s v="Galatasaray SK vs Göztepe / Match Odds"/>
    <s v="Fulltbet"/>
    <x v="3587"/>
    <n v="36.61"/>
    <n v="4.4999999999999998E-2"/>
    <n v="38.335078534031418"/>
    <x v="3"/>
    <x v="7"/>
    <x v="5"/>
    <n v="459.96"/>
    <x v="254"/>
    <n v="1.7250785340314181"/>
    <n v="7.959387772849813E-2"/>
    <n v="1"/>
    <x v="11"/>
    <x v="159"/>
    <x v="484"/>
    <s v="Galatasaray SK vs Göztepe"/>
    <d v="2026-08-29T17:30:15"/>
  </r>
  <r>
    <s v="SC União Torreense vs Vizela / Total 2.5"/>
    <s v="Fulltbet"/>
    <x v="3588"/>
    <n v="1.57"/>
    <n v="4.4999999999999998E-2"/>
    <n v="1.6439790575916231"/>
    <x v="12"/>
    <x v="70"/>
    <x v="67"/>
    <n v="2"/>
    <x v="254"/>
    <n v="7.3979057591623043E-2"/>
    <n v="0.78500000000000003"/>
    <n v="1"/>
    <x v="0"/>
    <x v="748"/>
    <x v="1111"/>
    <s v="SC União Torreense vs Vizela"/>
    <d v="2026-08-29T17:37:30"/>
  </r>
  <r>
    <s v="Atlético Mineiro vs EC Vitória / Correct Score"/>
    <s v="Fulltbet"/>
    <x v="3589"/>
    <n v="31.67"/>
    <n v="4.4999999999999998E-2"/>
    <n v="33.162303664921467"/>
    <x v="21"/>
    <x v="5"/>
    <x v="406"/>
    <n v="399.01"/>
    <x v="254"/>
    <n v="1.4923036649214652"/>
    <n v="7.9371444324703652E-2"/>
    <n v="1"/>
    <x v="0"/>
    <x v="86"/>
    <x v="518"/>
    <s v="Atlético Mineiro vs EC Vitória"/>
    <d v="2026-08-29T20:23:29"/>
  </r>
  <r>
    <s v="DC United vs Los Angeles FC / Correct Score"/>
    <s v="Fulltbet"/>
    <x v="3590"/>
    <n v="7.59"/>
    <n v="4.4999999999999998E-2"/>
    <n v="7.9476439790575917"/>
    <x v="12"/>
    <x v="60"/>
    <x v="89"/>
    <n v="69.959999999999994"/>
    <x v="254"/>
    <n v="0.35764397905759182"/>
    <n v="0.10849056603773585"/>
    <n v="1"/>
    <x v="0"/>
    <x v="686"/>
    <x v="623"/>
    <s v="DC United vs Los Angeles FC"/>
    <d v="2026-08-29T22:34:04"/>
  </r>
  <r>
    <s v="Inter Miami CF vs CF Montreal / Correct Score"/>
    <s v="Fulltbet"/>
    <x v="3591"/>
    <n v="7.24"/>
    <n v="4.4999999999999998E-2"/>
    <n v="7.5811518324607334"/>
    <x v="17"/>
    <x v="5"/>
    <x v="346"/>
    <n v="447.22"/>
    <x v="254"/>
    <n v="0.34115183246073322"/>
    <n v="1.6188900317517105E-2"/>
    <n v="1"/>
    <x v="0"/>
    <x v="725"/>
    <x v="820"/>
    <s v="Inter Miami CF vs CF Montreal"/>
    <d v="2026-08-29T22:37:34"/>
  </r>
  <r>
    <s v="Alianza Lima vs Deportivo Garcilaso / Match Odds"/>
    <s v="Fulltbet"/>
    <x v="3592"/>
    <n v="-277.29000000000002"/>
    <n v="4.4999999999999998E-2"/>
    <n v="-277.29000000000002"/>
    <x v="34"/>
    <x v="20"/>
    <x v="8"/>
    <n v="277.29000000000002"/>
    <x v="254"/>
    <n v="0"/>
    <n v="-1"/>
    <n v="0"/>
    <x v="0"/>
    <x v="635"/>
    <x v="846"/>
    <s v="Alianza Lima vs Deportivo Garcilaso"/>
    <d v="2026-08-29T23:28:40"/>
  </r>
  <r>
    <s v="Alianza Lima vs Deportivo Garcilaso / Total 2.5"/>
    <s v="Fulltbet"/>
    <x v="3593"/>
    <n v="-2"/>
    <n v="4.4999999999999998E-2"/>
    <n v="-2"/>
    <x v="12"/>
    <x v="70"/>
    <x v="52"/>
    <n v="2"/>
    <x v="254"/>
    <n v="0"/>
    <n v="-1"/>
    <n v="0"/>
    <x v="0"/>
    <x v="635"/>
    <x v="846"/>
    <s v="Alianza Lima vs Deportivo Garcilaso"/>
    <d v="2026-08-29T23:28:43"/>
  </r>
  <r>
    <s v="Houston Dynamo vs San Jose Earthquakes / Correct Score"/>
    <s v="Fulltbet"/>
    <x v="3594"/>
    <n v="46.4"/>
    <n v="4.4999999999999998E-2"/>
    <n v="48.586387434554972"/>
    <x v="21"/>
    <x v="5"/>
    <x v="407"/>
    <n v="428.44"/>
    <x v="254"/>
    <n v="2.1863874345549732"/>
    <n v="0.10829987862944636"/>
    <n v="1"/>
    <x v="0"/>
    <x v="513"/>
    <x v="557"/>
    <s v="Houston Dynamo vs San Jose Earthquakes"/>
    <d v="2026-08-29T23:39:55"/>
  </r>
  <r>
    <s v="Nashville Soccer Club vs FC Cincinnati / Correct Score"/>
    <s v="Fulltbet"/>
    <x v="3595"/>
    <n v="31.59"/>
    <n v="4.4999999999999998E-2"/>
    <n v="33.078534031413611"/>
    <x v="21"/>
    <x v="5"/>
    <x v="8"/>
    <n v="430.04"/>
    <x v="254"/>
    <n v="1.4885340314136108"/>
    <n v="7.3458282950423212E-2"/>
    <n v="1"/>
    <x v="0"/>
    <x v="638"/>
    <x v="676"/>
    <s v="Nashville Soccer Club vs FC Cincinnati"/>
    <d v="2026-08-29T23:40:10"/>
  </r>
  <r>
    <s v="San Diego FC vs Los Angeles Galaxy / Correct Score"/>
    <s v="Fulltbet"/>
    <x v="3596"/>
    <n v="16.05"/>
    <n v="4.4999999999999998E-2"/>
    <n v="16.806282722513089"/>
    <x v="17"/>
    <x v="5"/>
    <x v="35"/>
    <n v="453.87"/>
    <x v="255"/>
    <n v="0.75628272251308815"/>
    <n v="3.5362548747438695E-2"/>
    <n v="1"/>
    <x v="0"/>
    <x v="588"/>
    <x v="771"/>
    <s v="San Diego FC vs Los Angeles Galaxy"/>
    <d v="2026-08-30T01:37:42"/>
  </r>
  <r>
    <s v="Aberdeen vs Rangers / Correct Score"/>
    <s v="Fulltbet"/>
    <x v="359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43"/>
    <x v="125"/>
    <s v="Aberdeen vs Rangers"/>
    <d v="2026-08-30T09:52:32"/>
  </r>
  <r>
    <s v="KAA Gent vs Club Brugge / Correct Score"/>
    <s v="Fulltbet"/>
    <x v="3598"/>
    <n v="36.82"/>
    <n v="4.4999999999999998E-2"/>
    <n v="38.554973821989527"/>
    <x v="21"/>
    <x v="6"/>
    <x v="408"/>
    <n v="520.03"/>
    <x v="255"/>
    <n v="1.7349738219895272"/>
    <n v="7.0803607484183614E-2"/>
    <n v="1"/>
    <x v="0"/>
    <x v="539"/>
    <x v="267"/>
    <s v="KAA Gent vs Club Brugge"/>
    <d v="2026-08-30T10:23:24"/>
  </r>
  <r>
    <s v="FC Sion vs FC Lugano / Total 2.5"/>
    <s v="Fulltbet"/>
    <x v="3599"/>
    <n v="0.93"/>
    <n v="4.4999999999999998E-2"/>
    <n v="0.97382198952879595"/>
    <x v="12"/>
    <x v="70"/>
    <x v="51"/>
    <n v="2"/>
    <x v="255"/>
    <n v="4.3821989528795902E-2"/>
    <n v="0.46500000000000002"/>
    <n v="1"/>
    <x v="0"/>
    <x v="411"/>
    <x v="461"/>
    <s v="FC Sion vs FC Lugano"/>
    <d v="2026-08-30T10:37:13"/>
  </r>
  <r>
    <s v="Aarhus Fremad vs Vejle BK / Correct Score"/>
    <s v="Fulltbet"/>
    <x v="3600"/>
    <n v="8.36"/>
    <n v="4.4999999999999998E-2"/>
    <n v="8.7539267015706805"/>
    <x v="12"/>
    <x v="60"/>
    <x v="33"/>
    <n v="71.75"/>
    <x v="255"/>
    <n v="0.3939267015706811"/>
    <n v="0.11651567944250871"/>
    <n v="1"/>
    <x v="0"/>
    <x v="1051"/>
    <x v="452"/>
    <s v="Aarhus Fremad vs Vejle BK"/>
    <d v="2026-08-30T10:49:51"/>
  </r>
  <r>
    <s v="Feyenoord vs ADO Den Haag / Total 2.5"/>
    <s v="Fulltbet"/>
    <x v="3601"/>
    <n v="0.41"/>
    <n v="4.4999999999999998E-2"/>
    <n v="0.4293193717277487"/>
    <x v="12"/>
    <x v="70"/>
    <x v="229"/>
    <n v="2"/>
    <x v="255"/>
    <n v="1.9319371727748724E-2"/>
    <n v="0.20499999999999999"/>
    <n v="1"/>
    <x v="0"/>
    <x v="157"/>
    <x v="311"/>
    <s v="Feyenoord vs ADO Den Haag"/>
    <d v="2026-08-30T10:53:21"/>
  </r>
  <r>
    <s v="Bodø/Glimt vs Rosenborg BK / Correct Score"/>
    <s v="Fulltbet"/>
    <x v="3602"/>
    <n v="9.16"/>
    <n v="4.4999999999999998E-2"/>
    <n v="9.5916230366492155"/>
    <x v="17"/>
    <x v="5"/>
    <x v="306"/>
    <n v="469.91"/>
    <x v="255"/>
    <n v="0.43162303664921531"/>
    <n v="1.9493094422336193E-2"/>
    <n v="1"/>
    <x v="0"/>
    <x v="277"/>
    <x v="218"/>
    <s v="Bod"/>
    <d v="2026-08-30T11:23:34"/>
  </r>
  <r>
    <s v="Feyenoord vs ADO Den Haag / Match Odds"/>
    <s v="Fulltbet"/>
    <x v="3603"/>
    <n v="27.02"/>
    <n v="4.4999999999999998E-2"/>
    <n v="28.293193717277486"/>
    <x v="3"/>
    <x v="7"/>
    <x v="32"/>
    <n v="495.08"/>
    <x v="255"/>
    <n v="1.2731937172774863"/>
    <n v="5.4577038054455844E-2"/>
    <n v="1"/>
    <x v="5"/>
    <x v="157"/>
    <x v="311"/>
    <s v="Feyenoord vs ADO Den Haag"/>
    <d v="2026-08-30T11:25:10"/>
  </r>
  <r>
    <s v="Willem II vs Heerenveen / Correct Score"/>
    <s v="Fulltbet"/>
    <x v="3604"/>
    <n v="19.49155"/>
    <n v="4.4999999999999998E-2"/>
    <n v="20.41"/>
    <x v="21"/>
    <x v="6"/>
    <x v="409"/>
    <n v="199.97"/>
    <x v="255"/>
    <n v="0.91844999999999999"/>
    <n v="9.7472370855628349E-2"/>
    <n v="1"/>
    <x v="0"/>
    <x v="120"/>
    <x v="167"/>
    <s v="Willem II vs Heerenveen"/>
    <d v="2026-08-30T11:25:18"/>
  </r>
  <r>
    <s v="Willem II vs Heerenveen / Correct Score"/>
    <s v="Fulltbet"/>
    <x v="3604"/>
    <n v="8.3562499999999993"/>
    <n v="4.4999999999999998E-2"/>
    <n v="8.75"/>
    <x v="12"/>
    <x v="60"/>
    <x v="22"/>
    <n v="70"/>
    <x v="255"/>
    <n v="0.39375000000000071"/>
    <n v="0.119375"/>
    <n v="1"/>
    <x v="0"/>
    <x v="120"/>
    <x v="167"/>
    <s v="Willem II vs Heerenveen"/>
    <d v="2026-08-30T11:25:18"/>
  </r>
  <r>
    <s v="Athlético Paranaense vs Fluminense FC / Both Teams To Score"/>
    <s v="Fulltbet"/>
    <x v="3605"/>
    <n v="114.6"/>
    <n v="4.4999999999999998E-2"/>
    <n v="120"/>
    <x v="6"/>
    <x v="14"/>
    <x v="64"/>
    <n v="120"/>
    <x v="255"/>
    <n v="5.4000000000000057"/>
    <n v="0.95499999999999996"/>
    <n v="1"/>
    <x v="0"/>
    <x v="494"/>
    <x v="402"/>
    <s v="Athlético Paranaense vs Fluminense FC"/>
    <d v="2026-08-30T11:39:08"/>
  </r>
  <r>
    <s v="FC St. Gallen vs FC Thun / Total 2.5"/>
    <s v="Fulltbet"/>
    <x v="3606"/>
    <n v="0.6"/>
    <n v="4.4999999999999998E-2"/>
    <n v="0.62827225130890052"/>
    <x v="12"/>
    <x v="70"/>
    <x v="213"/>
    <n v="2"/>
    <x v="255"/>
    <n v="2.8272251308900542E-2"/>
    <n v="0.3"/>
    <n v="1"/>
    <x v="0"/>
    <x v="720"/>
    <x v="619"/>
    <s v="FC St. Gallen vs FC Thun"/>
    <d v="2026-08-30T12:38:16"/>
  </r>
  <r>
    <s v="Tallinna FC Flora vs Paide Linnameeskond / Correct Score"/>
    <s v="Fulltbet"/>
    <x v="360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019"/>
    <x v="792"/>
    <s v="Tallinna FC Flora vs Paide Linnameeskond"/>
    <d v="2026-08-30T12:51:30"/>
  </r>
  <r>
    <s v="IFK Göteborg vs Örgryte IS / Correct Score"/>
    <s v="Fulltbet"/>
    <x v="3608"/>
    <n v="45.31"/>
    <n v="4.4999999999999998E-2"/>
    <n v="47.445026178010473"/>
    <x v="21"/>
    <x v="5"/>
    <x v="410"/>
    <n v="570.04999999999995"/>
    <x v="255"/>
    <n v="2.1350261780104702"/>
    <n v="7.9484255767037992E-2"/>
    <n v="1"/>
    <x v="0"/>
    <x v="929"/>
    <x v="708"/>
    <s v="IFK Göteborg vs Örgryte IS"/>
    <d v="2026-08-30T13:22:54"/>
  </r>
  <r>
    <s v="FK Teplice vs FK Jablonec / Total 0.5"/>
    <s v="Fulltbet"/>
    <x v="3609"/>
    <n v="9.93"/>
    <n v="4.4999999999999998E-2"/>
    <n v="10.397905759162304"/>
    <x v="12"/>
    <x v="47"/>
    <x v="236"/>
    <n v="20"/>
    <x v="255"/>
    <n v="0.46790575916230459"/>
    <n v="0.4965"/>
    <n v="1"/>
    <x v="0"/>
    <x v="1052"/>
    <x v="729"/>
    <s v="FK Teplice vs FK Jablonec"/>
    <d v="2026-08-30T13:38:27"/>
  </r>
  <r>
    <s v="Sandefjord Fotball vs Brann / Correct Score"/>
    <s v="Fulltbet"/>
    <x v="3610"/>
    <n v="8.57"/>
    <n v="4.4999999999999998E-2"/>
    <n v="8.9738219895287958"/>
    <x v="12"/>
    <x v="60"/>
    <x v="19"/>
    <n v="66.38"/>
    <x v="255"/>
    <n v="0.40382198952879556"/>
    <n v="0.12910515215426335"/>
    <n v="1"/>
    <x v="0"/>
    <x v="791"/>
    <x v="500"/>
    <s v="Sandefjord Fotball vs Brann"/>
    <d v="2026-08-30T13:51:20"/>
  </r>
  <r>
    <s v="Real Madrid vs Málaga / Correct Score"/>
    <s v="Fulltbet"/>
    <x v="3611"/>
    <n v="27.32"/>
    <n v="4.4999999999999998E-2"/>
    <n v="28.607329842931939"/>
    <x v="2"/>
    <x v="3"/>
    <x v="21"/>
    <n v="514.98"/>
    <x v="255"/>
    <n v="1.2873298429319391"/>
    <n v="5.3050603906947838E-2"/>
    <n v="1"/>
    <x v="0"/>
    <x v="91"/>
    <x v="869"/>
    <s v="Real Madrid vs Málaga"/>
    <d v="2026-08-30T13:57:09"/>
  </r>
  <r>
    <s v="Viking FK vs Aalesunds FK / Correct Score"/>
    <s v="Fulltbet"/>
    <x v="3612"/>
    <n v="6.2"/>
    <n v="4.4999999999999998E-2"/>
    <n v="6.4921465968586389"/>
    <x v="17"/>
    <x v="5"/>
    <x v="411"/>
    <n v="480.26"/>
    <x v="255"/>
    <n v="0.29214659685863875"/>
    <n v="1.290967392662308E-2"/>
    <n v="1"/>
    <x v="0"/>
    <x v="571"/>
    <x v="838"/>
    <s v="Viking FK vs Aalesunds FK"/>
    <d v="2026-08-30T13:57:15"/>
  </r>
  <r>
    <s v="Tromsø vs Sarpsborg 08 / Correct Score"/>
    <s v="Fulltbet"/>
    <x v="3613"/>
    <n v="21.554349999999999"/>
    <n v="4.4999999999999998E-2"/>
    <n v="22.57"/>
    <x v="17"/>
    <x v="5"/>
    <x v="4"/>
    <n v="473.88"/>
    <x v="255"/>
    <n v="1.0156500000000008"/>
    <n v="4.5484827382459694E-2"/>
    <n v="1"/>
    <x v="0"/>
    <x v="565"/>
    <x v="1060"/>
    <s v="Tromsø vs Sarpsborg 08"/>
    <d v="2026-08-30T13:57:23"/>
  </r>
  <r>
    <s v="Tromsø vs Sarpsborg 08 / Correct Score"/>
    <s v="Fulltbet"/>
    <x v="3613"/>
    <n v="44.417049999999996"/>
    <n v="4.4999999999999998E-2"/>
    <n v="46.51"/>
    <x v="21"/>
    <x v="5"/>
    <x v="3"/>
    <n v="399.99"/>
    <x v="255"/>
    <n v="2.0929500000000019"/>
    <n v="0.11104540113502837"/>
    <n v="1"/>
    <x v="0"/>
    <x v="565"/>
    <x v="1060"/>
    <s v="Tromsø vs Sarpsborg 08"/>
    <d v="2026-08-30T13:57:23"/>
  </r>
  <r>
    <s v="Viking FK vs Aalesunds FK / Match Odds"/>
    <s v="Fulltbet"/>
    <x v="3614"/>
    <n v="59.69"/>
    <n v="4.4999999999999998E-2"/>
    <n v="62.502617801047123"/>
    <x v="3"/>
    <x v="7"/>
    <x v="89"/>
    <n v="550"/>
    <x v="255"/>
    <n v="2.812617801047125"/>
    <n v="0.10852727272727272"/>
    <n v="1"/>
    <x v="34"/>
    <x v="571"/>
    <x v="838"/>
    <s v="Viking FK vs Aalesunds FK"/>
    <d v="2026-08-30T13:57:25"/>
  </r>
  <r>
    <s v="Real Madrid vs Málaga / Match Odds"/>
    <s v="Fulltbet"/>
    <x v="3615"/>
    <n v="27.28"/>
    <n v="4.4999999999999998E-2"/>
    <n v="28.565445026178011"/>
    <x v="3"/>
    <x v="92"/>
    <x v="15"/>
    <n v="399.98"/>
    <x v="255"/>
    <n v="1.2854450261780102"/>
    <n v="6.820341017050853E-2"/>
    <n v="1"/>
    <x v="4"/>
    <x v="91"/>
    <x v="869"/>
    <s v="Real Madrid vs Málaga"/>
    <d v="2026-08-30T13:57:26"/>
  </r>
  <r>
    <s v="Fram Reykjavik vs KA Akureyrar / Correct Score"/>
    <s v="Fulltbet"/>
    <x v="3616"/>
    <n v="8.09"/>
    <n v="4.4999999999999998E-2"/>
    <n v="8.4712041884816749"/>
    <x v="17"/>
    <x v="5"/>
    <x v="346"/>
    <n v="499.73"/>
    <x v="255"/>
    <n v="0.38120418848167503"/>
    <n v="1.6188741920637142E-2"/>
    <n v="1"/>
    <x v="0"/>
    <x v="900"/>
    <x v="974"/>
    <s v="Fram Reykjavik vs KA Akureyrar"/>
    <d v="2026-08-30T15:52:26"/>
  </r>
  <r>
    <s v="Flamengo vs Botafogo FR / Correct Score"/>
    <s v="Fulltbet"/>
    <x v="3617"/>
    <n v="12.44"/>
    <n v="4.4999999999999998E-2"/>
    <n v="13.026178010471204"/>
    <x v="17"/>
    <x v="5"/>
    <x v="178"/>
    <n v="508.17"/>
    <x v="255"/>
    <n v="0.58617801047120466"/>
    <n v="2.4479996851447347E-2"/>
    <n v="1"/>
    <x v="0"/>
    <x v="486"/>
    <x v="397"/>
    <s v="Flamengo vs Botafogo FR"/>
    <d v="2026-08-30T17:56:14"/>
  </r>
  <r>
    <s v="Famalicão vs Gil Vicente / Total 0.5"/>
    <s v="Fulltbet"/>
    <x v="3618"/>
    <n v="-20"/>
    <n v="4.4999999999999998E-2"/>
    <n v="-20"/>
    <x v="12"/>
    <x v="47"/>
    <x v="48"/>
    <n v="20"/>
    <x v="255"/>
    <n v="0"/>
    <n v="-1"/>
    <n v="0"/>
    <x v="0"/>
    <x v="146"/>
    <x v="767"/>
    <s v="Famalicão vs Gil Vicente"/>
    <d v="2026-08-30T18:19:58"/>
  </r>
  <r>
    <s v="Argentinos Juniors vs Aldosivi / Total 2.5"/>
    <s v="Fulltbet"/>
    <x v="3619"/>
    <n v="1.18"/>
    <n v="4.4999999999999998E-2"/>
    <n v="1.2356020942408377"/>
    <x v="12"/>
    <x v="70"/>
    <x v="52"/>
    <n v="2"/>
    <x v="255"/>
    <n v="5.5602094240837729E-2"/>
    <n v="0.59"/>
    <n v="1"/>
    <x v="0"/>
    <x v="1053"/>
    <x v="491"/>
    <s v="Argentinos Juniors vs Aldosivi"/>
    <d v="2026-08-30T18:24:45"/>
  </r>
  <r>
    <s v="Club Guaraní vs Club Sportivo Ameliano / Total 2.5"/>
    <s v="Fulltbet"/>
    <x v="3620"/>
    <n v="-2"/>
    <n v="4.4999999999999998E-2"/>
    <n v="-2"/>
    <x v="12"/>
    <x v="70"/>
    <x v="53"/>
    <n v="2"/>
    <x v="255"/>
    <n v="0"/>
    <n v="-1"/>
    <n v="0"/>
    <x v="0"/>
    <x v="29"/>
    <x v="1040"/>
    <s v="Club Guaraní vs Club Sportivo Ameliano"/>
    <d v="2026-08-30T20:23:15"/>
  </r>
  <r>
    <s v="Mirassol FC vs Palmeiras / Correct Score"/>
    <s v="Fulltbet"/>
    <x v="3621"/>
    <n v="41.38"/>
    <n v="4.4999999999999998E-2"/>
    <n v="43.329842931937179"/>
    <x v="17"/>
    <x v="5"/>
    <x v="5"/>
    <n v="519.96"/>
    <x v="255"/>
    <n v="1.9498429319371766"/>
    <n v="7.958304484960381E-2"/>
    <n v="1"/>
    <x v="0"/>
    <x v="468"/>
    <x v="1015"/>
    <s v="Mirassol FC vs Palmeiras"/>
    <d v="2026-08-30T20:31:58"/>
  </r>
  <r>
    <s v="Independiente Rivadavia vs Racing Club / Total 2.5"/>
    <s v="Fulltbet"/>
    <x v="3622"/>
    <n v="1.47"/>
    <n v="4.4999999999999998E-2"/>
    <n v="1.5392670157068062"/>
    <x v="12"/>
    <x v="70"/>
    <x v="53"/>
    <n v="2"/>
    <x v="255"/>
    <n v="6.9267015706806268E-2"/>
    <n v="0.73499999999999999"/>
    <n v="1"/>
    <x v="0"/>
    <x v="633"/>
    <x v="1112"/>
    <s v="Independiente Rivadavia vs Racing Club"/>
    <d v="2026-08-30T23:00:57"/>
  </r>
  <r>
    <s v="Asyut Petroleum vs National Bank / Total 0.5"/>
    <s v="Fulltbet"/>
    <x v="3623"/>
    <n v="9.85"/>
    <n v="4.4999999999999998E-2"/>
    <n v="10.31413612565445"/>
    <x v="12"/>
    <x v="47"/>
    <x v="236"/>
    <n v="20"/>
    <x v="256"/>
    <n v="0.46413612565445028"/>
    <n v="0.49249999999999999"/>
    <n v="1"/>
    <x v="0"/>
    <x v="1054"/>
    <x v="1113"/>
    <s v="Asyut Petroleum vs National Bank"/>
    <d v="2026-08-31T12:36:49"/>
  </r>
  <r>
    <s v="FK Liepaja vs Riga FC / Correct Score"/>
    <s v="Fulltbet"/>
    <x v="3624"/>
    <n v="15.2"/>
    <n v="4.4999999999999998E-2"/>
    <n v="15.916230366492147"/>
    <x v="17"/>
    <x v="6"/>
    <x v="200"/>
    <n v="557.17999999999995"/>
    <x v="256"/>
    <n v="0.71623036649214811"/>
    <n v="2.7280232599877958E-2"/>
    <n v="1"/>
    <x v="0"/>
    <x v="914"/>
    <x v="790"/>
    <s v="FK Liepaja vs Riga FC"/>
    <d v="2026-08-31T13:27:44"/>
  </r>
  <r>
    <s v="IK Sirius vs Malmö FF / Correct Score"/>
    <s v="Fulltbet"/>
    <x v="3625"/>
    <n v="-570"/>
    <n v="4.4999999999999998E-2"/>
    <n v="-570"/>
    <x v="17"/>
    <x v="5"/>
    <x v="110"/>
    <n v="570"/>
    <x v="256"/>
    <n v="0"/>
    <n v="-1"/>
    <n v="0"/>
    <x v="0"/>
    <x v="496"/>
    <x v="356"/>
    <s v="IK Sirius vs Malmö FF"/>
    <d v="2026-08-31T15:51:38"/>
  </r>
  <r>
    <s v="IK Sirius vs Malmö FF / Total 2.5"/>
    <s v="Fulltbet"/>
    <x v="3626"/>
    <n v="-5"/>
    <n v="4.4999999999999998E-2"/>
    <n v="-5"/>
    <x v="12"/>
    <x v="70"/>
    <x v="73"/>
    <n v="5"/>
    <x v="256"/>
    <n v="0"/>
    <n v="-1"/>
    <n v="0"/>
    <x v="0"/>
    <x v="496"/>
    <x v="356"/>
    <s v="IK Sirius vs Malmö FF"/>
    <d v="2026-08-31T15:51:48"/>
  </r>
  <r>
    <s v="Benfica vs Estoril-Praia / Match Odds"/>
    <s v="Fulltbet"/>
    <x v="3627"/>
    <n v="17.11"/>
    <n v="4.4999999999999998E-2"/>
    <n v="17.916230366492147"/>
    <x v="3"/>
    <x v="7"/>
    <x v="110"/>
    <n v="430.08"/>
    <x v="256"/>
    <n v="0.80623036649214797"/>
    <n v="3.9783296130952384E-2"/>
    <n v="1"/>
    <x v="10"/>
    <x v="431"/>
    <x v="157"/>
    <s v="Benfica vs Estoril-Praia"/>
    <d v="2026-08-31T18:09:59"/>
  </r>
  <r>
    <s v="FC Barcelona vs Rayo Vallecano / Match Odds"/>
    <s v="Fulltbet"/>
    <x v="3628"/>
    <n v="14.67"/>
    <n v="4.4999999999999998E-2"/>
    <n v="15.361256544502618"/>
    <x v="3"/>
    <x v="7"/>
    <x v="80"/>
    <n v="430.08"/>
    <x v="256"/>
    <n v="0.6912565445026182"/>
    <n v="3.4109933035714288E-2"/>
    <n v="1"/>
    <x v="4"/>
    <x v="130"/>
    <x v="385"/>
    <s v="FC Barcelona vs Rayo Vallecano"/>
    <d v="2026-08-31T18:30:22"/>
  </r>
  <r>
    <s v="Unión La Calera vs La Serena / Total 2.5"/>
    <s v="Fulltbet"/>
    <x v="3629"/>
    <n v="-5"/>
    <n v="4.4999999999999998E-2"/>
    <n v="-5"/>
    <x v="12"/>
    <x v="70"/>
    <x v="139"/>
    <n v="5"/>
    <x v="256"/>
    <n v="0"/>
    <n v="-1"/>
    <n v="0"/>
    <x v="0"/>
    <x v="1055"/>
    <x v="1034"/>
    <s v="Unión La Calera vs La Serena"/>
    <d v="2026-08-31T21:11:56"/>
  </r>
  <r>
    <s v="Fortaleza EC vs Operário Ferroviário / Correct Score"/>
    <s v="Fulltbet"/>
    <x v="3630"/>
    <n v="7.64"/>
    <n v="4.4999999999999998E-2"/>
    <n v="8"/>
    <x v="21"/>
    <x v="5"/>
    <x v="16"/>
    <n v="100"/>
    <x v="256"/>
    <n v="0.36000000000000032"/>
    <n v="7.6399999999999996E-2"/>
    <n v="1"/>
    <x v="0"/>
    <x v="771"/>
    <x v="959"/>
    <s v="Fortaleza EC vs Operário Ferroviário"/>
    <d v="2026-08-31T21:29:44"/>
  </r>
  <r>
    <s v="Durban City FC vs Stellenbosch FC / Total 0.5"/>
    <s v="Fulltbet"/>
    <x v="3631"/>
    <n v="-20"/>
    <n v="4.4999999999999998E-2"/>
    <n v="-20"/>
    <x v="12"/>
    <x v="47"/>
    <x v="198"/>
    <n v="20"/>
    <x v="257"/>
    <n v="0"/>
    <n v="-1"/>
    <n v="0"/>
    <x v="0"/>
    <x v="1056"/>
    <x v="1114"/>
    <s v="Durban City FC vs Stellenbosch FC"/>
    <d v="2026-09-01T16:22:00"/>
  </r>
  <r>
    <s v="Bradford City vs Cambridge United / Total 0.5"/>
    <s v="Fulltbet"/>
    <x v="3632"/>
    <n v="9.9499999999999993"/>
    <n v="4.4999999999999998E-2"/>
    <n v="10.418848167539267"/>
    <x v="12"/>
    <x v="47"/>
    <x v="236"/>
    <n v="20"/>
    <x v="257"/>
    <n v="0.46884816753926728"/>
    <n v="0.49749999999999994"/>
    <n v="1"/>
    <x v="0"/>
    <x v="453"/>
    <x v="78"/>
    <s v="Bradford City vs Cambridge United"/>
    <d v="2026-09-01T17:02:51"/>
  </r>
  <r>
    <s v="Birmingham City vs Southampton / Both Teams To Score"/>
    <s v="Fulltbet"/>
    <x v="3633"/>
    <n v="76.81"/>
    <n v="4.4999999999999998E-2"/>
    <n v="80.429319371727757"/>
    <x v="6"/>
    <x v="14"/>
    <x v="82"/>
    <n v="120"/>
    <x v="257"/>
    <n v="3.6193193717277552"/>
    <n v="0.64008333333333334"/>
    <n v="1"/>
    <x v="0"/>
    <x v="299"/>
    <x v="227"/>
    <s v="Birmingham City vs Southampton"/>
    <d v="2026-09-01T17:15:16"/>
  </r>
  <r>
    <s v="Portsmouth vs Derby County / Total 2.5"/>
    <s v="Fulltbet"/>
    <x v="3634"/>
    <n v="-5"/>
    <n v="4.4999999999999998E-2"/>
    <n v="-5"/>
    <x v="12"/>
    <x v="70"/>
    <x v="65"/>
    <n v="5"/>
    <x v="257"/>
    <n v="0"/>
    <n v="-1"/>
    <n v="0"/>
    <x v="0"/>
    <x v="1057"/>
    <x v="544"/>
    <s v="Portsmouth vs Derby County"/>
    <d v="2026-09-01T17:40:26"/>
  </r>
  <r>
    <s v="Londrina vs EC Juventude / Correct Score"/>
    <s v="Fulltbet"/>
    <x v="3635"/>
    <n v="12.57"/>
    <n v="4.4999999999999998E-2"/>
    <n v="13.162303664921467"/>
    <x v="12"/>
    <x v="60"/>
    <x v="38"/>
    <n v="100.02"/>
    <x v="257"/>
    <n v="0.59230366492146658"/>
    <n v="0.1256748650269946"/>
    <n v="1"/>
    <x v="0"/>
    <x v="457"/>
    <x v="93"/>
    <s v="Londrina vs EC Juventude"/>
    <d v="2026-09-01T21:22:05"/>
  </r>
  <r>
    <s v="Londrina vs EC Juventude / Total 0.5"/>
    <s v="Fulltbet"/>
    <x v="3636"/>
    <n v="-20"/>
    <n v="4.4999999999999998E-2"/>
    <n v="-20"/>
    <x v="12"/>
    <x v="47"/>
    <x v="48"/>
    <n v="20"/>
    <x v="257"/>
    <n v="0"/>
    <n v="-1"/>
    <n v="0"/>
    <x v="0"/>
    <x v="457"/>
    <x v="93"/>
    <s v="Londrina vs EC Juventude"/>
    <d v="2026-09-01T21:22: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TD_Botbet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6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8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4"/>
        <item x="69"/>
        <item m="1" x="102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3"/>
        <item x="36"/>
        <item m="1" x="105"/>
        <item x="54"/>
        <item x="55"/>
        <item x="76"/>
        <item x="44"/>
        <item x="30"/>
        <item m="1" x="99"/>
        <item m="1" x="97"/>
        <item m="1" x="100"/>
        <item m="1" x="94"/>
        <item m="1" x="95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1"/>
        <item x="81"/>
        <item x="43"/>
        <item x="90"/>
        <item x="89"/>
        <item x="38"/>
        <item m="1" x="93"/>
        <item x="87"/>
        <item x="79"/>
        <item x="41"/>
        <item m="1" x="98"/>
        <item x="33"/>
        <item x="35"/>
        <item x="70"/>
        <item x="42"/>
        <item x="19"/>
        <item x="28"/>
        <item x="10"/>
        <item x="17"/>
        <item x="82"/>
        <item m="1" x="96"/>
        <item x="77"/>
        <item m="1" x="106"/>
        <item x="7"/>
        <item x="92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41"/>
          </reference>
        </references>
      </pivotArea>
    </format>
    <format dxfId="851">
      <pivotArea dataOnly="0" labelOnly="1" fieldPosition="0">
        <references count="1">
          <reference field="7" count="1">
            <x v="83"/>
          </reference>
        </references>
      </pivotArea>
    </format>
    <format dxfId="850">
      <pivotArea dataOnly="0" labelOnly="1" fieldPosition="0">
        <references count="1">
          <reference field="7" count="1">
            <x v="41"/>
          </reference>
        </references>
      </pivotArea>
    </format>
    <format dxfId="849">
      <pivotArea dataOnly="0" labelOnly="1" fieldPosition="0">
        <references count="1">
          <reference field="7" count="1">
            <x v="83"/>
          </reference>
        </references>
      </pivotArea>
    </format>
    <format dxfId="848">
      <pivotArea dataOnly="0" labelOnly="1" fieldPosition="0">
        <references count="1">
          <reference field="7" count="1">
            <x v="15"/>
          </reference>
        </references>
      </pivotArea>
    </format>
    <format dxfId="84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84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5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844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843">
      <pivotArea dataOnly="0" labelOnly="1" fieldPosition="0">
        <references count="1">
          <reference field="7" count="2">
            <x v="90"/>
            <x v="103"/>
          </reference>
        </references>
      </pivotArea>
    </format>
    <format dxfId="842">
      <pivotArea dataOnly="0" labelOnly="1" fieldPosition="0">
        <references count="1">
          <reference field="7" count="1">
            <x v="37"/>
          </reference>
        </references>
      </pivotArea>
    </format>
    <format dxfId="84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0">
      <pivotArea dataOnly="0" labelOnly="1" fieldPosition="0">
        <references count="1">
          <reference field="7" count="1">
            <x v="50"/>
          </reference>
        </references>
      </pivotArea>
    </format>
    <format dxfId="839">
      <pivotArea dataOnly="0" labelOnly="1" fieldPosition="0">
        <references count="1">
          <reference field="7" count="1">
            <x v="90"/>
          </reference>
        </references>
      </pivotArea>
    </format>
    <format dxfId="83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3"/>
          </reference>
        </references>
      </pivotArea>
    </format>
    <format dxfId="837">
      <pivotArea dataOnly="0" labelOnly="1" fieldPosition="0">
        <references count="1">
          <reference field="7" count="1">
            <x v="28"/>
          </reference>
        </references>
      </pivotArea>
    </format>
    <format dxfId="836">
      <pivotArea dataOnly="0" labelOnly="1" fieldPosition="0">
        <references count="1">
          <reference field="7" count="1">
            <x v="44"/>
          </reference>
        </references>
      </pivotArea>
    </format>
    <format dxfId="835">
      <pivotArea dataOnly="0" labelOnly="1" fieldPosition="0">
        <references count="1">
          <reference field="7" count="1">
            <x v="50"/>
          </reference>
        </references>
      </pivotArea>
    </format>
    <format dxfId="834">
      <pivotArea dataOnly="0" labelOnly="1" fieldPosition="0">
        <references count="1">
          <reference field="7" count="1">
            <x v="62"/>
          </reference>
        </references>
      </pivotArea>
    </format>
    <format dxfId="833">
      <pivotArea dataOnly="0" labelOnly="1" fieldPosition="0">
        <references count="1">
          <reference field="7" count="1">
            <x v="87"/>
          </reference>
        </references>
      </pivotArea>
    </format>
    <format dxfId="83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831">
      <pivotArea dataOnly="0" labelOnly="1" fieldPosition="0">
        <references count="1">
          <reference field="7" count="1">
            <x v="91"/>
          </reference>
        </references>
      </pivotArea>
    </format>
    <format dxfId="83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29">
      <pivotArea dataOnly="0" labelOnly="1" fieldPosition="0">
        <references count="1">
          <reference field="7" count="1">
            <x v="42"/>
          </reference>
        </references>
      </pivotArea>
    </format>
    <format dxfId="82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3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axis="axisRow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5"/>
    </i>
    <i>
      <x v="366"/>
    </i>
    <i>
      <x v="369"/>
    </i>
    <i>
      <x v="371"/>
    </i>
    <i>
      <x v="374"/>
    </i>
    <i>
      <x v="377"/>
    </i>
    <i>
      <x v="392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10">
      <pivotArea type="all" dataOnly="0" outline="0" fieldPosition="0"/>
    </format>
    <format dxfId="709">
      <pivotArea field="7" type="button" dataOnly="0" labelOnly="1" outline="0"/>
    </format>
    <format dxfId="708">
      <pivotArea dataOnly="0" labelOnly="1" grandRow="1" outline="0" fieldPosition="0"/>
    </format>
    <format dxfId="707">
      <pivotArea type="all" dataOnly="0" outline="0" fieldPosition="0"/>
    </format>
    <format dxfId="706">
      <pivotArea field="7" type="button" dataOnly="0" labelOnly="1" outline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field="7" type="button" dataOnly="0" labelOnly="1" outline="0"/>
    </format>
    <format dxfId="677">
      <pivotArea dataOnly="0" labelOnly="1" outline="0" axis="axisValues" fieldPosition="0"/>
    </format>
    <format dxfId="676">
      <pivotArea dataOnly="0" labelOnly="1" grandRow="1" outline="0" fieldPosition="0"/>
    </format>
    <format dxfId="675">
      <pivotArea dataOnly="0" labelOnly="1" outline="0" axis="axisValues" fieldPosition="0"/>
    </format>
    <format dxfId="674">
      <pivotArea outline="0" collapsedLevelsAreSubtotals="1" fieldPosition="0"/>
    </format>
    <format dxfId="6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dataFiel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747">
      <pivotArea type="all" dataOnly="0" outline="0" fieldPosition="0"/>
    </format>
    <format dxfId="746">
      <pivotArea field="7" type="button" dataOnly="0" labelOnly="1" outline="0"/>
    </format>
    <format dxfId="745">
      <pivotArea dataOnly="0" labelOnly="1" grandRow="1" outline="0" fieldPosition="0"/>
    </format>
    <format dxfId="744">
      <pivotArea type="all" dataOnly="0" outline="0" fieldPosition="0"/>
    </format>
    <format dxfId="743">
      <pivotArea field="7" type="button" dataOnly="0" labelOnly="1" outline="0"/>
    </format>
    <format dxfId="742">
      <pivotArea dataOnly="0" labelOnly="1" grandRow="1" outline="0" fieldPosition="0"/>
    </format>
    <format dxfId="741">
      <pivotArea type="all" dataOnly="0" outline="0" fieldPosition="0"/>
    </format>
    <format dxfId="740">
      <pivotArea outline="0" collapsedLevelsAreSubtotals="1" fieldPosition="0"/>
    </format>
    <format dxfId="739">
      <pivotArea field="7" type="button" dataOnly="0" labelOnly="1" outline="0"/>
    </format>
    <format dxfId="738">
      <pivotArea dataOnly="0" labelOnly="1" outline="0" axis="axisValues" fieldPosition="0"/>
    </format>
    <format dxfId="737">
      <pivotArea dataOnly="0" labelOnly="1" grandRow="1" outline="0" fieldPosition="0"/>
    </format>
    <format dxfId="736">
      <pivotArea dataOnly="0" labelOnly="1" outline="0" axis="axisValues" fieldPosition="0"/>
    </format>
    <format dxfId="735">
      <pivotArea type="all" dataOnly="0" outline="0" fieldPosition="0"/>
    </format>
    <format dxfId="734">
      <pivotArea outline="0" collapsedLevelsAreSubtotals="1" fieldPosition="0"/>
    </format>
    <format dxfId="733">
      <pivotArea field="7" type="button" dataOnly="0" labelOnly="1" outline="0"/>
    </format>
    <format dxfId="732">
      <pivotArea dataOnly="0" labelOnly="1" outline="0" axis="axisValues" fieldPosition="0"/>
    </format>
    <format dxfId="731">
      <pivotArea dataOnly="0" labelOnly="1" grandRow="1" outline="0" fieldPosition="0"/>
    </format>
    <format dxfId="730">
      <pivotArea dataOnly="0" labelOnly="1" outline="0" axis="axisValues" fieldPosition="0"/>
    </format>
    <format dxfId="729">
      <pivotArea type="all" dataOnly="0" outline="0" fieldPosition="0"/>
    </format>
    <format dxfId="728">
      <pivotArea outline="0" collapsedLevelsAreSubtotals="1" fieldPosition="0"/>
    </format>
    <format dxfId="727">
      <pivotArea field="7" type="button" dataOnly="0" labelOnly="1" outline="0"/>
    </format>
    <format dxfId="726">
      <pivotArea dataOnly="0" labelOnly="1" outline="0" axis="axisValues" fieldPosition="0"/>
    </format>
    <format dxfId="725">
      <pivotArea dataOnly="0" labelOnly="1" grandRow="1" outline="0" fieldPosition="0"/>
    </format>
    <format dxfId="724">
      <pivotArea dataOnly="0" labelOnly="1" outline="0" axis="axisValues" fieldPosition="0"/>
    </format>
    <format dxfId="723">
      <pivotArea type="all" dataOnly="0" outline="0" fieldPosition="0"/>
    </format>
    <format dxfId="722">
      <pivotArea outline="0" collapsedLevelsAreSubtotals="1" fieldPosition="0"/>
    </format>
    <format dxfId="721">
      <pivotArea field="7" type="button" dataOnly="0" labelOnly="1" outline="0"/>
    </format>
    <format dxfId="720">
      <pivotArea dataOnly="0" labelOnly="1" outline="0" axis="axisValues" fieldPosition="0"/>
    </format>
    <format dxfId="719">
      <pivotArea dataOnly="0" labelOnly="1" grandRow="1" outline="0" fieldPosition="0"/>
    </format>
    <format dxfId="718">
      <pivotArea dataOnly="0" labelOnly="1" outline="0" axis="axisValues" fieldPosition="0"/>
    </format>
    <format dxfId="717">
      <pivotArea type="all" dataOnly="0" outline="0" fieldPosition="0"/>
    </format>
    <format dxfId="716">
      <pivotArea outline="0" collapsedLevelsAreSubtotals="1" fieldPosition="0"/>
    </format>
    <format dxfId="715">
      <pivotArea field="7" type="button" dataOnly="0" labelOnly="1" outline="0"/>
    </format>
    <format dxfId="714">
      <pivotArea dataOnly="0" labelOnly="1" outline="0" axis="axisValues" fieldPosition="0"/>
    </format>
    <format dxfId="713">
      <pivotArea dataOnly="0" labelOnly="1" grandRow="1" outline="0" fieldPosition="0"/>
    </format>
    <format dxfId="712">
      <pivotArea dataOnly="0" labelOnly="1" outline="0" axis="axisValues" fieldPosition="0"/>
    </format>
    <format dxfId="7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59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886"/>
    </i>
    <i r="1">
      <x v="92"/>
    </i>
    <i r="1">
      <x v="324"/>
    </i>
    <i r="1">
      <x v="405"/>
    </i>
    <i r="1">
      <x v="192"/>
    </i>
    <i r="1">
      <x v="854"/>
    </i>
    <i r="1">
      <x v="796"/>
    </i>
    <i r="1">
      <x v="887"/>
    </i>
    <i r="1">
      <x v="789"/>
    </i>
    <i r="1">
      <x v="247"/>
    </i>
    <i r="1">
      <x v="147"/>
    </i>
    <i r="1">
      <x v="375"/>
    </i>
    <i r="1">
      <x v="878"/>
    </i>
    <i r="1">
      <x v="633"/>
    </i>
    <i r="1">
      <x v="357"/>
    </i>
    <i r="1">
      <x v="65"/>
    </i>
    <i r="1">
      <x v="675"/>
    </i>
    <i r="1">
      <x v="132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326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849"/>
    </i>
    <i r="1">
      <x v="689"/>
    </i>
    <i r="1">
      <x v="133"/>
    </i>
    <i r="1">
      <x v="169"/>
    </i>
    <i r="1">
      <x v="925"/>
    </i>
    <i r="1">
      <x v="802"/>
    </i>
    <i r="1">
      <x v="481"/>
    </i>
    <i r="1">
      <x v="377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35"/>
    </i>
    <i r="1">
      <x v="199"/>
    </i>
    <i r="1">
      <x v="693"/>
    </i>
    <i r="1">
      <x v="141"/>
    </i>
    <i r="1">
      <x v="704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6">
      <pivotArea type="all" dataOnly="0" outline="0" fieldPosition="0"/>
    </format>
    <format dxfId="785">
      <pivotArea field="7" type="button" dataOnly="0" labelOnly="1" outline="0" axis="axisRow" fieldPosition="0"/>
    </format>
    <format dxfId="784">
      <pivotArea dataOnly="0" labelOnly="1" grandRow="1" outline="0" fieldPosition="0"/>
    </format>
    <format dxfId="783">
      <pivotArea type="all" dataOnly="0" outline="0" fieldPosition="0"/>
    </format>
    <format dxfId="782">
      <pivotArea field="7" type="button" dataOnly="0" labelOnly="1" outline="0" axis="axisRow" fieldPosition="0"/>
    </format>
    <format dxfId="781">
      <pivotArea dataOnly="0" labelOnly="1" grandRow="1" outline="0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field="7" type="button" dataOnly="0" labelOnly="1" outline="0" axis="axisRow" fieldPosition="0"/>
    </format>
    <format dxfId="777">
      <pivotArea dataOnly="0" labelOnly="1" outline="0" axis="axisValues" fieldPosition="0"/>
    </format>
    <format dxfId="776">
      <pivotArea dataOnly="0" labelOnly="1" grandRow="1" outline="0" fieldPosition="0"/>
    </format>
    <format dxfId="775">
      <pivotArea dataOnly="0" labelOnly="1" outline="0" axis="axisValues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field="7" type="button" dataOnly="0" labelOnly="1" outline="0" axis="axisRow" fieldPosition="0"/>
    </format>
    <format dxfId="771">
      <pivotArea dataOnly="0" labelOnly="1" outline="0" axis="axisValues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7" type="button" dataOnly="0" labelOnly="1" outline="0" axis="axisRow" fieldPosition="0"/>
    </format>
    <format dxfId="765">
      <pivotArea dataOnly="0" labelOnly="1" outline="0" axis="axisValues" fieldPosition="0"/>
    </format>
    <format dxfId="764">
      <pivotArea dataOnly="0" labelOnly="1" grandRow="1" outline="0" fieldPosition="0"/>
    </format>
    <format dxfId="763">
      <pivotArea dataOnly="0" labelOnly="1" outline="0" axis="axisValues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7" type="button" dataOnly="0" labelOnly="1" outline="0" axis="axisRow" fieldPosition="0"/>
    </format>
    <format dxfId="759">
      <pivotArea dataOnly="0" labelOnly="1" outline="0" axis="axisValues" fieldPosition="0"/>
    </format>
    <format dxfId="758">
      <pivotArea dataOnly="0" labelOnly="1" grandRow="1" outline="0" fieldPosition="0"/>
    </format>
    <format dxfId="757">
      <pivotArea dataOnly="0" labelOnly="1" outline="0" axis="axisValues" fieldPosition="0"/>
    </format>
    <format dxfId="756">
      <pivotArea type="all" dataOnly="0" outline="0" fieldPosition="0"/>
    </format>
    <format dxfId="755">
      <pivotArea outline="0" collapsedLevelsAreSubtotals="1" fieldPosition="0"/>
    </format>
    <format dxfId="754">
      <pivotArea field="7" type="button" dataOnly="0" labelOnly="1" outline="0" axis="axisRow" fieldPosition="0"/>
    </format>
    <format dxfId="753">
      <pivotArea dataOnly="0" labelOnly="1" outline="0" axis="axisValues" fieldPosition="0"/>
    </format>
    <format dxfId="752">
      <pivotArea dataOnly="0" labelOnly="1" grandRow="1" outline="0" fieldPosition="0"/>
    </format>
    <format dxfId="751">
      <pivotArea dataOnly="0" labelOnly="1" outline="0" axis="axisValues" fieldPosition="0"/>
    </format>
    <format dxfId="750">
      <pivotArea outline="0" collapsedLevelsAreSubtotals="1" fieldPosition="0"/>
    </format>
    <format dxfId="7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6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9"/>
        <item h="1" x="26"/>
        <item h="1" x="27"/>
        <item h="1" x="28"/>
        <item x="29"/>
        <item m="1" x="94"/>
        <item h="1" m="1" x="100"/>
        <item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4"/>
        <item m="1" x="96"/>
        <item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x="68"/>
        <item h="1" x="84"/>
        <item h="1" m="1" x="101"/>
        <item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4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/>
    </i>
    <i r="1">
      <x v="34"/>
    </i>
    <i r="1">
      <x v="7"/>
    </i>
    <i r="1">
      <x v="8"/>
    </i>
    <i r="1">
      <x v="46"/>
    </i>
    <i r="1">
      <x v="6"/>
    </i>
    <i r="1">
      <x v="53"/>
    </i>
    <i r="1">
      <x v="18"/>
    </i>
    <i r="1">
      <x v="12"/>
    </i>
    <i r="1">
      <x v="52"/>
    </i>
    <i r="1">
      <x v="50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25">
      <pivotArea type="all" dataOnly="0" outline="0" fieldPosition="0"/>
    </format>
    <format dxfId="824">
      <pivotArea field="7" type="button" dataOnly="0" labelOnly="1" outline="0" axis="axisRow" fieldPosition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 axis="axisRow" fieldPosition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Row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Row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Row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Row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 axis="axisRow" fieldPosition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  <format dxfId="78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Odd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axis="axisRow" showAll="0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default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564">
      <pivotArea type="all" dataOnly="0" outline="0" fieldPosition="0"/>
    </format>
    <format dxfId="563">
      <pivotArea field="7" type="button" dataOnly="0" labelOnly="1" outline="0"/>
    </format>
    <format dxfId="562">
      <pivotArea dataOnly="0" labelOnly="1" grandRow="1" outline="0" fieldPosition="0"/>
    </format>
    <format dxfId="561">
      <pivotArea type="all" dataOnly="0" outline="0" fieldPosition="0"/>
    </format>
    <format dxfId="560">
      <pivotArea field="7" type="button" dataOnly="0" labelOnly="1" outline="0"/>
    </format>
    <format dxfId="559">
      <pivotArea dataOnly="0" labelOnly="1" grandRow="1" outline="0" fieldPosition="0"/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7" type="button" dataOnly="0" labelOnly="1" outline="0"/>
    </format>
    <format dxfId="555">
      <pivotArea dataOnly="0" labelOnly="1" outline="0" axis="axisValues" fieldPosition="0"/>
    </format>
    <format dxfId="554">
      <pivotArea dataOnly="0" labelOnly="1" grandRow="1" outline="0" fieldPosition="0"/>
    </format>
    <format dxfId="553">
      <pivotArea dataOnly="0" labelOnly="1" outline="0" axis="axisValues" fieldPosition="0"/>
    </format>
    <format dxfId="552">
      <pivotArea type="all" dataOnly="0" outline="0" fieldPosition="0"/>
    </format>
    <format dxfId="551">
      <pivotArea outline="0" collapsedLevelsAreSubtotals="1" fieldPosition="0"/>
    </format>
    <format dxfId="550">
      <pivotArea field="7" type="button" dataOnly="0" labelOnly="1" outline="0"/>
    </format>
    <format dxfId="549">
      <pivotArea dataOnly="0" labelOnly="1" outline="0" axis="axisValues" fieldPosition="0"/>
    </format>
    <format dxfId="548">
      <pivotArea dataOnly="0" labelOnly="1" grandRow="1" outline="0" fieldPosition="0"/>
    </format>
    <format dxfId="547">
      <pivotArea dataOnly="0" labelOnly="1" outline="0" axis="axisValues" fieldPosition="0"/>
    </format>
    <format dxfId="546">
      <pivotArea type="all" dataOnly="0" outline="0" fieldPosition="0"/>
    </format>
    <format dxfId="545">
      <pivotArea outline="0" collapsedLevelsAreSubtotals="1" fieldPosition="0"/>
    </format>
    <format dxfId="544">
      <pivotArea field="7" type="button" dataOnly="0" labelOnly="1" outline="0"/>
    </format>
    <format dxfId="543">
      <pivotArea dataOnly="0" labelOnly="1" outline="0" axis="axisValues" fieldPosition="0"/>
    </format>
    <format dxfId="542">
      <pivotArea dataOnly="0" labelOnly="1" grandRow="1" outline="0" fieldPosition="0"/>
    </format>
    <format dxfId="541">
      <pivotArea dataOnly="0" labelOnly="1" outline="0" axis="axisValues" fieldPosition="0"/>
    </format>
    <format dxfId="540">
      <pivotArea type="all" dataOnly="0" outline="0" fieldPosition="0"/>
    </format>
    <format dxfId="539">
      <pivotArea outline="0" collapsedLevelsAreSubtotals="1" fieldPosition="0"/>
    </format>
    <format dxfId="538">
      <pivotArea field="7" type="button" dataOnly="0" labelOnly="1" outline="0"/>
    </format>
    <format dxfId="537">
      <pivotArea dataOnly="0" labelOnly="1" outline="0" axis="axisValues" fieldPosition="0"/>
    </format>
    <format dxfId="536">
      <pivotArea dataOnly="0" labelOnly="1" grandRow="1" outline="0" fieldPosition="0"/>
    </format>
    <format dxfId="535">
      <pivotArea dataOnly="0" labelOnly="1" outline="0" axis="axisValues" fieldPosition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7" type="button" dataOnly="0" labelOnly="1" outline="0"/>
    </format>
    <format dxfId="531">
      <pivotArea dataOnly="0" labelOnly="1" outline="0" axis="axisValues" fieldPosition="0"/>
    </format>
    <format dxfId="530">
      <pivotArea dataOnly="0" labelOnly="1" grandRow="1" outline="0" fieldPosition="0"/>
    </format>
    <format dxfId="529">
      <pivotArea dataOnly="0" labelOnly="1" outline="0" axis="axisValues" fieldPosition="0"/>
    </format>
    <format dxfId="528">
      <pivotArea outline="0" collapsedLevelsAreSubtotals="1" fieldPosition="0"/>
    </format>
    <format dxfId="527">
      <pivotArea type="all" dataOnly="0" outline="0" fieldPosition="0"/>
    </format>
    <format dxfId="526">
      <pivotArea outline="0" collapsedLevelsAreSubtotals="1" fieldPosition="0"/>
    </format>
    <format dxfId="525">
      <pivotArea type="origin" dataOnly="0" labelOnly="1" outline="0" fieldPosition="0"/>
    </format>
    <format dxfId="524">
      <pivotArea field="7" type="button" dataOnly="0" labelOnly="1" outline="0"/>
    </format>
    <format dxfId="523">
      <pivotArea field="-2" type="button" dataOnly="0" labelOnly="1" outline="0" axis="axisCol" fieldPosition="0"/>
    </format>
    <format dxfId="522">
      <pivotArea type="topRight" dataOnly="0" labelOnly="1" outline="0" fieldPosition="0"/>
    </format>
    <format dxfId="521">
      <pivotArea field="16" type="button" dataOnly="0" labelOnly="1" outline="0"/>
    </format>
    <format dxfId="520">
      <pivotArea dataOnly="0" labelOnly="1" grandRow="1" outline="0" fieldPosition="0"/>
    </format>
    <format dxfId="519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518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ime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3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dataField="1"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7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80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>
      <x v="1240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632">
      <pivotArea type="all" dataOnly="0" outline="0" fieldPosition="0"/>
    </format>
    <format dxfId="631">
      <pivotArea field="7" type="button" dataOnly="0" labelOnly="1" outline="0" axis="axisCol" fieldPosition="0"/>
    </format>
    <format dxfId="630">
      <pivotArea dataOnly="0" labelOnly="1" grandRow="1" outline="0" fieldPosition="0"/>
    </format>
    <format dxfId="629">
      <pivotArea type="all" dataOnly="0" outline="0" fieldPosition="0"/>
    </format>
    <format dxfId="628">
      <pivotArea field="7" type="button" dataOnly="0" labelOnly="1" outline="0" axis="axisCol" fieldPosition="0"/>
    </format>
    <format dxfId="627">
      <pivotArea dataOnly="0" labelOnly="1" grandRow="1" outline="0" fieldPosition="0"/>
    </format>
    <format dxfId="626">
      <pivotArea type="all" dataOnly="0" outline="0" fieldPosition="0"/>
    </format>
    <format dxfId="625">
      <pivotArea outline="0" collapsedLevelsAreSubtotals="1" fieldPosition="0"/>
    </format>
    <format dxfId="624">
      <pivotArea field="7" type="button" dataOnly="0" labelOnly="1" outline="0" axis="axisCol" fieldPosition="0"/>
    </format>
    <format dxfId="623">
      <pivotArea dataOnly="0" labelOnly="1" outline="0" axis="axisValues" fieldPosition="0"/>
    </format>
    <format dxfId="622">
      <pivotArea dataOnly="0" labelOnly="1" grandRow="1" outline="0" fieldPosition="0"/>
    </format>
    <format dxfId="621">
      <pivotArea dataOnly="0" labelOnly="1" outline="0" axis="axisValues" fieldPosition="0"/>
    </format>
    <format dxfId="620">
      <pivotArea type="all" dataOnly="0" outline="0" fieldPosition="0"/>
    </format>
    <format dxfId="619">
      <pivotArea outline="0" collapsedLevelsAreSubtotals="1" fieldPosition="0"/>
    </format>
    <format dxfId="618">
      <pivotArea field="7" type="button" dataOnly="0" labelOnly="1" outline="0" axis="axisCol" fieldPosition="0"/>
    </format>
    <format dxfId="617">
      <pivotArea dataOnly="0" labelOnly="1" outline="0" axis="axisValues" fieldPosition="0"/>
    </format>
    <format dxfId="616">
      <pivotArea dataOnly="0" labelOnly="1" grandRow="1" outline="0" fieldPosition="0"/>
    </format>
    <format dxfId="615">
      <pivotArea dataOnly="0" labelOnly="1" outline="0" axis="axisValues" fieldPosition="0"/>
    </format>
    <format dxfId="614">
      <pivotArea type="all" dataOnly="0" outline="0" fieldPosition="0"/>
    </format>
    <format dxfId="613">
      <pivotArea outline="0" collapsedLevelsAreSubtotals="1" fieldPosition="0"/>
    </format>
    <format dxfId="612">
      <pivotArea field="7" type="button" dataOnly="0" labelOnly="1" outline="0" axis="axisCol" fieldPosition="0"/>
    </format>
    <format dxfId="611">
      <pivotArea dataOnly="0" labelOnly="1" outline="0" axis="axisValues" fieldPosition="0"/>
    </format>
    <format dxfId="610">
      <pivotArea dataOnly="0" labelOnly="1" grandRow="1" outline="0" fieldPosition="0"/>
    </format>
    <format dxfId="609">
      <pivotArea dataOnly="0" labelOnly="1" outline="0" axis="axisValues" fieldPosition="0"/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7" type="button" dataOnly="0" labelOnly="1" outline="0" axis="axisCol" fieldPosition="0"/>
    </format>
    <format dxfId="605">
      <pivotArea dataOnly="0" labelOnly="1" outline="0" axis="axisValues" fieldPosition="0"/>
    </format>
    <format dxfId="604">
      <pivotArea dataOnly="0" labelOnly="1" grandRow="1" outline="0" fieldPosition="0"/>
    </format>
    <format dxfId="603">
      <pivotArea dataOnly="0" labelOnly="1" outline="0" axis="axisValues" fieldPosition="0"/>
    </format>
    <format dxfId="602">
      <pivotArea type="all" dataOnly="0" outline="0" fieldPosition="0"/>
    </format>
    <format dxfId="601">
      <pivotArea outline="0" collapsedLevelsAreSubtotals="1" fieldPosition="0"/>
    </format>
    <format dxfId="600">
      <pivotArea field="7" type="button" dataOnly="0" labelOnly="1" outline="0" axis="axisCol" fieldPosition="0"/>
    </format>
    <format dxfId="599">
      <pivotArea dataOnly="0" labelOnly="1" outline="0" axis="axisValues" fieldPosition="0"/>
    </format>
    <format dxfId="598">
      <pivotArea dataOnly="0" labelOnly="1" grandRow="1" outline="0" fieldPosition="0"/>
    </format>
    <format dxfId="597">
      <pivotArea dataOnly="0" labelOnly="1" outline="0" axis="axisValues" fieldPosition="0"/>
    </format>
    <format dxfId="596">
      <pivotArea outline="0" collapsedLevelsAreSubtotals="1" fieldPosition="0"/>
    </format>
    <format dxfId="595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9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9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592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59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590">
      <pivotArea dataOnly="0" labelOnly="1" fieldPosition="0">
        <references count="1">
          <reference field="16" count="1">
            <x v="352"/>
          </reference>
        </references>
      </pivotArea>
    </format>
    <format dxfId="58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588">
      <pivotArea dataOnly="0" labelOnly="1" fieldPosition="0">
        <references count="1">
          <reference field="16" count="1">
            <x v="433"/>
          </reference>
        </references>
      </pivotArea>
    </format>
    <format dxfId="58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586">
      <pivotArea dataOnly="0" labelOnly="1" fieldPosition="0">
        <references count="1">
          <reference field="16" count="1">
            <x v="448"/>
          </reference>
        </references>
      </pivotArea>
    </format>
    <format dxfId="58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584">
      <pivotArea dataOnly="0" labelOnly="1" fieldPosition="0">
        <references count="1">
          <reference field="16" count="1">
            <x v="104"/>
          </reference>
        </references>
      </pivotArea>
    </format>
    <format dxfId="58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582">
      <pivotArea dataOnly="0" labelOnly="1" fieldPosition="0">
        <references count="1">
          <reference field="16" count="1">
            <x v="68"/>
          </reference>
        </references>
      </pivotArea>
    </format>
    <format dxfId="58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580">
      <pivotArea dataOnly="0" labelOnly="1" fieldPosition="0">
        <references count="1">
          <reference field="16" count="1">
            <x v="409"/>
          </reference>
        </references>
      </pivotArea>
    </format>
    <format dxfId="579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578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577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576">
      <pivotArea type="all" dataOnly="0" outline="0" fieldPosition="0"/>
    </format>
    <format dxfId="575">
      <pivotArea outline="0" collapsedLevelsAreSubtotals="1" fieldPosition="0"/>
    </format>
    <format dxfId="574">
      <pivotArea type="origin" dataOnly="0" labelOnly="1" outline="0" fieldPosition="0"/>
    </format>
    <format dxfId="573">
      <pivotArea field="7" type="button" dataOnly="0" labelOnly="1" outline="0" axis="axisCol" fieldPosition="0"/>
    </format>
    <format dxfId="572">
      <pivotArea field="-2" type="button" dataOnly="0" labelOnly="1" outline="0" axis="axisCol" fieldPosition="1"/>
    </format>
    <format dxfId="571">
      <pivotArea type="topRight" dataOnly="0" labelOnly="1" outline="0" fieldPosition="0"/>
    </format>
    <format dxfId="570">
      <pivotArea field="16" type="button" dataOnly="0" labelOnly="1" outline="0" axis="axisRow" fieldPosition="0"/>
    </format>
    <format dxfId="569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568">
      <pivotArea dataOnly="0" labelOnly="1" grandRow="1" outline="0" fieldPosition="0"/>
    </format>
    <format dxfId="567">
      <pivotArea dataOnly="0" labelOnly="1" fieldPosition="0">
        <references count="1">
          <reference field="7" count="0"/>
        </references>
      </pivotArea>
    </format>
    <format dxfId="56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5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Campeonatos_LayCS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671">
      <pivotArea type="all" dataOnly="0" outline="0" fieldPosition="0"/>
    </format>
    <format dxfId="670">
      <pivotArea field="7" type="button" dataOnly="0" labelOnly="1" outline="0" axis="axisPage" fieldPosition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 axis="axisPage" fieldPosition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 axis="axisPage" fieldPosition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 axis="axisPage" fieldPosition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 axis="axisPage" fieldPosition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 axis="axisPage" fieldPosition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 axis="axisPage" fieldPosition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Placar" cacheId="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3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2"/>
    </i>
    <i>
      <x v="12"/>
    </i>
    <i>
      <x v="32"/>
    </i>
    <i>
      <x v="19"/>
    </i>
    <i>
      <x v="5"/>
    </i>
    <i>
      <x v="18"/>
    </i>
    <i>
      <x v="44"/>
    </i>
    <i>
      <x v="24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372">
      <pivotArea outline="0" collapsedLevelsAreSubtotals="1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1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1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1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1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5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_Mensal" cacheId="1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389">
      <pivotArea outline="0" collapsedLevelsAreSubtotals="1" fieldPosition="0"/>
    </format>
    <format dxfId="388">
      <pivotArea type="all" dataOnly="0" outline="0" fieldPosition="0"/>
    </format>
    <format dxfId="387">
      <pivotArea outline="0" collapsedLevelsAreSubtotals="1" fieldPosition="0"/>
    </format>
    <format dxfId="386">
      <pivotArea field="0" type="button" dataOnly="0" labelOnly="1" outline="0" axis="axisRow" fieldPosition="0"/>
    </format>
    <format dxfId="385">
      <pivotArea dataOnly="0" labelOnly="1" outline="0" axis="axisValues" fieldPosition="0"/>
    </format>
    <format dxfId="384">
      <pivotArea dataOnly="0" labelOnly="1" fieldPosition="0">
        <references count="1">
          <reference field="0" count="0"/>
        </references>
      </pivotArea>
    </format>
    <format dxfId="383">
      <pivotArea dataOnly="0" labelOnly="1" grandRow="1" outline="0" fieldPosition="0"/>
    </format>
    <format dxfId="382">
      <pivotArea dataOnly="0" labelOnly="1" fieldPosition="0">
        <references count="2">
          <reference field="0" count="0" selected="0"/>
          <reference field="2" count="0"/>
        </references>
      </pivotArea>
    </format>
    <format dxfId="381">
      <pivotArea dataOnly="0" labelOnly="1" outline="0" axis="axisValues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0" type="button" dataOnly="0" labelOnly="1" outline="0" axis="axisRow" fieldPosition="0"/>
    </format>
    <format dxfId="377">
      <pivotArea dataOnly="0" labelOnly="1" outline="0" axis="axisValues" fieldPosition="0"/>
    </format>
    <format dxfId="376">
      <pivotArea dataOnly="0" labelOnly="1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fieldPosition="0">
        <references count="2">
          <reference field="0" count="0" selected="0"/>
          <reference field="2" count="0"/>
        </references>
      </pivotArea>
    </format>
    <format dxfId="37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6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18">
      <pivotArea outline="0" collapsedLevelsAreSubtotals="1" fieldPosition="0"/>
    </format>
    <format dxfId="417">
      <pivotArea type="all" dataOnly="0" outline="0" fieldPosition="0"/>
    </format>
    <format dxfId="416">
      <pivotArea outline="0" collapsedLevelsAreSubtotals="1" fieldPosition="0"/>
    </format>
    <format dxfId="415">
      <pivotArea field="1" type="button" dataOnly="0" labelOnly="1" outline="0" axis="axisRow" fieldPosition="0"/>
    </format>
    <format dxfId="414">
      <pivotArea dataOnly="0" labelOnly="1" outline="0" axis="axisValues" fieldPosition="0"/>
    </format>
    <format dxfId="413">
      <pivotArea dataOnly="0" labelOnly="1" fieldPosition="0">
        <references count="1">
          <reference field="1" count="0"/>
        </references>
      </pivotArea>
    </format>
    <format dxfId="412">
      <pivotArea dataOnly="0" labelOnly="1" grandRow="1" outline="0" fieldPosition="0"/>
    </format>
    <format dxfId="411">
      <pivotArea dataOnly="0" labelOnly="1" outline="0" axis="axisValues" fieldPosition="0"/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field="1" type="button" dataOnly="0" labelOnly="1" outline="0" axis="axisRow" fieldPosition="0"/>
    </format>
    <format dxfId="407">
      <pivotArea dataOnly="0" labelOnly="1" outline="0" axis="axisValues" fieldPosition="0"/>
    </format>
    <format dxfId="406">
      <pivotArea dataOnly="0" labelOnly="1" fieldPosition="0">
        <references count="1">
          <reference field="1" count="0"/>
        </references>
      </pivotArea>
    </format>
    <format dxfId="405">
      <pivotArea dataOnly="0" labelOnly="1" grandRow="1" outline="0" fieldPosition="0"/>
    </format>
    <format dxfId="404">
      <pivotArea dataOnly="0" labelOnly="1" outline="0" axis="axisValues" fieldPosition="0"/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field="1" type="button" dataOnly="0" labelOnly="1" outline="0" axis="axisRow" fieldPosition="0"/>
    </format>
    <format dxfId="400">
      <pivotArea dataOnly="0" labelOnly="1" outline="0" axis="axisValues" fieldPosition="0"/>
    </format>
    <format dxfId="399">
      <pivotArea dataOnly="0" labelOnly="1" fieldPosition="0">
        <references count="1">
          <reference field="1" count="0"/>
        </references>
      </pivotArea>
    </format>
    <format dxfId="398">
      <pivotArea dataOnly="0" labelOnly="1" grandRow="1" outline="0" fieldPosition="0"/>
    </format>
    <format dxfId="397">
      <pivotArea dataOnly="0" labelOnly="1" outline="0" axis="axisValues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1" type="button" dataOnly="0" labelOnly="1" outline="0" axis="axisRow" fieldPosition="0"/>
    </format>
    <format dxfId="393">
      <pivotArea dataOnly="0" labelOnly="1" outline="0" axis="axisValues" fieldPosition="0"/>
    </format>
    <format dxfId="392">
      <pivotArea dataOnly="0" labelOnly="1" fieldPosition="0">
        <references count="1">
          <reference field="1" count="0"/>
        </references>
      </pivotArea>
    </format>
    <format dxfId="391">
      <pivotArea dataOnly="0" labelOnly="1" grandRow="1" outline="0" fieldPosition="0"/>
    </format>
    <format dxfId="390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9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443">
      <pivotArea outline="0" collapsedLevelsAreSubtotals="1" fieldPosition="0"/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dataOnly="0" labelOnly="1" outline="0" axis="axisValues" fieldPosition="0"/>
    </format>
    <format dxfId="439">
      <pivotArea dataOnly="0" labelOnly="1" grandRow="1" outline="0" fieldPosition="0"/>
    </format>
    <format dxfId="438">
      <pivotArea dataOnly="0" labelOnly="1" outline="0" axis="axisValues" fieldPosition="0"/>
    </format>
    <format dxfId="437">
      <pivotArea type="all" dataOnly="0" outline="0" fieldPosition="0"/>
    </format>
    <format dxfId="436">
      <pivotArea outline="0" collapsedLevelsAreSubtotals="1" fieldPosition="0"/>
    </format>
    <format dxfId="435">
      <pivotArea dataOnly="0" labelOnly="1" outline="0" axis="axisValues" fieldPosition="0"/>
    </format>
    <format dxfId="434">
      <pivotArea dataOnly="0" labelOnly="1" grandRow="1" outline="0" fieldPosition="0"/>
    </format>
    <format dxfId="433">
      <pivotArea dataOnly="0" labelOnly="1" outline="0" axis="axisValues" fieldPosition="0"/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1" type="button" dataOnly="0" labelOnly="1" outline="0" axis="axisRow" fieldPosition="0"/>
    </format>
    <format dxfId="429">
      <pivotArea dataOnly="0" labelOnly="1" outline="0" axis="axisValues" fieldPosition="0"/>
    </format>
    <format dxfId="428">
      <pivotArea dataOnly="0" labelOnly="1" fieldPosition="0">
        <references count="1">
          <reference field="1" count="0"/>
        </references>
      </pivotArea>
    </format>
    <format dxfId="427">
      <pivotArea dataOnly="0" labelOnly="1" grandRow="1" outline="0" fieldPosition="0"/>
    </format>
    <format dxfId="426">
      <pivotArea dataOnly="0" labelOnly="1" outline="0" axis="axisValues" fieldPosition="0"/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field="1" type="button" dataOnly="0" labelOnly="1" outline="0" axis="axisRow" fieldPosition="0"/>
    </format>
    <format dxfId="422">
      <pivotArea dataOnly="0" labelOnly="1" outline="0" axis="axisValues" fieldPosition="0"/>
    </format>
    <format dxfId="421">
      <pivotArea dataOnly="0" labelOnly="1" fieldPosition="0">
        <references count="1">
          <reference field="1" count="0"/>
        </references>
      </pivotArea>
    </format>
    <format dxfId="420">
      <pivotArea dataOnly="0" labelOnly="1" grandRow="1" outline="0" fieldPosition="0"/>
    </format>
    <format dxfId="419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8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477">
      <pivotArea outline="0" collapsedLevelsAreSubtotals="1" fieldPosition="0"/>
    </format>
    <format dxfId="476">
      <pivotArea type="all" dataOnly="0" outline="0" fieldPosition="0"/>
    </format>
    <format dxfId="475">
      <pivotArea outline="0" collapsedLevelsAreSubtotals="1" fieldPosition="0"/>
    </format>
    <format dxfId="474">
      <pivotArea dataOnly="0" labelOnly="1" outline="0" axis="axisValues" fieldPosition="0"/>
    </format>
    <format dxfId="473">
      <pivotArea dataOnly="0" labelOnly="1" grandRow="1" outline="0" fieldPosition="0"/>
    </format>
    <format dxfId="472">
      <pivotArea dataOnly="0" labelOnly="1" outline="0" axis="axisValues" fieldPosition="0"/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dataOnly="0" labelOnly="1" outline="0" axis="axisValues" fieldPosition="0"/>
    </format>
    <format dxfId="468">
      <pivotArea dataOnly="0" labelOnly="1" grandRow="1" outline="0" fieldPosition="0"/>
    </format>
    <format dxfId="467">
      <pivotArea dataOnly="0" labelOnly="1" outline="0" axis="axisValues" fieldPosition="0"/>
    </format>
    <format dxfId="466">
      <pivotArea outline="0" collapsedLevelsAreSubtotals="1" fieldPosition="0"/>
    </format>
    <format dxfId="465">
      <pivotArea outline="0" collapsedLevelsAreSubtotals="1" fieldPosition="0"/>
    </format>
    <format dxfId="464">
      <pivotArea outline="0" collapsedLevelsAreSubtotals="1" fieldPosition="0"/>
    </format>
    <format dxfId="4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61">
      <pivotArea type="all" dataOnly="0" outline="0" fieldPosition="0"/>
    </format>
    <format dxfId="460">
      <pivotArea outline="0" collapsedLevelsAreSubtotals="1" fieldPosition="0"/>
    </format>
    <format dxfId="459">
      <pivotArea field="0" type="button" dataOnly="0" labelOnly="1" outline="0" axis="axisRow" fieldPosition="0"/>
    </format>
    <format dxfId="45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57">
      <pivotArea dataOnly="0" labelOnly="1" grandRow="1" outline="0" fieldPosition="0"/>
    </format>
    <format dxfId="45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55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5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2">
      <pivotArea type="all" dataOnly="0" outline="0" fieldPosition="0"/>
    </format>
    <format dxfId="451">
      <pivotArea outline="0" collapsedLevelsAreSubtotals="1" fieldPosition="0"/>
    </format>
    <format dxfId="450">
      <pivotArea field="0" type="button" dataOnly="0" labelOnly="1" outline="0" axis="axisRow" fieldPosition="0"/>
    </format>
    <format dxfId="44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48">
      <pivotArea dataOnly="0" labelOnly="1" grandRow="1" outline="0" fieldPosition="0"/>
    </format>
    <format dxfId="44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46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4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5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4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492">
      <pivotArea outline="0" collapsedLevelsAreSubtotals="1" fieldPosition="0"/>
    </format>
    <format dxfId="491">
      <pivotArea type="all" dataOnly="0" outline="0" fieldPosition="0"/>
    </format>
    <format dxfId="490">
      <pivotArea outline="0" collapsedLevelsAreSubtotals="1" fieldPosition="0"/>
    </format>
    <format dxfId="489">
      <pivotArea field="0" type="button" dataOnly="0" labelOnly="1" outline="0" axis="axisRow" fieldPosition="0"/>
    </format>
    <format dxfId="488">
      <pivotArea dataOnly="0" labelOnly="1" outline="0" axis="axisValues" fieldPosition="0"/>
    </format>
    <format dxfId="487">
      <pivotArea dataOnly="0" labelOnly="1" fieldPosition="0">
        <references count="1">
          <reference field="0" count="0"/>
        </references>
      </pivotArea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type="all" dataOnly="0" outline="0" fieldPosition="0"/>
    </format>
    <format dxfId="483">
      <pivotArea outline="0" collapsedLevelsAreSubtotals="1" fieldPosition="0"/>
    </format>
    <format dxfId="482">
      <pivotArea field="0" type="button" dataOnly="0" labelOnly="1" outline="0" axis="axisRow" fieldPosition="0"/>
    </format>
    <format dxfId="481">
      <pivotArea dataOnly="0" labelOnly="1" outline="0" axis="axisValues" fieldPosition="0"/>
    </format>
    <format dxfId="480">
      <pivotArea dataOnly="0" labelOnly="1" fieldPosition="0">
        <references count="1">
          <reference field="0" count="0"/>
        </references>
      </pivotArea>
    </format>
    <format dxfId="479">
      <pivotArea dataOnly="0" labelOnly="1" grandRow="1" outline="0" fieldPosition="0"/>
    </format>
    <format dxfId="47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" cacheId="7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/>
    </i>
    <i>
      <x v="12"/>
    </i>
    <i>
      <x v="5"/>
    </i>
    <i>
      <x v="6"/>
    </i>
    <i>
      <x v="15"/>
    </i>
    <i>
      <x v="1"/>
    </i>
    <i>
      <x v="17"/>
    </i>
    <i>
      <x v="14"/>
    </i>
    <i>
      <x v="9"/>
    </i>
    <i>
      <x v="18"/>
    </i>
    <i>
      <x v="4"/>
    </i>
    <i>
      <x v="10"/>
    </i>
    <i>
      <x v="2"/>
    </i>
    <i>
      <x v="11"/>
    </i>
    <i>
      <x v="3"/>
    </i>
    <i>
      <x v="13"/>
    </i>
    <i>
      <x v="8"/>
    </i>
    <i>
      <x v="16"/>
    </i>
    <i>
      <x v="7"/>
    </i>
    <i t="grand">
      <x/>
    </i>
  </rowItems>
  <colItems count="1">
    <i/>
  </colItems>
  <dataFields count="1">
    <dataField name="Soma de L/P Líquido" fld="0" baseField="0" baseItem="0"/>
  </dataFields>
  <formats count="25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dataOnly="0" labelOnly="1" outline="0" axis="axisValues" fieldPosition="0"/>
    </format>
    <format dxfId="513">
      <pivotArea dataOnly="0" labelOnly="1" grandRow="1" outline="0" fieldPosition="0"/>
    </format>
    <format dxfId="512">
      <pivotArea dataOnly="0" labelOnly="1" outline="0" axis="axisValues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dataOnly="0" labelOnly="1" grandRow="1" outline="0" fieldPosition="0"/>
    </format>
    <format dxfId="507">
      <pivotArea dataOnly="0" labelOnly="1" outline="0" axis="axisValues" fieldPosition="0"/>
    </format>
    <format dxfId="506">
      <pivotArea type="all" dataOnly="0" outline="0" fieldPosition="0"/>
    </format>
    <format dxfId="505">
      <pivotArea outline="0" collapsedLevelsAreSubtotals="1" fieldPosition="0"/>
    </format>
    <format dxfId="504">
      <pivotArea field="1" type="button" dataOnly="0" labelOnly="1" outline="0" axis="axisRow" fieldPosition="0"/>
    </format>
    <format dxfId="503">
      <pivotArea dataOnly="0" labelOnly="1" outline="0" axis="axisValues" fieldPosition="0"/>
    </format>
    <format dxfId="502">
      <pivotArea dataOnly="0" labelOnly="1" fieldPosition="0">
        <references count="1">
          <reference field="1" count="0"/>
        </references>
      </pivotArea>
    </format>
    <format dxfId="501">
      <pivotArea dataOnly="0" labelOnly="1" grandRow="1" outline="0" fieldPosition="0"/>
    </format>
    <format dxfId="500">
      <pivotArea dataOnly="0" labelOnly="1" outline="0" axis="axisValues" fieldPosition="0"/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field="1" type="button" dataOnly="0" labelOnly="1" outline="0" axis="axisRow" fieldPosition="0"/>
    </format>
    <format dxfId="496">
      <pivotArea dataOnly="0" labelOnly="1" outline="0" axis="axisValues" fieldPosition="0"/>
    </format>
    <format dxfId="495">
      <pivotArea dataOnly="0" labelOnly="1" fieldPosition="0">
        <references count="1">
          <reference field="1" count="0"/>
        </references>
      </pivotArea>
    </format>
    <format dxfId="494">
      <pivotArea dataOnly="0" labelOnly="1" grandRow="1" outline="0" fieldPosition="0"/>
    </format>
    <format dxfId="49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59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9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67">
      <pivotArea type="all" dataOnly="0" outline="0" fieldPosition="0"/>
    </format>
    <format dxfId="166">
      <pivotArea outline="0" collapsedLevelsAreSubtotals="1" fieldPosition="0"/>
    </format>
    <format dxfId="165">
      <pivotArea field="3" type="button" dataOnly="0" labelOnly="1" outline="0"/>
    </format>
    <format dxfId="164">
      <pivotArea dataOnly="0" labelOnly="1" outline="0" axis="axisValues" fieldPosition="0"/>
    </format>
    <format dxfId="163">
      <pivotArea dataOnly="0" labelOnly="1" grandRow="1" outline="0" fieldPosition="0"/>
    </format>
    <format dxfId="162">
      <pivotArea dataOnly="0" labelOnly="1" outline="0" axis="axisValues" fieldPosition="0"/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field="3" type="button" dataOnly="0" labelOnly="1" outline="0"/>
    </format>
    <format dxfId="158">
      <pivotArea dataOnly="0" labelOnly="1" outline="0" axis="axisValues" fieldPosition="0"/>
    </format>
    <format dxfId="157">
      <pivotArea dataOnly="0" labelOnly="1" grandRow="1" outline="0" fieldPosition="0"/>
    </format>
    <format dxfId="156">
      <pivotArea dataOnly="0" labelOnly="1" outline="0" axis="axisValues" fieldPosition="0"/>
    </format>
    <format dxfId="155">
      <pivotArea outline="0" collapsedLevelsAreSubtotals="1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3" type="button" dataOnly="0" labelOnly="1" outline="0"/>
    </format>
    <format dxfId="151">
      <pivotArea dataOnly="0" labelOnly="1" outline="0" axis="axisValues" fieldPosition="0"/>
    </format>
    <format dxfId="150">
      <pivotArea dataOnly="0" labelOnly="1" grandRow="1" outline="0" fieldPosition="0"/>
    </format>
    <format dxfId="149">
      <pivotArea dataOnly="0" labelOnly="1" outline="0" axis="axisValues" fieldPosition="0"/>
    </format>
    <format dxfId="1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6">
      <pivotArea type="all" dataOnly="0" outline="0" fieldPosition="0"/>
    </format>
    <format dxfId="145">
      <pivotArea outline="0" collapsedLevelsAreSubtotals="1" fieldPosition="0"/>
    </format>
    <format dxfId="144">
      <pivotArea field="7" type="button" dataOnly="0" labelOnly="1" outline="0" axis="axisPage" fieldPosition="0"/>
    </format>
    <format dxfId="143">
      <pivotArea dataOnly="0" labelOnly="1" fieldPosition="0">
        <references count="1">
          <reference field="7" count="0"/>
        </references>
      </pivotArea>
    </format>
    <format dxfId="142">
      <pivotArea dataOnly="0" labelOnly="1" grandRow="1" outline="0" fieldPosition="0"/>
    </format>
    <format dxfId="1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7" type="button" dataOnly="0" labelOnly="1" outline="0" axis="axisPage" fieldPosition="0"/>
    </format>
    <format dxfId="137">
      <pivotArea dataOnly="0" labelOnly="1" fieldPosition="0">
        <references count="1">
          <reference field="7" count="0"/>
        </references>
      </pivotArea>
    </format>
    <format dxfId="136">
      <pivotArea dataOnly="0" labelOnly="1" grandRow="1" outline="0" fieldPosition="0"/>
    </format>
    <format dxfId="1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7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00">
      <pivotArea type="all" dataOnly="0" outline="0" fieldPosition="0"/>
    </format>
    <format dxfId="199">
      <pivotArea outline="0" collapsedLevelsAreSubtotals="1" fieldPosition="0"/>
    </format>
    <format dxfId="198">
      <pivotArea field="3" type="button" dataOnly="0" labelOnly="1" outline="0"/>
    </format>
    <format dxfId="197">
      <pivotArea dataOnly="0" labelOnly="1" outline="0" axis="axisValues" fieldPosition="0"/>
    </format>
    <format dxfId="196">
      <pivotArea dataOnly="0" labelOnly="1" grandRow="1" outline="0" fieldPosition="0"/>
    </format>
    <format dxfId="195">
      <pivotArea dataOnly="0" labelOnly="1" outline="0" axis="axisValues" fieldPosition="0"/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3" type="button" dataOnly="0" labelOnly="1" outline="0"/>
    </format>
    <format dxfId="191">
      <pivotArea dataOnly="0" labelOnly="1" outline="0" axis="axisValues" fieldPosition="0"/>
    </format>
    <format dxfId="190">
      <pivotArea dataOnly="0" labelOnly="1" grandRow="1" outline="0" fieldPosition="0"/>
    </format>
    <format dxfId="189">
      <pivotArea dataOnly="0" labelOnly="1" outline="0" axis="axisValues" fieldPosition="0"/>
    </format>
    <format dxfId="188">
      <pivotArea outline="0" collapsedLevelsAreSubtotals="1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3" type="button" dataOnly="0" labelOnly="1" outline="0"/>
    </format>
    <format dxfId="184">
      <pivotArea dataOnly="0" labelOnly="1" outline="0" axis="axisValues" fieldPosition="0"/>
    </format>
    <format dxfId="183">
      <pivotArea dataOnly="0" labelOnly="1" grandRow="1" outline="0" fieldPosition="0"/>
    </format>
    <format dxfId="182">
      <pivotArea dataOnly="0" labelOnly="1" outline="0" axis="axisValues" fieldPosition="0"/>
    </format>
    <format dxfId="18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8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field="6" type="button" dataOnly="0" labelOnly="1" outline="0" axis="axisRow" fieldPosition="0"/>
    </format>
    <format dxfId="176">
      <pivotArea dataOnly="0" labelOnly="1" fieldPosition="0">
        <references count="1">
          <reference field="6" count="0"/>
        </references>
      </pivotArea>
    </format>
    <format dxfId="175">
      <pivotArea dataOnly="0" labelOnly="1" grandRow="1" outline="0" fieldPosition="0"/>
    </format>
    <format dxfId="1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field="6" type="button" dataOnly="0" labelOnly="1" outline="0" axis="axisRow" fieldPosition="0"/>
    </format>
    <format dxfId="170">
      <pivotArea dataOnly="0" labelOnly="1" fieldPosition="0">
        <references count="1">
          <reference field="6" count="0"/>
        </references>
      </pivotArea>
    </format>
    <format dxfId="169">
      <pivotArea dataOnly="0" labelOnly="1" grandRow="1" outline="0" fieldPosition="0"/>
    </format>
    <format dxfId="1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6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3" type="button" dataOnly="0" labelOnly="1" outline="0"/>
    </format>
    <format dxfId="230">
      <pivotArea dataOnly="0" labelOnly="1" outline="0" axis="axisValues" fieldPosition="0"/>
    </format>
    <format dxfId="229">
      <pivotArea dataOnly="0" labelOnly="1" grandRow="1" outline="0" fieldPosition="0"/>
    </format>
    <format dxfId="228">
      <pivotArea dataOnly="0" labelOnly="1" outline="0" axis="axisValues" fieldPosition="0"/>
    </format>
    <format dxfId="227">
      <pivotArea type="all" dataOnly="0" outline="0" fieldPosition="0"/>
    </format>
    <format dxfId="226">
      <pivotArea outline="0" collapsedLevelsAreSubtotals="1" fieldPosition="0"/>
    </format>
    <format dxfId="225">
      <pivotArea field="3" type="button" dataOnly="0" labelOnly="1" outline="0"/>
    </format>
    <format dxfId="224">
      <pivotArea dataOnly="0" labelOnly="1" outline="0" axis="axisValues" fieldPosition="0"/>
    </format>
    <format dxfId="223">
      <pivotArea dataOnly="0" labelOnly="1" grandRow="1" outline="0" fieldPosition="0"/>
    </format>
    <format dxfId="222">
      <pivotArea dataOnly="0" labelOnly="1" outline="0" axis="axisValues" fieldPosition="0"/>
    </format>
    <format dxfId="221">
      <pivotArea outline="0" collapsedLevelsAreSubtotals="1" fieldPosition="0"/>
    </format>
    <format dxfId="220">
      <pivotArea type="all" dataOnly="0" outline="0" fieldPosition="0"/>
    </format>
    <format dxfId="219">
      <pivotArea outline="0" collapsedLevelsAreSubtotals="1" fieldPosition="0"/>
    </format>
    <format dxfId="218">
      <pivotArea field="3" type="button" dataOnly="0" labelOnly="1" outline="0"/>
    </format>
    <format dxfId="217">
      <pivotArea dataOnly="0" labelOnly="1" outline="0" axis="axisValues" fieldPosition="0"/>
    </format>
    <format dxfId="216">
      <pivotArea dataOnly="0" labelOnly="1" grandRow="1" outline="0" fieldPosition="0"/>
    </format>
    <format dxfId="215">
      <pivotArea dataOnly="0" labelOnly="1" outline="0" axis="axisValues" fieldPosition="0"/>
    </format>
    <format dxfId="2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2">
      <pivotArea type="all" dataOnly="0" outline="0" fieldPosition="0"/>
    </format>
    <format dxfId="211">
      <pivotArea outline="0" collapsedLevelsAreSubtotals="1" fieldPosition="0"/>
    </format>
    <format dxfId="210">
      <pivotArea field="10" type="button" dataOnly="0" labelOnly="1" outline="0" axis="axisRow" fieldPosition="0"/>
    </format>
    <format dxfId="209">
      <pivotArea dataOnly="0" labelOnly="1" fieldPosition="0">
        <references count="1">
          <reference field="10" count="0"/>
        </references>
      </pivotArea>
    </format>
    <format dxfId="208">
      <pivotArea dataOnly="0" labelOnly="1" grandRow="1" outline="0" fieldPosition="0"/>
    </format>
    <format dxfId="2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10" type="button" dataOnly="0" labelOnly="1" outline="0" axis="axisRow" fieldPosition="0"/>
    </format>
    <format dxfId="203">
      <pivotArea dataOnly="0" labelOnly="1" fieldPosition="0">
        <references count="1">
          <reference field="10" count="0"/>
        </references>
      </pivotArea>
    </format>
    <format dxfId="202">
      <pivotArea dataOnly="0" labelOnly="1" grandRow="1" outline="0" fieldPosition="0"/>
    </format>
    <format dxfId="2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4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66">
      <pivotArea type="all" dataOnly="0" outline="0" fieldPosition="0"/>
    </format>
    <format dxfId="265">
      <pivotArea outline="0" collapsedLevelsAreSubtotals="1" fieldPosition="0"/>
    </format>
    <format dxfId="264">
      <pivotArea field="3" type="button" dataOnly="0" labelOnly="1" outline="0"/>
    </format>
    <format dxfId="263">
      <pivotArea dataOnly="0" labelOnly="1" outline="0" axis="axisValues" fieldPosition="0"/>
    </format>
    <format dxfId="262">
      <pivotArea dataOnly="0" labelOnly="1" grandRow="1" outline="0" fieldPosition="0"/>
    </format>
    <format dxfId="261">
      <pivotArea dataOnly="0" labelOnly="1" outline="0" axis="axisValues" fieldPosition="0"/>
    </format>
    <format dxfId="260">
      <pivotArea type="all" dataOnly="0" outline="0" fieldPosition="0"/>
    </format>
    <format dxfId="259">
      <pivotArea outline="0" collapsedLevelsAreSubtotals="1" fieldPosition="0"/>
    </format>
    <format dxfId="258">
      <pivotArea field="3" type="button" dataOnly="0" labelOnly="1" outline="0"/>
    </format>
    <format dxfId="257">
      <pivotArea dataOnly="0" labelOnly="1" outline="0" axis="axisValues" fieldPosition="0"/>
    </format>
    <format dxfId="256">
      <pivotArea dataOnly="0" labelOnly="1" grandRow="1" outline="0" fieldPosition="0"/>
    </format>
    <format dxfId="255">
      <pivotArea dataOnly="0" labelOnly="1" outline="0" axis="axisValues" fieldPosition="0"/>
    </format>
    <format dxfId="254">
      <pivotArea outline="0" collapsedLevelsAreSubtotals="1" fieldPosition="0"/>
    </format>
    <format dxfId="253">
      <pivotArea type="all" dataOnly="0" outline="0" fieldPosition="0"/>
    </format>
    <format dxfId="252">
      <pivotArea outline="0" collapsedLevelsAreSubtotals="1" fieldPosition="0"/>
    </format>
    <format dxfId="251">
      <pivotArea field="3" type="button" dataOnly="0" labelOnly="1" outline="0"/>
    </format>
    <format dxfId="250">
      <pivotArea dataOnly="0" labelOnly="1" outline="0" axis="axisValues" fieldPosition="0"/>
    </format>
    <format dxfId="249">
      <pivotArea dataOnly="0" labelOnly="1" grandRow="1" outline="0" fieldPosition="0"/>
    </format>
    <format dxfId="248">
      <pivotArea dataOnly="0" labelOnly="1" outline="0" axis="axisValues" fieldPosition="0"/>
    </format>
    <format dxfId="2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5">
      <pivotArea type="all" dataOnly="0" outline="0" fieldPosition="0"/>
    </format>
    <format dxfId="244">
      <pivotArea outline="0" collapsedLevelsAreSubtotals="1" fieldPosition="0"/>
    </format>
    <format dxfId="243">
      <pivotArea field="9" type="button" dataOnly="0" labelOnly="1" outline="0" axis="axisRow" fieldPosition="0"/>
    </format>
    <format dxfId="242">
      <pivotArea dataOnly="0" labelOnly="1" fieldPosition="0">
        <references count="1">
          <reference field="9" count="0"/>
        </references>
      </pivotArea>
    </format>
    <format dxfId="241">
      <pivotArea dataOnly="0" labelOnly="1" grandRow="1" outline="0" fieldPosition="0"/>
    </format>
    <format dxfId="2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9">
      <pivotArea type="all" dataOnly="0" outline="0" fieldPosition="0"/>
    </format>
    <format dxfId="238">
      <pivotArea outline="0" collapsedLevelsAreSubtotals="1" fieldPosition="0"/>
    </format>
    <format dxfId="237">
      <pivotArea field="9" type="button" dataOnly="0" labelOnly="1" outline="0" axis="axisRow" fieldPosition="0"/>
    </format>
    <format dxfId="236">
      <pivotArea dataOnly="0" labelOnly="1" fieldPosition="0">
        <references count="1">
          <reference field="9" count="0"/>
        </references>
      </pivotArea>
    </format>
    <format dxfId="235">
      <pivotArea dataOnly="0" labelOnly="1" grandRow="1" outline="0" fieldPosition="0"/>
    </format>
    <format dxfId="2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99">
      <pivotArea type="all" dataOnly="0" outline="0" fieldPosition="0"/>
    </format>
    <format dxfId="298">
      <pivotArea outline="0" collapsedLevelsAreSubtotals="1" fieldPosition="0"/>
    </format>
    <format dxfId="297">
      <pivotArea field="3" type="button" dataOnly="0" labelOnly="1" outline="0"/>
    </format>
    <format dxfId="296">
      <pivotArea dataOnly="0" labelOnly="1" outline="0" axis="axisValues" fieldPosition="0"/>
    </format>
    <format dxfId="295">
      <pivotArea dataOnly="0" labelOnly="1" grandRow="1" outline="0" fieldPosition="0"/>
    </format>
    <format dxfId="294">
      <pivotArea dataOnly="0" labelOnly="1" outline="0" axis="axisValues" fieldPosition="0"/>
    </format>
    <format dxfId="293">
      <pivotArea type="all" dataOnly="0" outline="0" fieldPosition="0"/>
    </format>
    <format dxfId="292">
      <pivotArea outline="0" collapsedLevelsAreSubtotals="1" fieldPosition="0"/>
    </format>
    <format dxfId="291">
      <pivotArea field="3" type="button" dataOnly="0" labelOnly="1" outline="0"/>
    </format>
    <format dxfId="290">
      <pivotArea dataOnly="0" labelOnly="1" outline="0" axis="axisValues" fieldPosition="0"/>
    </format>
    <format dxfId="289">
      <pivotArea dataOnly="0" labelOnly="1" grandRow="1" outline="0" fieldPosition="0"/>
    </format>
    <format dxfId="288">
      <pivotArea dataOnly="0" labelOnly="1" outline="0" axis="axisValues" fieldPosition="0"/>
    </format>
    <format dxfId="287">
      <pivotArea outline="0" collapsedLevelsAreSubtotals="1" fieldPosition="0"/>
    </format>
    <format dxfId="286">
      <pivotArea type="all" dataOnly="0" outline="0" fieldPosition="0"/>
    </format>
    <format dxfId="285">
      <pivotArea outline="0" collapsedLevelsAreSubtotals="1" fieldPosition="0"/>
    </format>
    <format dxfId="284">
      <pivotArea field="3" type="button" dataOnly="0" labelOnly="1" outline="0"/>
    </format>
    <format dxfId="283">
      <pivotArea dataOnly="0" labelOnly="1" outline="0" axis="axisValues" fieldPosition="0"/>
    </format>
    <format dxfId="282">
      <pivotArea dataOnly="0" labelOnly="1" grandRow="1" outline="0" fieldPosition="0"/>
    </format>
    <format dxfId="281">
      <pivotArea dataOnly="0" labelOnly="1" outline="0" axis="axisValues" fieldPosition="0"/>
    </format>
    <format dxfId="2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7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7" type="button" dataOnly="0" labelOnly="1" outline="0" axis="axisRow" fieldPosition="0"/>
    </format>
    <format dxfId="275">
      <pivotArea dataOnly="0" labelOnly="1" fieldPosition="0">
        <references count="1">
          <reference field="7" count="0"/>
        </references>
      </pivotArea>
    </format>
    <format dxfId="274">
      <pivotArea dataOnly="0" labelOnly="1" grandRow="1" outline="0" fieldPosition="0"/>
    </format>
    <format dxfId="2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7" type="button" dataOnly="0" labelOnly="1" outline="0" axis="axisRow" fieldPosition="0"/>
    </format>
    <format dxfId="269">
      <pivotArea dataOnly="0" labelOnly="1" fieldPosition="0">
        <references count="1">
          <reference field="7" count="0"/>
        </references>
      </pivotArea>
    </format>
    <format dxfId="268">
      <pivotArea dataOnly="0" labelOnly="1" grandRow="1" outline="0" fieldPosition="0"/>
    </format>
    <format dxfId="2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336">
      <pivotArea type="all" dataOnly="0" outline="0" fieldPosition="0"/>
    </format>
    <format dxfId="335">
      <pivotArea outline="0" collapsedLevelsAreSubtotals="1" fieldPosition="0"/>
    </format>
    <format dxfId="334">
      <pivotArea field="3" type="button" dataOnly="0" labelOnly="1" outline="0" axis="axisRow" fieldPosition="1"/>
    </format>
    <format dxfId="333">
      <pivotArea dataOnly="0" labelOnly="1" outline="0" axis="axisValues" fieldPosition="0"/>
    </format>
    <format dxfId="332">
      <pivotArea dataOnly="0" labelOnly="1" grandRow="1" outline="0" fieldPosition="0"/>
    </format>
    <format dxfId="331">
      <pivotArea dataOnly="0" labelOnly="1" outline="0" axis="axisValues" fieldPosition="0"/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field="3" type="button" dataOnly="0" labelOnly="1" outline="0" axis="axisRow" fieldPosition="1"/>
    </format>
    <format dxfId="327">
      <pivotArea dataOnly="0" labelOnly="1" outline="0" axis="axisValues" fieldPosition="0"/>
    </format>
    <format dxfId="326">
      <pivotArea dataOnly="0" labelOnly="1" grandRow="1" outline="0" fieldPosition="0"/>
    </format>
    <format dxfId="325">
      <pivotArea dataOnly="0" labelOnly="1" outline="0" axis="axisValues" fieldPosition="0"/>
    </format>
    <format dxfId="324">
      <pivotArea outline="0" collapsedLevelsAreSubtotals="1" fieldPosition="0"/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field="3" type="button" dataOnly="0" labelOnly="1" outline="0" axis="axisRow" fieldPosition="1"/>
    </format>
    <format dxfId="320">
      <pivotArea dataOnly="0" labelOnly="1" outline="0" axis="axisValues" fieldPosition="0"/>
    </format>
    <format dxfId="319">
      <pivotArea dataOnly="0" labelOnly="1" grandRow="1" outline="0" fieldPosition="0"/>
    </format>
    <format dxfId="318">
      <pivotArea dataOnly="0" labelOnly="1" outline="0" axis="axisValues" fieldPosition="0"/>
    </format>
    <format dxfId="317">
      <pivotArea type="all" dataOnly="0" outline="0" fieldPosition="0"/>
    </format>
    <format dxfId="316">
      <pivotArea outline="0" collapsedLevelsAreSubtotals="1" fieldPosition="0"/>
    </format>
    <format dxfId="315">
      <pivotArea field="7" type="button" dataOnly="0" labelOnly="1" outline="0" axis="axisRow" fieldPosition="0"/>
    </format>
    <format dxfId="314">
      <pivotArea dataOnly="0" labelOnly="1" outline="0" axis="axisValues" fieldPosition="0"/>
    </format>
    <format dxfId="313">
      <pivotArea dataOnly="0" labelOnly="1" fieldPosition="0">
        <references count="1">
          <reference field="7" count="0"/>
        </references>
      </pivotArea>
    </format>
    <format dxfId="312">
      <pivotArea dataOnly="0" labelOnly="1" grandRow="1" outline="0" fieldPosition="0"/>
    </format>
    <format dxfId="311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310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309">
      <pivotArea dataOnly="0" labelOnly="1" outline="0" axis="axisValues" fieldPosition="0"/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field="7" type="button" dataOnly="0" labelOnly="1" outline="0" axis="axisRow" fieldPosition="0"/>
    </format>
    <format dxfId="305">
      <pivotArea dataOnly="0" labelOnly="1" outline="0" axis="axisValues" fieldPosition="0"/>
    </format>
    <format dxfId="304">
      <pivotArea dataOnly="0" labelOnly="1" fieldPosition="0">
        <references count="1">
          <reference field="7" count="0"/>
        </references>
      </pivotArea>
    </format>
    <format dxfId="303">
      <pivotArea dataOnly="0" labelOnly="1" grandRow="1" outline="0" fieldPosition="0"/>
    </format>
    <format dxfId="302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301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30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35">
      <pivotArea outline="0" collapsedLevelsAreSubtotals="1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1" type="button" dataOnly="0" labelOnly="1" outline="0" axis="axisRow" fieldPosition="0"/>
    </format>
    <format dxfId="31">
      <pivotArea dataOnly="0" labelOnly="1" outline="0" axis="axisValues" fieldPosition="0"/>
    </format>
    <format dxfId="3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9">
      <pivotArea dataOnly="0" labelOnly="1" grandRow="1" outline="0" fieldPosition="0"/>
    </format>
    <format dxfId="28">
      <pivotArea dataOnly="0" labelOnly="1" outline="0" axis="axisValues" fieldPosition="0"/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1" type="button" dataOnly="0" labelOnly="1" outline="0" axis="axisRow" fieldPosition="0"/>
    </format>
    <format dxfId="24">
      <pivotArea dataOnly="0" labelOnly="1" outline="0" axis="axisValues" fieldPosition="0"/>
    </format>
    <format dxfId="2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2">
      <pivotArea dataOnly="0" labelOnly="1" grandRow="1" outline="0" fieldPosition="0"/>
    </format>
    <format dxfId="21">
      <pivotArea dataOnly="0" labelOnly="1" outline="0" axis="axisValues" fieldPosition="0"/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1" type="button" dataOnly="0" labelOnly="1" outline="0" axis="axisRow" fieldPosition="0"/>
    </format>
    <format dxfId="17">
      <pivotArea dataOnly="0" labelOnly="1" outline="0" axis="axisValues" fieldPosition="0"/>
    </format>
    <format dxfId="16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5">
      <pivotArea dataOnly="0" labelOnly="1" grandRow="1" outline="0" fieldPosition="0"/>
    </format>
    <format dxfId="14">
      <pivotArea dataOnly="0" labelOnly="1" outline="0" axis="axisValues" fieldPosition="0"/>
    </format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1" type="button" dataOnly="0" labelOnly="1" outline="0" axis="axisRow" fieldPosition="0"/>
    </format>
    <format dxfId="10">
      <pivotArea dataOnly="0" labelOnly="1" outline="0" axis="axisValues" fieldPosition="0"/>
    </format>
    <format dxfId="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">
      <pivotArea dataOnly="0" labelOnly="1" grandRow="1" outline="0" fieldPosition="0"/>
    </format>
    <format dxfId="7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77">
      <pivotArea outline="0" collapsedLevelsAreSubtotals="1" fieldPosition="0"/>
    </format>
    <format dxfId="76">
      <pivotArea outline="0" collapsedLevelsAreSubtotals="1" fieldPosition="0"/>
    </format>
    <format dxfId="7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1" type="button" dataOnly="0" labelOnly="1" outline="0" axis="axisRow" fieldPosition="0"/>
    </format>
    <format dxfId="6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7">
      <pivotArea dataOnly="0" labelOnly="1" grandRow="1" outline="0" fieldPosition="0"/>
    </format>
    <format dxfId="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1" type="button" dataOnly="0" labelOnly="1" outline="0" axis="axisRow" fieldPosition="0"/>
    </format>
    <format dxfId="6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1">
      <pivotArea dataOnly="0" labelOnly="1" grandRow="1" outline="0" fieldPosition="0"/>
    </format>
    <format dxfId="6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1" type="button" dataOnly="0" labelOnly="1" outline="0" axis="axisRow" fieldPosition="0"/>
    </format>
    <format dxfId="5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5">
      <pivotArea dataOnly="0" labelOnly="1" grandRow="1" outline="0" fieldPosition="0"/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field="1" type="button" dataOnly="0" labelOnly="1" outline="0" axis="axisRow" fieldPosition="0"/>
    </format>
    <format dxfId="5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9">
      <pivotArea dataOnly="0" labelOnly="1" grandRow="1" outline="0" fieldPosition="0"/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1" type="button" dataOnly="0" labelOnly="1" outline="0" axis="axisRow" fieldPosition="0"/>
    </format>
    <format dxfId="4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3">
      <pivotArea dataOnly="0" labelOnly="1" grandRow="1" outline="0" fieldPosition="0"/>
    </format>
    <format dxfId="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1" type="button" dataOnly="0" labelOnly="1" outline="0" axis="axisRow" fieldPosition="0"/>
    </format>
    <format dxfId="3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7">
      <pivotArea dataOnly="0" labelOnly="1" grandRow="1" outline="0" fieldPosition="0"/>
    </format>
    <format dxfId="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87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1x0 | 0x1]" c="1x0 | 0x1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16">
        <i x="9" s="1"/>
        <i x="37" s="1"/>
        <i x="395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6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80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404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3" s="1" nd="1"/>
        <i x="339" s="1" nd="1"/>
        <i x="43" s="1" nd="1"/>
        <i x="1" s="1" nd="1"/>
        <i x="393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8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2" s="1" nd="1"/>
        <i x="169" s="1" nd="1"/>
        <i x="283" s="1" nd="1"/>
        <i x="370" s="1" nd="1"/>
        <i x="400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407" s="1" nd="1"/>
        <i x="168" s="1" nd="1"/>
        <i x="39" s="1" nd="1"/>
        <i x="401" s="1" nd="1"/>
        <i x="409" s="1" nd="1"/>
        <i x="179" s="1" nd="1"/>
        <i x="399" s="1" nd="1"/>
        <i x="397" s="1" nd="1"/>
        <i x="260" s="1" nd="1"/>
        <i x="406" s="1" nd="1"/>
        <i x="410" s="1" nd="1"/>
        <i x="373" s="1" nd="1"/>
        <i x="345" s="1" nd="1"/>
        <i x="190" s="1" nd="1"/>
        <i x="408" s="1" nd="1"/>
        <i x="289" s="1" nd="1"/>
        <i x="405" s="1" nd="1"/>
        <i x="191" s="1" nd="1"/>
        <i x="338" s="1" nd="1"/>
        <i x="322" s="1" nd="1"/>
        <i x="377" s="1" nd="1"/>
        <i x="319" s="1" nd="1"/>
        <i x="394" s="1" nd="1"/>
        <i x="195" s="1" nd="1"/>
        <i x="258" s="1" nd="1"/>
        <i x="353" s="1" nd="1"/>
        <i x="309" s="1" nd="1"/>
        <i x="30" s="1" nd="1"/>
        <i x="20" s="1" nd="1"/>
        <i x="392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381" s="1" nd="1"/>
        <i x="415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411" s="1" nd="1"/>
        <i x="391" s="1" nd="1"/>
        <i x="363" s="1" nd="1"/>
        <i x="412" s="1" nd="1"/>
        <i x="413" s="1" nd="1"/>
        <i x="414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7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4" nd="1"/>
        <i x="69" nd="1"/>
        <i x="102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3" nd="1"/>
        <i x="36" nd="1"/>
        <i x="105" nd="1"/>
        <i x="54" nd="1"/>
        <i x="55" nd="1"/>
        <i x="76" nd="1"/>
        <i x="44" nd="1"/>
        <i x="30" nd="1"/>
        <i x="99" nd="1"/>
        <i x="97" nd="1"/>
        <i x="100" nd="1"/>
        <i x="94" nd="1"/>
        <i x="95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1" nd="1"/>
        <i x="81" nd="1"/>
        <i x="43" nd="1"/>
        <i x="90" nd="1"/>
        <i x="89" nd="1"/>
        <i x="38" nd="1"/>
        <i x="93" nd="1"/>
        <i x="87" nd="1"/>
        <i x="79" nd="1"/>
        <i x="41" nd="1"/>
        <i x="98" nd="1"/>
        <i x="33" nd="1"/>
        <i x="35" nd="1"/>
        <i x="70" nd="1"/>
        <i x="42" nd="1"/>
        <i x="19" nd="1"/>
        <i x="28" nd="1"/>
        <i x="10" nd="1"/>
        <i x="17" nd="1"/>
        <i x="82" nd="1"/>
        <i x="96" nd="1"/>
        <i x="77" nd="1"/>
        <i x="106" nd="1"/>
        <i x="7" nd="1"/>
        <i x="92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4056" totalsRowShown="0" headerRowDxfId="357" dataDxfId="356">
  <autoFilter ref="B2:T4056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353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349"/>
    <tableColumn id="7" name="Placar" dataDxfId="348"/>
    <tableColumn id="8" name="Odd" dataDxfId="347"/>
    <tableColumn id="9" name="Stake/Responsabilidade" dataDxfId="346"/>
    <tableColumn id="10" name="Data" dataDxfId="345">
      <calculatedColumnFormula>INT(base[[#This Row],[Data de liquidação]])</calculatedColumnFormula>
    </tableColumn>
    <tableColumn id="11" name="ComissãoR$" dataDxfId="344">
      <calculatedColumnFormula>base[[#This Row],[L/P Bruto]]-base[[#This Row],[L/P Líquido]]</calculatedColumnFormula>
    </tableColumn>
    <tableColumn id="13" name="Stakes" dataDxfId="343">
      <calculatedColumnFormula>base[[#This Row],[L/P Líquido]]/base[[#This Row],[Stake/Responsabilidade]]</calculatedColumnFormula>
    </tableColumn>
    <tableColumn id="12" name="Resultado_Binario" dataDxfId="342">
      <calculatedColumnFormula>IF(base[[#This Row],[L/P Líquido]]&gt;0,1,0)</calculatedColumnFormula>
    </tableColumn>
    <tableColumn id="16" name="Campeonato" dataDxfId="341"/>
    <tableColumn id="14" name="Casa" dataDxfId="340">
      <calculatedColumnFormula>LEFT(base[[#This Row],[Evento / Mercado]],FIND("vs",base[[#This Row],[Evento / Mercado]])-2)</calculatedColumnFormula>
    </tableColumn>
    <tableColumn id="15" name="Visitante" dataDxfId="33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8">
      <calculatedColumnFormula>LEFT(base[[#This Row],[Evento / Mercado]],FIND("/",base[[#This Row],[Evento / Mercado]])-2)</calculatedColumnFormula>
    </tableColumn>
    <tableColumn id="19" name="Horário" dataDxfId="33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4" dataDxfId="133">
  <autoFilter ref="B7:P248"/>
  <tableColumns count="15">
    <tableColumn id="1" name="Data" dataDxfId="132"/>
    <tableColumn id="2" name="Jogo" dataDxfId="131"/>
    <tableColumn id="3" name="Odd Casa Ataque" dataDxfId="130"/>
    <tableColumn id="4" name="Stake Casa Ataque" dataDxfId="129"/>
    <tableColumn id="5" name="Odd Fulltbet" dataDxfId="128"/>
    <tableColumn id="6" name="Stake Fulltbet" dataDxfId="127"/>
    <tableColumn id="7" name="Resultado Fulltbet" dataDxfId="126"/>
    <tableColumn id="8" name="Casa Ataque" dataDxfId="125"/>
    <tableColumn id="9" name="Lucro Fulltbet" dataDxfId="124">
      <calculatedColumnFormula>IF(H8="Ganhou",(F8-1)*G8,-G8)</calculatedColumnFormula>
    </tableColumn>
    <tableColumn id="10" name="Lucro Casa Ataque" dataDxfId="123">
      <calculatedColumnFormula>IF(H8="Perdeu",(D8-1)*E8,-E8)</calculatedColumnFormula>
    </tableColumn>
    <tableColumn id="11" name="Comissão Casa Ataque" dataDxfId="122">
      <calculatedColumnFormula>IF(H8="Perdeu",-K8*0.028,0)</calculatedColumnFormula>
    </tableColumn>
    <tableColumn id="12" name="Lucro Líquido Casa Ataque" dataDxfId="121">
      <calculatedColumnFormula>SUM(K8:L8)</calculatedColumnFormula>
    </tableColumn>
    <tableColumn id="13" name="Resultado" dataDxfId="120">
      <calculatedColumnFormula>SUM(J8:L8)</calculatedColumnFormula>
    </tableColumn>
    <tableColumn id="14" name="ROI" dataDxfId="119" dataCellStyle="Porcentagem">
      <calculatedColumnFormula>IFERROR(N8/SUM(G8,E8),"")</calculatedColumnFormula>
    </tableColumn>
    <tableColumn id="15" name="Proporção Stakes" dataDxfId="11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7" dataDxfId="11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5"/>
    <tableColumn id="14" name="Horário" dataDxfId="114"/>
    <tableColumn id="2" name="Time 1" dataDxfId="113"/>
    <tableColumn id="3" name="Time 2" dataDxfId="112"/>
    <tableColumn id="4" name="Surebet / Simples" dataDxfId="111"/>
    <tableColumn id="5" name="Casa 1" dataDxfId="110"/>
    <tableColumn id="6" name="Odd 1" dataDxfId="109"/>
    <tableColumn id="7" name="Valor Casa 1" dataDxfId="108"/>
    <tableColumn id="17" name="Resultado Casa 1" dataDxfId="107"/>
    <tableColumn id="19" name="L/P Casa 1" dataDxfId="10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5"/>
    <tableColumn id="9" name="Odd 2" dataDxfId="104"/>
    <tableColumn id="10" name="Valor Casa 2" dataDxfId="103"/>
    <tableColumn id="18" name="Resultado Casa 2" dataDxfId="10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100"/>
    <tableColumn id="13" name="Lucro Provisório" dataDxfId="9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5" dataDxfId="94">
  <autoFilter ref="B5:Q46"/>
  <tableColumns count="16">
    <tableColumn id="1" name="Data" dataDxfId="93"/>
    <tableColumn id="2" name="Jogo" dataDxfId="92"/>
    <tableColumn id="3" name="Mercado Casa B" dataDxfId="91"/>
    <tableColumn id="4" name="Rodada" dataDxfId="90"/>
    <tableColumn id="5" name="Stake Fullbet" dataDxfId="89"/>
    <tableColumn id="6" name="Odd Fulltbet" dataDxfId="88"/>
    <tableColumn id="7" name="Odd Casa B" dataDxfId="87"/>
    <tableColumn id="8" name="ROI" dataDxfId="86" dataCellStyle="Porcentagem">
      <calculatedColumnFormula>(G6-1-G6/H6)/(1+G6/H6)</calculatedColumnFormula>
    </tableColumn>
    <tableColumn id="9" name="Stake Casa B Calculada" dataDxfId="85">
      <calculatedColumnFormula>F6*(G6-1)</calculatedColumnFormula>
    </tableColumn>
    <tableColumn id="10" name="Gestão Casa B" dataDxfId="84" dataCellStyle="Porcentagem">
      <calculatedColumnFormula>J6/$H$3</calculatedColumnFormula>
    </tableColumn>
    <tableColumn id="11" name="Stake Casa B Real" dataDxfId="83"/>
    <tableColumn id="12" name="Custo Entrada" dataDxfId="82"/>
    <tableColumn id="13" name="Resultado Casa B" dataDxfId="81"/>
    <tableColumn id="14" name="L/P Casa B" dataDxfId="80">
      <calculatedColumnFormula>IF(N6="Red",-L6,IF(N6="",0,L6*(H6-1)))</calculatedColumnFormula>
    </tableColumn>
    <tableColumn id="15" name="L/P Final" dataDxfId="79">
      <calculatedColumnFormula>O6-M6</calculatedColumnFormula>
    </tableColumn>
    <tableColumn id="16" name="Divisão" dataDxfId="7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6" dataDxfId="5">
  <autoFilter ref="B4:E656"/>
  <tableColumns count="4">
    <tableColumn id="1" name="Data" dataDxfId="4"/>
    <tableColumn id="2" name="Odd" dataDxfId="3"/>
    <tableColumn id="3" name="Resultado" dataDxfId="2"/>
    <tableColumn id="4" name="LP" dataDxfId="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1:22:17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88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>
      <c r="B2" s="1422" t="s">
        <v>3</v>
      </c>
      <c r="C2" s="1423" t="s">
        <v>1646</v>
      </c>
    </row>
    <row r="4" spans="2:12" ht="13.2">
      <c r="B4" s="1422" t="s">
        <v>266</v>
      </c>
      <c r="C4" s="1423" t="s">
        <v>3972</v>
      </c>
      <c r="D4" s="1423" t="s">
        <v>1738</v>
      </c>
      <c r="E4" s="1423" t="s">
        <v>385</v>
      </c>
      <c r="F4" s="1423" t="s">
        <v>839</v>
      </c>
      <c r="G4" s="1423" t="s">
        <v>1783</v>
      </c>
      <c r="H4" s="1423" t="s">
        <v>1784</v>
      </c>
      <c r="I4" s="1423" t="s">
        <v>1788</v>
      </c>
      <c r="J4" s="388" t="s">
        <v>1785</v>
      </c>
      <c r="K4" s="388" t="s">
        <v>1786</v>
      </c>
      <c r="L4" s="388" t="s">
        <v>1787</v>
      </c>
    </row>
    <row r="5" spans="2:12" ht="13.2">
      <c r="B5" s="1426" t="s">
        <v>2274</v>
      </c>
      <c r="C5" s="1417">
        <v>63</v>
      </c>
      <c r="D5" s="1416">
        <v>4.5913089005235905</v>
      </c>
      <c r="E5" s="1416">
        <v>-10.643500000000003</v>
      </c>
      <c r="F5" s="1416">
        <v>1.5349000000000008</v>
      </c>
      <c r="G5" s="1416">
        <v>1.5265079365079364</v>
      </c>
      <c r="H5" s="1425">
        <v>-1.0872252185993301E-2</v>
      </c>
      <c r="I5" s="1425">
        <v>0.68253968253968256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>
      <c r="B6" s="1426" t="s">
        <v>2534</v>
      </c>
      <c r="C6" s="1417">
        <v>9</v>
      </c>
      <c r="D6" s="1416">
        <v>-1.0581675392670151</v>
      </c>
      <c r="E6" s="1416">
        <v>-1.3705499999999997</v>
      </c>
      <c r="F6" s="1416">
        <v>-0.68527499999999986</v>
      </c>
      <c r="G6" s="1416">
        <v>1.73</v>
      </c>
      <c r="H6" s="1425">
        <v>-7.6141666666666649E-2</v>
      </c>
      <c r="I6" s="1425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>
      <c r="B7" s="1426" t="s">
        <v>1737</v>
      </c>
      <c r="C7" s="1417">
        <v>23</v>
      </c>
      <c r="D7" s="1416">
        <v>-9.7172774869109926</v>
      </c>
      <c r="E7" s="1416">
        <v>-10.54</v>
      </c>
      <c r="F7" s="1416">
        <v>-5.2302083333333318</v>
      </c>
      <c r="G7" s="1416">
        <v>2.09</v>
      </c>
      <c r="H7" s="1425">
        <v>-0.22952961672473865</v>
      </c>
      <c r="I7" s="1425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>
      <c r="B8" s="1426" t="s">
        <v>1735</v>
      </c>
      <c r="C8" s="1417">
        <v>33</v>
      </c>
      <c r="D8" s="1416">
        <v>-10.555287958115183</v>
      </c>
      <c r="E8" s="1416">
        <v>-11.790300000000002</v>
      </c>
      <c r="F8" s="1416">
        <v>-5.883129797979799</v>
      </c>
      <c r="G8" s="1416">
        <v>1.9912121212121214</v>
      </c>
      <c r="H8" s="1425">
        <v>-0.17869505910882091</v>
      </c>
      <c r="I8" s="1425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>
      <c r="B9" s="1426" t="s">
        <v>2851</v>
      </c>
      <c r="C9" s="1417">
        <v>63</v>
      </c>
      <c r="D9" s="1416">
        <v>-9.0452879581151748</v>
      </c>
      <c r="E9" s="1416">
        <v>-14.173250000000003</v>
      </c>
      <c r="F9" s="1416">
        <v>-2.7326499999999996</v>
      </c>
      <c r="G9" s="1416">
        <v>1.7058730158730162</v>
      </c>
      <c r="H9" s="1425">
        <v>-5.0259751773049657E-2</v>
      </c>
      <c r="I9" s="1425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>
      <c r="B10" s="1426" t="s">
        <v>2334</v>
      </c>
      <c r="C10" s="1417">
        <v>26</v>
      </c>
      <c r="D10" s="1416">
        <v>0.26884816753926533</v>
      </c>
      <c r="E10" s="1416">
        <v>-0.28324999999999978</v>
      </c>
      <c r="F10" s="1416">
        <v>0.32267499999999982</v>
      </c>
      <c r="G10" s="1416">
        <v>1.1015384615384614</v>
      </c>
      <c r="H10" s="1425">
        <v>-1.9670138888888875E-3</v>
      </c>
      <c r="I10" s="1425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>
      <c r="B11" s="1426" t="s">
        <v>1645</v>
      </c>
      <c r="C11" s="1417">
        <v>35</v>
      </c>
      <c r="D11" s="1416">
        <v>-3.0106282722513051</v>
      </c>
      <c r="E11" s="1416">
        <v>-6.129999999999999</v>
      </c>
      <c r="F11" s="1416">
        <v>0.12400000000000055</v>
      </c>
      <c r="G11" s="1416">
        <v>2.2642857142857133</v>
      </c>
      <c r="H11" s="1425">
        <v>-3.7378048780487796E-2</v>
      </c>
      <c r="I11" s="1425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>
      <c r="B12" s="1426" t="s">
        <v>2335</v>
      </c>
      <c r="C12" s="1417">
        <v>17</v>
      </c>
      <c r="D12" s="1416">
        <v>-7.9133992987175166</v>
      </c>
      <c r="E12" s="1416">
        <v>-8.34</v>
      </c>
      <c r="F12" s="1416">
        <v>-4.2650000000000006</v>
      </c>
      <c r="G12" s="1416">
        <v>4.6647058823529415</v>
      </c>
      <c r="H12" s="1425">
        <v>-0.24667258207630877</v>
      </c>
      <c r="I12" s="1425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>
      <c r="B13" s="1426" t="s">
        <v>1542</v>
      </c>
      <c r="C13" s="1417">
        <v>224</v>
      </c>
      <c r="D13" s="1416">
        <v>-10.514816753926654</v>
      </c>
      <c r="E13" s="1416">
        <v>-41.210000000000129</v>
      </c>
      <c r="F13" s="1416">
        <v>7.8835781777518692</v>
      </c>
      <c r="G13" s="1416">
        <v>9.2225892857142835</v>
      </c>
      <c r="H13" s="1425">
        <v>-2.355153219261857E-2</v>
      </c>
      <c r="I13" s="1425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>
      <c r="B14" s="1426" t="s">
        <v>2917</v>
      </c>
      <c r="C14" s="1417">
        <v>19</v>
      </c>
      <c r="D14" s="1416">
        <v>-164.9350261780105</v>
      </c>
      <c r="E14" s="1416">
        <v>-168.81739999999999</v>
      </c>
      <c r="F14" s="1416">
        <v>-3.3479177745386086</v>
      </c>
      <c r="G14" s="1416">
        <v>9.189473684210526</v>
      </c>
      <c r="H14" s="1425">
        <v>-0.17757915553405001</v>
      </c>
      <c r="I14" s="1425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>
      <c r="B15" s="1426" t="s">
        <v>2916</v>
      </c>
      <c r="C15" s="1417">
        <v>50</v>
      </c>
      <c r="D15" s="1416">
        <v>127.78968586387435</v>
      </c>
      <c r="E15" s="1416">
        <v>113.64529999999999</v>
      </c>
      <c r="F15" s="1416">
        <v>2.2039457443729904</v>
      </c>
      <c r="G15" s="1416">
        <v>9.9700000000000006</v>
      </c>
      <c r="H15" s="1425">
        <v>3.9132035191019744E-2</v>
      </c>
      <c r="I15" s="1425">
        <v>0.94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>
      <c r="B16" s="1426" t="s">
        <v>2918</v>
      </c>
      <c r="C16" s="1417">
        <v>13</v>
      </c>
      <c r="D16" s="1416">
        <v>-5.7905759162303658</v>
      </c>
      <c r="E16" s="1416">
        <v>-5.9799999999999995</v>
      </c>
      <c r="F16" s="1416">
        <v>-1.0309999999999997</v>
      </c>
      <c r="G16" s="1416">
        <v>1.2461538461538462</v>
      </c>
      <c r="H16" s="1425">
        <v>-0.10678571428571428</v>
      </c>
      <c r="I16" s="1425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>
      <c r="B17" s="1426" t="s">
        <v>1697</v>
      </c>
      <c r="C17" s="1417">
        <v>44</v>
      </c>
      <c r="D17" s="1416">
        <v>5.3654973821989405</v>
      </c>
      <c r="E17" s="1416">
        <v>-1.3172500000000005</v>
      </c>
      <c r="F17" s="1416">
        <v>-8.2642525034007125E-2</v>
      </c>
      <c r="G17" s="1416">
        <v>11.34909090909091</v>
      </c>
      <c r="H17" s="1425">
        <v>-7.7117850242960028E-4</v>
      </c>
      <c r="I17" s="1425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>
      <c r="B18" s="1426" t="s">
        <v>1695</v>
      </c>
      <c r="C18" s="1417">
        <v>133</v>
      </c>
      <c r="D18" s="1416">
        <v>-119.1501047120418</v>
      </c>
      <c r="E18" s="1416">
        <v>-136.55609999999996</v>
      </c>
      <c r="F18" s="1416">
        <v>0.39007825383179201</v>
      </c>
      <c r="G18" s="1416">
        <v>21.408646616541354</v>
      </c>
      <c r="H18" s="1425">
        <v>-1.7356700810790545E-2</v>
      </c>
      <c r="I18" s="1425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>
      <c r="B19" s="1426" t="s">
        <v>1698</v>
      </c>
      <c r="C19" s="1417">
        <v>14</v>
      </c>
      <c r="D19" s="1416">
        <v>-6.4263350785340281</v>
      </c>
      <c r="E19" s="1416">
        <v>-6.8395999999999972</v>
      </c>
      <c r="F19" s="1416">
        <v>0.11180093288071344</v>
      </c>
      <c r="G19" s="1416">
        <v>3.5642857142857136</v>
      </c>
      <c r="H19" s="1425">
        <v>-3.246594199458868E-2</v>
      </c>
      <c r="I19" s="1425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>
      <c r="B20" s="1426" t="s">
        <v>2204</v>
      </c>
      <c r="C20" s="1417">
        <v>10</v>
      </c>
      <c r="D20" s="1416">
        <v>-7.1578534031413605</v>
      </c>
      <c r="E20" s="1416">
        <v>-7.3599999999999994</v>
      </c>
      <c r="F20" s="1416">
        <v>-0.73599999999999977</v>
      </c>
      <c r="G20" s="1416">
        <v>1.8679999999999999</v>
      </c>
      <c r="H20" s="1425">
        <v>-7.3599999999999999E-2</v>
      </c>
      <c r="I20" s="1425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>
      <c r="B21" s="1426" t="s">
        <v>1771</v>
      </c>
      <c r="C21" s="1417">
        <v>35</v>
      </c>
      <c r="D21" s="1416">
        <v>-10.007748691099476</v>
      </c>
      <c r="E21" s="1416">
        <v>-11.087399999999999</v>
      </c>
      <c r="F21" s="1416">
        <v>-5.5436999999999994</v>
      </c>
      <c r="G21" s="1416">
        <v>1.6742857142857146</v>
      </c>
      <c r="H21" s="1425">
        <v>-0.15839142857142854</v>
      </c>
      <c r="I21" s="1425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>
      <c r="B22" s="1426" t="s">
        <v>1736</v>
      </c>
      <c r="C22" s="1417">
        <v>123</v>
      </c>
      <c r="D22" s="1416">
        <v>102.25670157068068</v>
      </c>
      <c r="E22" s="1416">
        <v>76.903399999999976</v>
      </c>
      <c r="F22" s="1416">
        <v>1.4940411031135592</v>
      </c>
      <c r="G22" s="1416">
        <v>22.187073170731708</v>
      </c>
      <c r="H22" s="1425">
        <v>7.3432327319914899E-3</v>
      </c>
      <c r="I22" s="1425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>
      <c r="B23" s="1426" t="s">
        <v>1753</v>
      </c>
      <c r="C23" s="1417">
        <v>31</v>
      </c>
      <c r="D23" s="1416">
        <v>-34.778219895287954</v>
      </c>
      <c r="E23" s="1416">
        <v>-42.445400000000006</v>
      </c>
      <c r="F23" s="1416">
        <v>-0.16024369539091321</v>
      </c>
      <c r="G23" s="1416">
        <v>2.5438709677419356</v>
      </c>
      <c r="H23" s="1425">
        <v>-9.5468735942420169E-2</v>
      </c>
      <c r="I23" s="1425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>
      <c r="B24" s="1426" t="s">
        <v>1643</v>
      </c>
      <c r="C24" s="1417">
        <v>51</v>
      </c>
      <c r="D24" s="1416">
        <v>-31.429319371727747</v>
      </c>
      <c r="E24" s="1416">
        <v>-34.290000000000006</v>
      </c>
      <c r="F24" s="1416">
        <v>-0.7453333333333334</v>
      </c>
      <c r="G24" s="1416">
        <v>1.4664705882352937</v>
      </c>
      <c r="H24" s="1425">
        <v>-8.4250614250614267E-2</v>
      </c>
      <c r="I24" s="1425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>
      <c r="B25" s="1426" t="s">
        <v>1696</v>
      </c>
      <c r="C25" s="1417">
        <v>20</v>
      </c>
      <c r="D25" s="1416">
        <v>-0.43554973821989185</v>
      </c>
      <c r="E25" s="1416">
        <v>-1.4999999999999976</v>
      </c>
      <c r="F25" s="1416">
        <v>-0.12234641548927228</v>
      </c>
      <c r="G25" s="1416">
        <v>2.1914999999999996</v>
      </c>
      <c r="H25" s="1425">
        <v>-1.8752344043005346E-2</v>
      </c>
      <c r="I25" s="1425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>
      <c r="B26" s="1426" t="s">
        <v>3293</v>
      </c>
      <c r="C26" s="1417">
        <v>40</v>
      </c>
      <c r="D26" s="1416">
        <v>-5.659685863874345</v>
      </c>
      <c r="E26" s="1416">
        <v>-7.0700000000000012</v>
      </c>
      <c r="F26" s="1416">
        <v>0.96500000000000075</v>
      </c>
      <c r="G26" s="1416">
        <v>1.6489999999999998</v>
      </c>
      <c r="H26" s="1425">
        <v>-7.9438202247191031E-2</v>
      </c>
      <c r="I26" s="1425">
        <v>0.65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>
      <c r="B27" s="1426" t="s">
        <v>2304</v>
      </c>
      <c r="C27" s="1417">
        <v>34</v>
      </c>
      <c r="D27" s="1416">
        <v>-43.963350785340324</v>
      </c>
      <c r="E27" s="1416">
        <v>-47.384999999999991</v>
      </c>
      <c r="F27" s="1416">
        <v>-0.58592857142857191</v>
      </c>
      <c r="G27" s="1416">
        <v>1.0458823529411765</v>
      </c>
      <c r="H27" s="1425">
        <v>-2.692329545454545E-2</v>
      </c>
      <c r="I27" s="1425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>
      <c r="B28" s="1424" t="s">
        <v>267</v>
      </c>
      <c r="C28" s="1417">
        <v>1110</v>
      </c>
      <c r="D28" s="1416">
        <v>-241.27659301599448</v>
      </c>
      <c r="E28" s="1416">
        <v>-384.58030000000059</v>
      </c>
      <c r="F28" s="1416">
        <v>-16.121356234576972</v>
      </c>
      <c r="G28" s="1416">
        <v>8.808324324324321</v>
      </c>
      <c r="H28" s="1425">
        <v>-1.2566776263979878E-2</v>
      </c>
      <c r="I28" s="1425">
        <v>0.7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>
      <c r="B2" s="380" t="s">
        <v>1779</v>
      </c>
      <c r="C2" s="380" t="s">
        <v>1780</v>
      </c>
      <c r="D2" s="380" t="s">
        <v>1781</v>
      </c>
      <c r="E2" s="380" t="s">
        <v>81</v>
      </c>
      <c r="F2" s="380" t="s">
        <v>255</v>
      </c>
      <c r="G2" s="380" t="s">
        <v>1782</v>
      </c>
      <c r="H2" s="380" t="s">
        <v>1754</v>
      </c>
      <c r="I2" s="380" t="s">
        <v>1778</v>
      </c>
      <c r="J2" s="380" t="s">
        <v>263</v>
      </c>
      <c r="K2" s="380" t="s">
        <v>1755</v>
      </c>
      <c r="L2" s="380" t="s">
        <v>156</v>
      </c>
      <c r="M2" s="380" t="s">
        <v>4</v>
      </c>
    </row>
    <row r="3" spans="2:13" ht="19.95" customHeight="1">
      <c r="B3" s="381" t="s">
        <v>2274</v>
      </c>
      <c r="C3" s="381" t="s">
        <v>1756</v>
      </c>
      <c r="D3" s="381" t="s">
        <v>1757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2990</v>
      </c>
    </row>
    <row r="4" spans="2:13" ht="19.95" customHeight="1">
      <c r="B4" s="381" t="s">
        <v>1737</v>
      </c>
      <c r="C4" s="381" t="s">
        <v>1756</v>
      </c>
      <c r="D4" s="381" t="s">
        <v>1757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1758</v>
      </c>
    </row>
    <row r="5" spans="2:13" ht="19.95" customHeight="1">
      <c r="B5" s="381" t="s">
        <v>1735</v>
      </c>
      <c r="C5" s="381" t="s">
        <v>1756</v>
      </c>
      <c r="D5" s="381" t="s">
        <v>1759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1760</v>
      </c>
    </row>
    <row r="6" spans="2:13" ht="19.95" customHeight="1">
      <c r="B6" s="381" t="s">
        <v>2851</v>
      </c>
      <c r="C6" s="381" t="s">
        <v>1756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2991</v>
      </c>
    </row>
    <row r="7" spans="2:13" ht="19.95" customHeight="1">
      <c r="B7" s="381" t="s">
        <v>2334</v>
      </c>
      <c r="C7" s="381" t="s">
        <v>1756</v>
      </c>
      <c r="D7" s="381" t="s">
        <v>1757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2992</v>
      </c>
    </row>
    <row r="8" spans="2:13" ht="19.95" customHeight="1">
      <c r="B8" s="381" t="s">
        <v>1645</v>
      </c>
      <c r="C8" s="381" t="s">
        <v>1756</v>
      </c>
      <c r="D8" s="381" t="s">
        <v>1761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1762</v>
      </c>
    </row>
    <row r="9" spans="2:13" ht="19.95" customHeight="1">
      <c r="B9" s="381" t="s">
        <v>1542</v>
      </c>
      <c r="C9" s="381" t="s">
        <v>1763</v>
      </c>
      <c r="D9" s="381" t="s">
        <v>1764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1765</v>
      </c>
    </row>
    <row r="10" spans="2:13" ht="19.95" customHeight="1">
      <c r="B10" s="381" t="s">
        <v>2918</v>
      </c>
      <c r="C10" s="381" t="s">
        <v>1756</v>
      </c>
      <c r="D10" s="381" t="s">
        <v>2993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2994</v>
      </c>
    </row>
    <row r="11" spans="2:13" ht="19.95" customHeight="1">
      <c r="B11" s="381" t="s">
        <v>1766</v>
      </c>
      <c r="C11" s="381" t="s">
        <v>1763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1767</v>
      </c>
    </row>
    <row r="12" spans="2:13" ht="19.95" customHeight="1">
      <c r="B12" s="381" t="s">
        <v>1695</v>
      </c>
      <c r="C12" s="381" t="s">
        <v>1763</v>
      </c>
      <c r="D12" s="381" t="s">
        <v>1768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1769</v>
      </c>
    </row>
    <row r="13" spans="2:13" ht="19.95" customHeight="1">
      <c r="B13" s="381" t="s">
        <v>1698</v>
      </c>
      <c r="C13" s="381" t="s">
        <v>1763</v>
      </c>
      <c r="D13" s="381" t="s">
        <v>1535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1770</v>
      </c>
    </row>
    <row r="14" spans="2:13" ht="19.95" customHeight="1">
      <c r="B14" s="381" t="s">
        <v>1771</v>
      </c>
      <c r="C14" s="381" t="s">
        <v>1756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1772</v>
      </c>
    </row>
    <row r="15" spans="2:13" ht="19.95" customHeight="1">
      <c r="B15" s="381" t="s">
        <v>1736</v>
      </c>
      <c r="C15" s="381" t="s">
        <v>1763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1773</v>
      </c>
    </row>
    <row r="16" spans="2:13" ht="19.95" customHeight="1">
      <c r="B16" s="381" t="s">
        <v>1736</v>
      </c>
      <c r="C16" s="381" t="s">
        <v>1763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2995</v>
      </c>
    </row>
    <row r="17" spans="2:13" ht="19.95" customHeight="1">
      <c r="B17" s="381" t="s">
        <v>1753</v>
      </c>
      <c r="C17" s="381" t="s">
        <v>1763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1774</v>
      </c>
    </row>
    <row r="18" spans="2:13" ht="19.95" customHeight="1">
      <c r="B18" s="381" t="s">
        <v>1643</v>
      </c>
      <c r="C18" s="381" t="s">
        <v>1756</v>
      </c>
      <c r="D18" s="381" t="s">
        <v>1775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1776</v>
      </c>
    </row>
    <row r="19" spans="2:13" ht="19.95" customHeight="1">
      <c r="B19" s="381" t="s">
        <v>1696</v>
      </c>
      <c r="C19" s="381" t="s">
        <v>1756</v>
      </c>
      <c r="D19" s="381" t="s">
        <v>1764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1777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422" t="s">
        <v>266</v>
      </c>
      <c r="C2" s="1423" t="s">
        <v>1231</v>
      </c>
      <c r="D2" s="1423" t="s">
        <v>385</v>
      </c>
      <c r="E2"/>
      <c r="G2" s="1422" t="s">
        <v>266</v>
      </c>
      <c r="H2" s="1423" t="s">
        <v>1231</v>
      </c>
      <c r="I2" s="1423" t="s">
        <v>385</v>
      </c>
      <c r="J2"/>
      <c r="L2" s="1422" t="s">
        <v>266</v>
      </c>
      <c r="M2" s="1423" t="s">
        <v>1231</v>
      </c>
      <c r="N2" s="1423" t="s">
        <v>385</v>
      </c>
      <c r="O2"/>
    </row>
    <row r="3" spans="2:17" ht="13.8">
      <c r="B3" s="1424" t="s">
        <v>390</v>
      </c>
      <c r="C3" s="1425">
        <v>0.86956521739130432</v>
      </c>
      <c r="D3" s="1416">
        <v>198.20314999999999</v>
      </c>
      <c r="E3"/>
      <c r="G3" s="1424">
        <v>8</v>
      </c>
      <c r="H3" s="1425">
        <v>0.75</v>
      </c>
      <c r="I3" s="1416">
        <v>-27.193049999999999</v>
      </c>
      <c r="J3"/>
      <c r="L3" s="1424" t="s">
        <v>391</v>
      </c>
      <c r="M3" s="1425">
        <v>0.91823899371069184</v>
      </c>
      <c r="N3" s="1416">
        <v>1582.6518999999989</v>
      </c>
      <c r="O3"/>
      <c r="P3" s="1423" t="s">
        <v>3972</v>
      </c>
      <c r="Q3" s="1423" t="s">
        <v>1232</v>
      </c>
    </row>
    <row r="4" spans="2:17" ht="13.8">
      <c r="B4" s="1424" t="s">
        <v>1209</v>
      </c>
      <c r="C4" s="1425">
        <v>1</v>
      </c>
      <c r="D4" s="1416">
        <v>202.51000000000002</v>
      </c>
      <c r="E4"/>
      <c r="G4" s="1424">
        <v>8.1999999999999993</v>
      </c>
      <c r="H4" s="1425">
        <v>0.6</v>
      </c>
      <c r="I4" s="1416">
        <v>-204.76870000000002</v>
      </c>
      <c r="J4"/>
      <c r="L4" s="1424" t="s">
        <v>1475</v>
      </c>
      <c r="M4" s="1425">
        <v>1</v>
      </c>
      <c r="N4" s="1416">
        <v>197.69</v>
      </c>
      <c r="O4"/>
      <c r="P4" s="1416">
        <v>219</v>
      </c>
      <c r="Q4" s="1416">
        <v>13.460665634034074</v>
      </c>
    </row>
    <row r="5" spans="2:17" ht="13.8">
      <c r="B5" s="1424" t="s">
        <v>1202</v>
      </c>
      <c r="C5" s="1425">
        <v>1</v>
      </c>
      <c r="D5" s="1416">
        <v>144.02314999999999</v>
      </c>
      <c r="E5"/>
      <c r="G5" s="1424">
        <v>8.4</v>
      </c>
      <c r="H5" s="1425">
        <v>1</v>
      </c>
      <c r="I5" s="1416">
        <v>249.8563</v>
      </c>
      <c r="J5"/>
      <c r="L5" s="1424" t="s">
        <v>4470</v>
      </c>
      <c r="M5" s="1425">
        <v>1</v>
      </c>
      <c r="N5" s="1416">
        <v>169.87855000000002</v>
      </c>
      <c r="O5"/>
    </row>
    <row r="6" spans="2:17" ht="13.8">
      <c r="B6" s="1424" t="s">
        <v>1200</v>
      </c>
      <c r="C6" s="1425">
        <v>1</v>
      </c>
      <c r="D6" s="1416">
        <v>50.82</v>
      </c>
      <c r="E6"/>
      <c r="G6" s="1424">
        <v>8.6</v>
      </c>
      <c r="H6" s="1425">
        <v>1</v>
      </c>
      <c r="I6" s="1416">
        <v>235.23</v>
      </c>
      <c r="J6"/>
      <c r="L6" s="1424" t="s">
        <v>4468</v>
      </c>
      <c r="M6" s="1425">
        <v>1</v>
      </c>
      <c r="N6" s="1416">
        <v>168.54660000000001</v>
      </c>
      <c r="O6"/>
    </row>
    <row r="7" spans="2:17" ht="13.8">
      <c r="B7" s="1424" t="s">
        <v>1199</v>
      </c>
      <c r="C7" s="1425">
        <v>1</v>
      </c>
      <c r="D7" s="1416">
        <v>40.69</v>
      </c>
      <c r="E7"/>
      <c r="G7" s="1424">
        <v>8.8000000000000007</v>
      </c>
      <c r="H7" s="1425">
        <v>0.83333333333333337</v>
      </c>
      <c r="I7" s="1416">
        <v>-178.13</v>
      </c>
      <c r="J7"/>
      <c r="L7" s="1424" t="s">
        <v>1219</v>
      </c>
      <c r="M7" s="1425">
        <v>1</v>
      </c>
      <c r="N7" s="1416">
        <v>167.35774999999998</v>
      </c>
      <c r="O7"/>
    </row>
    <row r="8" spans="2:17" ht="13.8">
      <c r="B8" s="1424" t="s">
        <v>1359</v>
      </c>
      <c r="C8" s="1425">
        <v>1</v>
      </c>
      <c r="D8" s="1416">
        <v>36.08</v>
      </c>
      <c r="E8"/>
      <c r="G8" s="1424">
        <v>9</v>
      </c>
      <c r="H8" s="1425">
        <v>0.875</v>
      </c>
      <c r="I8" s="1416">
        <v>314.36999999999995</v>
      </c>
      <c r="J8"/>
      <c r="L8" s="1424" t="s">
        <v>4469</v>
      </c>
      <c r="M8" s="1425">
        <v>1</v>
      </c>
      <c r="N8" s="1416">
        <v>152.08000000000001</v>
      </c>
      <c r="O8"/>
    </row>
    <row r="9" spans="2:17" ht="13.8">
      <c r="B9" s="1424" t="s">
        <v>1201</v>
      </c>
      <c r="C9" s="1425">
        <v>0.5</v>
      </c>
      <c r="D9" s="1416">
        <v>13.819999999999999</v>
      </c>
      <c r="E9"/>
      <c r="G9" s="1424">
        <v>9.0297787256731521</v>
      </c>
      <c r="H9" s="1425">
        <v>1</v>
      </c>
      <c r="I9" s="1416">
        <v>17.86</v>
      </c>
      <c r="J9"/>
      <c r="L9" s="1424" t="s">
        <v>4522</v>
      </c>
      <c r="M9" s="1425">
        <v>1</v>
      </c>
      <c r="N9" s="1416">
        <v>131.36000000000001</v>
      </c>
      <c r="O9"/>
    </row>
    <row r="10" spans="2:17" ht="13.8">
      <c r="B10" s="1424" t="s">
        <v>1206</v>
      </c>
      <c r="C10" s="1425">
        <v>1</v>
      </c>
      <c r="D10" s="1416">
        <v>11.46</v>
      </c>
      <c r="E10"/>
      <c r="G10" s="1424">
        <v>9.1999999999999993</v>
      </c>
      <c r="H10" s="1425">
        <v>1</v>
      </c>
      <c r="I10" s="1416">
        <v>277.10999999999996</v>
      </c>
      <c r="J10"/>
      <c r="L10" s="1424" t="s">
        <v>1221</v>
      </c>
      <c r="M10" s="1425">
        <v>1</v>
      </c>
      <c r="N10" s="1416">
        <v>120.75</v>
      </c>
      <c r="O10"/>
    </row>
    <row r="11" spans="2:17" ht="13.8">
      <c r="B11" s="1424" t="s">
        <v>1217</v>
      </c>
      <c r="C11" s="1425">
        <v>0</v>
      </c>
      <c r="D11" s="1416">
        <v>-147.32</v>
      </c>
      <c r="E11"/>
      <c r="G11" s="1424">
        <v>9.4</v>
      </c>
      <c r="H11" s="1425">
        <v>1</v>
      </c>
      <c r="I11" s="1416">
        <v>78.010000000000005</v>
      </c>
      <c r="J11"/>
      <c r="L11" s="1424" t="s">
        <v>4516</v>
      </c>
      <c r="M11" s="1425">
        <v>1</v>
      </c>
      <c r="N11" s="1416">
        <v>112.56129999999999</v>
      </c>
      <c r="O11"/>
    </row>
    <row r="12" spans="2:17" ht="13.8">
      <c r="B12" s="1424" t="s">
        <v>3767</v>
      </c>
      <c r="C12" s="1425">
        <v>0.5</v>
      </c>
      <c r="D12" s="1416">
        <v>-153.88</v>
      </c>
      <c r="E12"/>
      <c r="G12" s="1424">
        <v>9.6</v>
      </c>
      <c r="H12" s="1425">
        <v>0.75</v>
      </c>
      <c r="I12" s="1416">
        <v>-305.69</v>
      </c>
      <c r="J12"/>
      <c r="L12" s="1424" t="s">
        <v>4517</v>
      </c>
      <c r="M12" s="1425">
        <v>1</v>
      </c>
      <c r="N12" s="1416">
        <v>112.49999999999999</v>
      </c>
      <c r="O12"/>
    </row>
    <row r="13" spans="2:17" ht="13.8">
      <c r="B13" s="1424" t="s">
        <v>391</v>
      </c>
      <c r="C13" s="1425">
        <v>0.91823899371069184</v>
      </c>
      <c r="D13" s="1416">
        <v>1582.6518999999985</v>
      </c>
      <c r="E13"/>
      <c r="G13" s="1424">
        <v>9.6883567567567574</v>
      </c>
      <c r="H13" s="1425">
        <v>1</v>
      </c>
      <c r="I13" s="1416">
        <v>40.69</v>
      </c>
      <c r="J13"/>
      <c r="L13" s="1424" t="s">
        <v>4518</v>
      </c>
      <c r="M13" s="1425">
        <v>1</v>
      </c>
      <c r="N13" s="1416">
        <v>100.09</v>
      </c>
      <c r="O13"/>
    </row>
    <row r="14" spans="2:17" ht="13.8">
      <c r="B14" s="1424" t="s">
        <v>1359</v>
      </c>
      <c r="C14" s="1425">
        <v>1</v>
      </c>
      <c r="D14" s="1416">
        <v>445.88694999999996</v>
      </c>
      <c r="E14"/>
      <c r="G14" s="1424">
        <v>9.7999250018749517</v>
      </c>
      <c r="H14" s="1425">
        <v>1</v>
      </c>
      <c r="I14" s="1416">
        <v>43.48</v>
      </c>
      <c r="J14"/>
      <c r="L14" s="1424" t="s">
        <v>4519</v>
      </c>
      <c r="M14" s="1425">
        <v>1</v>
      </c>
      <c r="N14" s="1416">
        <v>98.910550000000001</v>
      </c>
      <c r="O14"/>
    </row>
    <row r="15" spans="2:17" ht="13.8">
      <c r="B15" s="1424" t="s">
        <v>1206</v>
      </c>
      <c r="C15" s="1425">
        <v>1</v>
      </c>
      <c r="D15" s="1416">
        <v>338.73985000000005</v>
      </c>
      <c r="E15"/>
      <c r="G15" s="1424">
        <v>9.8000000000000007</v>
      </c>
      <c r="H15" s="1425">
        <v>0.875</v>
      </c>
      <c r="I15" s="1416">
        <v>-92.709999999999951</v>
      </c>
      <c r="J15"/>
      <c r="L15" s="1424" t="s">
        <v>4520</v>
      </c>
      <c r="M15" s="1425">
        <v>1</v>
      </c>
      <c r="N15" s="1416">
        <v>98.800000000000011</v>
      </c>
      <c r="O15"/>
    </row>
    <row r="16" spans="2:17" ht="13.8">
      <c r="B16" s="1424" t="s">
        <v>1200</v>
      </c>
      <c r="C16" s="1425">
        <v>1</v>
      </c>
      <c r="D16" s="1416">
        <v>295.46629999999999</v>
      </c>
      <c r="E16"/>
      <c r="G16" s="1424">
        <v>10</v>
      </c>
      <c r="H16" s="1425">
        <v>1</v>
      </c>
      <c r="I16" s="1416">
        <v>415.41999999999996</v>
      </c>
      <c r="J16"/>
      <c r="L16" s="1424" t="s">
        <v>4521</v>
      </c>
      <c r="M16" s="1425">
        <v>1</v>
      </c>
      <c r="N16" s="1416">
        <v>98.75</v>
      </c>
      <c r="O16"/>
    </row>
    <row r="17" spans="2:15" ht="13.8">
      <c r="B17" s="1424" t="s">
        <v>1203</v>
      </c>
      <c r="C17" s="1425">
        <v>1</v>
      </c>
      <c r="D17" s="1416">
        <v>282.83</v>
      </c>
      <c r="E17"/>
      <c r="G17" s="1424">
        <v>10.247327524770684</v>
      </c>
      <c r="H17" s="1425">
        <v>1</v>
      </c>
      <c r="I17" s="1416">
        <v>44.96</v>
      </c>
      <c r="J17"/>
      <c r="L17" s="1424" t="s">
        <v>4523</v>
      </c>
      <c r="M17" s="1425">
        <v>1</v>
      </c>
      <c r="N17" s="1416">
        <v>79.14</v>
      </c>
      <c r="O17"/>
    </row>
    <row r="18" spans="2:15" ht="13.8">
      <c r="B18" s="1424" t="s">
        <v>1202</v>
      </c>
      <c r="C18" s="1425">
        <v>0.9</v>
      </c>
      <c r="D18" s="1416">
        <v>227.97519999999997</v>
      </c>
      <c r="E18"/>
      <c r="G18" s="1424">
        <v>10.5</v>
      </c>
      <c r="H18" s="1425">
        <v>1</v>
      </c>
      <c r="I18" s="1416">
        <v>331.99669999999998</v>
      </c>
      <c r="J18"/>
      <c r="L18" s="1424" t="s">
        <v>4524</v>
      </c>
      <c r="M18" s="1425">
        <v>0.75</v>
      </c>
      <c r="N18" s="1416">
        <v>76.031649999999999</v>
      </c>
      <c r="O18"/>
    </row>
    <row r="19" spans="2:15" ht="13.8">
      <c r="B19" s="1424" t="s">
        <v>1209</v>
      </c>
      <c r="C19" s="1425">
        <v>1</v>
      </c>
      <c r="D19" s="1416">
        <v>205.14324999999999</v>
      </c>
      <c r="E19"/>
      <c r="G19" s="1424">
        <v>11</v>
      </c>
      <c r="H19" s="1425">
        <v>1</v>
      </c>
      <c r="I19" s="1416">
        <v>348.79999999999995</v>
      </c>
      <c r="J19"/>
      <c r="L19" s="1424" t="s">
        <v>4525</v>
      </c>
      <c r="M19" s="1425">
        <v>1</v>
      </c>
      <c r="N19" s="1416">
        <v>75.16</v>
      </c>
      <c r="O19"/>
    </row>
    <row r="20" spans="2:15" ht="13.8">
      <c r="B20" s="1424" t="s">
        <v>1199</v>
      </c>
      <c r="C20" s="1425">
        <v>1</v>
      </c>
      <c r="D20" s="1416">
        <v>187.05</v>
      </c>
      <c r="E20"/>
      <c r="G20" s="1424">
        <v>11.5</v>
      </c>
      <c r="H20" s="1425">
        <v>0.66666666666666663</v>
      </c>
      <c r="I20" s="1416">
        <v>-306.43999999999994</v>
      </c>
      <c r="J20"/>
      <c r="L20" s="1424" t="s">
        <v>4526</v>
      </c>
      <c r="M20" s="1425">
        <v>0.75</v>
      </c>
      <c r="N20" s="1416">
        <v>74.274650000000008</v>
      </c>
      <c r="O20"/>
    </row>
    <row r="21" spans="2:15" ht="13.8">
      <c r="B21" s="1424" t="s">
        <v>2008</v>
      </c>
      <c r="C21" s="1425">
        <v>1</v>
      </c>
      <c r="D21" s="1416">
        <v>185.1566</v>
      </c>
      <c r="E21"/>
      <c r="G21" s="1424">
        <v>12</v>
      </c>
      <c r="H21" s="1425">
        <v>0.9</v>
      </c>
      <c r="I21" s="1416">
        <v>-157.22000000000003</v>
      </c>
      <c r="J21"/>
      <c r="L21" s="1424" t="s">
        <v>4541</v>
      </c>
      <c r="M21" s="1425">
        <v>1</v>
      </c>
      <c r="N21" s="1416">
        <v>72.260000000000005</v>
      </c>
      <c r="O21"/>
    </row>
    <row r="22" spans="2:15" ht="13.8">
      <c r="B22" s="1424" t="s">
        <v>1201</v>
      </c>
      <c r="C22" s="1425">
        <v>0.91666666666666663</v>
      </c>
      <c r="D22" s="1416">
        <v>181.63995000000003</v>
      </c>
      <c r="E22"/>
      <c r="G22" s="1424">
        <v>12.5</v>
      </c>
      <c r="H22" s="1425">
        <v>1</v>
      </c>
      <c r="I22" s="1416">
        <v>385.94319999999999</v>
      </c>
      <c r="J22"/>
      <c r="L22" s="1424" t="s">
        <v>4527</v>
      </c>
      <c r="M22" s="1425">
        <v>1</v>
      </c>
      <c r="N22" s="1416">
        <v>66.98</v>
      </c>
      <c r="O22"/>
    </row>
    <row r="23" spans="2:15" ht="13.8">
      <c r="B23" s="1424" t="s">
        <v>1213</v>
      </c>
      <c r="C23" s="1425">
        <v>1</v>
      </c>
      <c r="D23" s="1416">
        <v>159.94319999999999</v>
      </c>
      <c r="E23"/>
      <c r="G23" s="1424">
        <v>13</v>
      </c>
      <c r="H23" s="1425">
        <v>0.875</v>
      </c>
      <c r="I23" s="1416">
        <v>-199.42000000000004</v>
      </c>
      <c r="J23"/>
      <c r="L23" s="1424" t="s">
        <v>414</v>
      </c>
      <c r="M23" s="1425">
        <v>1</v>
      </c>
      <c r="N23" s="1416">
        <v>66.25</v>
      </c>
      <c r="O23"/>
    </row>
    <row r="24" spans="2:15" ht="13.8">
      <c r="B24" s="1424" t="s">
        <v>3292</v>
      </c>
      <c r="C24" s="1425">
        <v>1</v>
      </c>
      <c r="D24" s="1416">
        <v>144.3913</v>
      </c>
      <c r="E24"/>
      <c r="G24" s="1424">
        <v>13.5</v>
      </c>
      <c r="H24" s="1425">
        <v>0.90909090909090906</v>
      </c>
      <c r="I24" s="1416">
        <v>204.85999999999999</v>
      </c>
      <c r="J24"/>
      <c r="L24" s="1424" t="s">
        <v>1220</v>
      </c>
      <c r="M24" s="1425">
        <v>1</v>
      </c>
      <c r="N24" s="1416">
        <v>65.050000000000011</v>
      </c>
      <c r="O24"/>
    </row>
    <row r="25" spans="2:15" ht="13.8">
      <c r="B25" s="1424" t="s">
        <v>1217</v>
      </c>
      <c r="C25" s="1425">
        <v>1</v>
      </c>
      <c r="D25" s="1416">
        <v>137.48000000000002</v>
      </c>
      <c r="E25"/>
      <c r="G25" s="1424">
        <v>13.79</v>
      </c>
      <c r="H25" s="1425">
        <v>1</v>
      </c>
      <c r="I25" s="1416">
        <v>27.914649999999998</v>
      </c>
      <c r="J25"/>
      <c r="L25" s="1424" t="s">
        <v>4528</v>
      </c>
      <c r="M25" s="1425">
        <v>1</v>
      </c>
      <c r="N25" s="1416">
        <v>64.16</v>
      </c>
      <c r="O25"/>
    </row>
    <row r="26" spans="2:15" ht="13.8">
      <c r="B26" s="1424" t="s">
        <v>4464</v>
      </c>
      <c r="C26" s="1425">
        <v>1</v>
      </c>
      <c r="D26" s="1416">
        <v>135.31764999999999</v>
      </c>
      <c r="E26"/>
      <c r="G26" s="1424">
        <v>13.82</v>
      </c>
      <c r="H26" s="1425">
        <v>1</v>
      </c>
      <c r="I26" s="1416">
        <v>11.02</v>
      </c>
      <c r="J26"/>
      <c r="L26" s="1424" t="s">
        <v>2205</v>
      </c>
      <c r="M26" s="1425">
        <v>1</v>
      </c>
      <c r="N26" s="1416">
        <v>61.72</v>
      </c>
      <c r="O26"/>
    </row>
    <row r="27" spans="2:15" ht="13.8">
      <c r="B27" s="1424" t="s">
        <v>1208</v>
      </c>
      <c r="C27" s="1425">
        <v>0.8</v>
      </c>
      <c r="D27" s="1416">
        <v>107.86165</v>
      </c>
      <c r="E27"/>
      <c r="G27" s="1424">
        <v>14</v>
      </c>
      <c r="H27" s="1425">
        <v>0.9</v>
      </c>
      <c r="I27" s="1416">
        <v>-112.58999999999999</v>
      </c>
      <c r="J27"/>
      <c r="L27" s="1424" t="s">
        <v>1226</v>
      </c>
      <c r="M27" s="1425">
        <v>1</v>
      </c>
      <c r="N27" s="1416">
        <v>61</v>
      </c>
      <c r="O27"/>
    </row>
    <row r="28" spans="2:15" ht="13.8">
      <c r="B28" s="1424" t="s">
        <v>1204</v>
      </c>
      <c r="C28" s="1425">
        <v>1</v>
      </c>
      <c r="D28" s="1416">
        <v>101.64</v>
      </c>
      <c r="E28"/>
      <c r="G28" s="1424">
        <v>14.5</v>
      </c>
      <c r="H28" s="1425">
        <v>1</v>
      </c>
      <c r="I28" s="1416">
        <v>330.24635000000001</v>
      </c>
      <c r="J28"/>
      <c r="L28" s="1424" t="s">
        <v>4529</v>
      </c>
      <c r="M28" s="1425">
        <v>1</v>
      </c>
      <c r="N28" s="1416">
        <v>60.95</v>
      </c>
      <c r="O28"/>
    </row>
    <row r="29" spans="2:15" ht="13.8">
      <c r="B29" s="1424" t="s">
        <v>3634</v>
      </c>
      <c r="C29" s="1425">
        <v>1</v>
      </c>
      <c r="D29" s="1416">
        <v>100.09</v>
      </c>
      <c r="E29"/>
      <c r="G29" s="1424">
        <v>15</v>
      </c>
      <c r="H29" s="1425">
        <v>1</v>
      </c>
      <c r="I29" s="1416">
        <v>90.25</v>
      </c>
      <c r="J29"/>
      <c r="L29" s="1424" t="s">
        <v>4471</v>
      </c>
      <c r="M29" s="1425">
        <v>1</v>
      </c>
      <c r="N29" s="1416">
        <v>59.047649999999997</v>
      </c>
      <c r="O29"/>
    </row>
    <row r="30" spans="2:15" ht="13.8">
      <c r="B30" s="1424" t="s">
        <v>3598</v>
      </c>
      <c r="C30" s="1425">
        <v>1</v>
      </c>
      <c r="D30" s="1416">
        <v>84.08</v>
      </c>
      <c r="E30"/>
      <c r="G30" s="1424">
        <v>15.5</v>
      </c>
      <c r="H30" s="1425">
        <v>1</v>
      </c>
      <c r="I30" s="1416">
        <v>152.62055000000001</v>
      </c>
      <c r="J30"/>
      <c r="L30" s="1424" t="s">
        <v>1229</v>
      </c>
      <c r="M30" s="1425">
        <v>1</v>
      </c>
      <c r="N30" s="1416">
        <v>56.120000000000005</v>
      </c>
      <c r="O30"/>
    </row>
    <row r="31" spans="2:15" ht="13.8">
      <c r="B31" s="1424" t="s">
        <v>2126</v>
      </c>
      <c r="C31" s="1425">
        <v>1</v>
      </c>
      <c r="D31" s="1416">
        <v>61.72</v>
      </c>
      <c r="E31"/>
      <c r="G31" s="1424">
        <v>16</v>
      </c>
      <c r="H31" s="1425">
        <v>1</v>
      </c>
      <c r="I31" s="1416">
        <v>101.23984999999999</v>
      </c>
      <c r="J31"/>
      <c r="L31" s="1424" t="s">
        <v>4530</v>
      </c>
      <c r="M31" s="1425">
        <v>1</v>
      </c>
      <c r="N31" s="1416">
        <v>55.57</v>
      </c>
      <c r="O31"/>
    </row>
    <row r="32" spans="2:15" ht="13.8">
      <c r="B32" s="1424" t="s">
        <v>2066</v>
      </c>
      <c r="C32" s="1425">
        <v>1</v>
      </c>
      <c r="D32" s="1416">
        <v>53.28</v>
      </c>
      <c r="E32"/>
      <c r="G32" s="1424">
        <v>16.5</v>
      </c>
      <c r="H32" s="1425">
        <v>1</v>
      </c>
      <c r="I32" s="1416">
        <v>209.72424999999998</v>
      </c>
      <c r="J32"/>
      <c r="L32" s="1424" t="s">
        <v>1246</v>
      </c>
      <c r="M32" s="1425">
        <v>1</v>
      </c>
      <c r="N32" s="1416">
        <v>54.873249999999999</v>
      </c>
      <c r="O32"/>
    </row>
    <row r="33" spans="2:15" ht="13.8">
      <c r="B33" s="1424" t="s">
        <v>2920</v>
      </c>
      <c r="C33" s="1425">
        <v>1</v>
      </c>
      <c r="D33" s="1416">
        <v>51.85</v>
      </c>
      <c r="E33"/>
      <c r="G33" s="1424">
        <v>17</v>
      </c>
      <c r="H33" s="1425">
        <v>1</v>
      </c>
      <c r="I33" s="1416">
        <v>44.69</v>
      </c>
      <c r="J33"/>
      <c r="L33" s="1424" t="s">
        <v>1534</v>
      </c>
      <c r="M33" s="1425">
        <v>1</v>
      </c>
      <c r="N33" s="1416">
        <v>53.4</v>
      </c>
      <c r="O33"/>
    </row>
    <row r="34" spans="2:15" ht="13.8">
      <c r="B34" s="1424" t="s">
        <v>2406</v>
      </c>
      <c r="C34" s="1425">
        <v>1</v>
      </c>
      <c r="D34" s="1416">
        <v>50.93</v>
      </c>
      <c r="E34"/>
      <c r="G34" s="1424">
        <v>17.5</v>
      </c>
      <c r="H34" s="1425">
        <v>0</v>
      </c>
      <c r="I34" s="1416">
        <v>-72.17</v>
      </c>
      <c r="J34"/>
      <c r="L34" s="1424" t="s">
        <v>4531</v>
      </c>
      <c r="M34" s="1425">
        <v>1</v>
      </c>
      <c r="N34" s="1416">
        <v>53.28</v>
      </c>
      <c r="O34"/>
    </row>
    <row r="35" spans="2:15" ht="13.8">
      <c r="B35" s="1424" t="s">
        <v>4465</v>
      </c>
      <c r="C35" s="1425">
        <v>1</v>
      </c>
      <c r="D35" s="1416">
        <v>43.48</v>
      </c>
      <c r="E35"/>
      <c r="G35" s="1424">
        <v>18.5</v>
      </c>
      <c r="H35" s="1425">
        <v>1</v>
      </c>
      <c r="I35" s="1416">
        <v>63.05</v>
      </c>
      <c r="J35"/>
      <c r="L35" s="1424" t="s">
        <v>4532</v>
      </c>
      <c r="M35" s="1425">
        <v>1</v>
      </c>
      <c r="N35" s="1416">
        <v>51.85</v>
      </c>
      <c r="O35"/>
    </row>
    <row r="36" spans="2:15" ht="13.8">
      <c r="B36" s="1424" t="s">
        <v>4466</v>
      </c>
      <c r="C36" s="1425">
        <v>1</v>
      </c>
      <c r="D36" s="1416">
        <v>42.5</v>
      </c>
      <c r="E36"/>
      <c r="G36" s="1424">
        <v>19</v>
      </c>
      <c r="H36" s="1425">
        <v>1</v>
      </c>
      <c r="I36" s="1416">
        <v>41.379999999999995</v>
      </c>
      <c r="J36"/>
      <c r="L36" s="1424" t="s">
        <v>4533</v>
      </c>
      <c r="M36" s="1425">
        <v>1</v>
      </c>
      <c r="N36" s="1416">
        <v>51.63</v>
      </c>
      <c r="O36"/>
    </row>
    <row r="37" spans="2:15" ht="13.8">
      <c r="B37" s="1424" t="s">
        <v>1585</v>
      </c>
      <c r="C37" s="1425">
        <v>1</v>
      </c>
      <c r="D37" s="1416">
        <v>38.770000000000003</v>
      </c>
      <c r="E37"/>
      <c r="G37" s="1424">
        <v>21</v>
      </c>
      <c r="H37" s="1425">
        <v>1</v>
      </c>
      <c r="I37" s="1416">
        <v>97.65</v>
      </c>
      <c r="J37"/>
      <c r="L37" s="1424" t="s">
        <v>4534</v>
      </c>
      <c r="M37" s="1425">
        <v>1</v>
      </c>
      <c r="N37" s="1416">
        <v>50.93</v>
      </c>
      <c r="O37"/>
    </row>
    <row r="38" spans="2:15" ht="13.8">
      <c r="B38" s="1424" t="s">
        <v>1496</v>
      </c>
      <c r="C38" s="1425">
        <v>1</v>
      </c>
      <c r="D38" s="1416">
        <v>33.85</v>
      </c>
      <c r="E38"/>
      <c r="G38" s="1424">
        <v>22</v>
      </c>
      <c r="H38" s="1425">
        <v>1</v>
      </c>
      <c r="I38" s="1416">
        <v>37.39</v>
      </c>
      <c r="J38"/>
      <c r="L38" s="1424" t="s">
        <v>4535</v>
      </c>
      <c r="M38" s="1425">
        <v>1</v>
      </c>
      <c r="N38" s="1416">
        <v>50.31</v>
      </c>
      <c r="O38"/>
    </row>
    <row r="39" spans="2:15" ht="13.8">
      <c r="B39" s="1424" t="s">
        <v>1596</v>
      </c>
      <c r="C39" s="1425">
        <v>1</v>
      </c>
      <c r="D39" s="1416">
        <v>33.619999999999997</v>
      </c>
      <c r="E39"/>
      <c r="G39" s="1424">
        <v>23</v>
      </c>
      <c r="H39" s="1425">
        <v>1</v>
      </c>
      <c r="I39" s="1416">
        <v>16.61</v>
      </c>
      <c r="J39"/>
      <c r="L39" s="1424" t="s">
        <v>1223</v>
      </c>
      <c r="M39" s="1425">
        <v>1</v>
      </c>
      <c r="N39" s="1416">
        <v>50.02</v>
      </c>
      <c r="O39"/>
    </row>
    <row r="40" spans="2:15" ht="13.8">
      <c r="B40" s="1424" t="s">
        <v>3483</v>
      </c>
      <c r="C40" s="1425">
        <v>1</v>
      </c>
      <c r="D40" s="1416">
        <v>31.83</v>
      </c>
      <c r="E40"/>
      <c r="G40" s="1424">
        <v>25</v>
      </c>
      <c r="H40" s="1425">
        <v>1</v>
      </c>
      <c r="I40" s="1416">
        <v>48.43</v>
      </c>
      <c r="J40"/>
      <c r="L40" s="1424" t="s">
        <v>4536</v>
      </c>
      <c r="M40" s="1425">
        <v>1</v>
      </c>
      <c r="N40" s="1416">
        <v>47.75</v>
      </c>
      <c r="O40"/>
    </row>
    <row r="41" spans="2:15" ht="13.8">
      <c r="B41" s="1424" t="s">
        <v>2921</v>
      </c>
      <c r="C41" s="1425">
        <v>1</v>
      </c>
      <c r="D41" s="1416">
        <v>26.82</v>
      </c>
      <c r="E41"/>
      <c r="G41" s="1424">
        <v>26</v>
      </c>
      <c r="H41" s="1425">
        <v>1</v>
      </c>
      <c r="I41" s="1416">
        <v>30.56</v>
      </c>
      <c r="J41"/>
      <c r="L41" s="1424" t="s">
        <v>4537</v>
      </c>
      <c r="M41" s="1425">
        <v>1</v>
      </c>
      <c r="N41" s="1416">
        <v>47.01</v>
      </c>
      <c r="O41"/>
    </row>
    <row r="42" spans="2:15" ht="13.8">
      <c r="B42" s="1424" t="s">
        <v>1216</v>
      </c>
      <c r="C42" s="1425">
        <v>1</v>
      </c>
      <c r="D42" s="1416">
        <v>22.48</v>
      </c>
      <c r="E42"/>
      <c r="G42" s="1424">
        <v>28</v>
      </c>
      <c r="H42" s="1425">
        <v>1</v>
      </c>
      <c r="I42" s="1416">
        <v>14.14</v>
      </c>
      <c r="J42"/>
      <c r="L42" s="1424" t="s">
        <v>4472</v>
      </c>
      <c r="M42" s="1425">
        <v>1</v>
      </c>
      <c r="N42" s="1416">
        <v>46.69</v>
      </c>
      <c r="O42"/>
    </row>
    <row r="43" spans="2:15" ht="13.8">
      <c r="B43" s="1424" t="s">
        <v>1214</v>
      </c>
      <c r="C43" s="1425">
        <v>1</v>
      </c>
      <c r="D43" s="1416">
        <v>5.0199999999999996</v>
      </c>
      <c r="E43"/>
      <c r="G43" s="1424">
        <v>29</v>
      </c>
      <c r="H43" s="1425">
        <v>1</v>
      </c>
      <c r="I43" s="1416">
        <v>14.67</v>
      </c>
      <c r="J43"/>
      <c r="L43" s="1424" t="s">
        <v>4473</v>
      </c>
      <c r="M43" s="1425">
        <v>1</v>
      </c>
      <c r="N43" s="1416">
        <v>46.58</v>
      </c>
      <c r="O43"/>
    </row>
    <row r="44" spans="2:15" ht="13.8">
      <c r="B44" s="1424" t="s">
        <v>1211</v>
      </c>
      <c r="C44" s="1425">
        <v>0</v>
      </c>
      <c r="D44" s="1416">
        <v>-1.04</v>
      </c>
      <c r="E44"/>
      <c r="G44" s="1424">
        <v>30</v>
      </c>
      <c r="H44" s="1425">
        <v>1</v>
      </c>
      <c r="I44" s="1416">
        <v>13.17</v>
      </c>
      <c r="J44"/>
      <c r="L44" s="1424" t="s">
        <v>4538</v>
      </c>
      <c r="M44" s="1425">
        <v>1</v>
      </c>
      <c r="N44" s="1416">
        <v>43.48</v>
      </c>
      <c r="O44"/>
    </row>
    <row r="45" spans="2:15" ht="13.8">
      <c r="B45" s="1424" t="s">
        <v>3291</v>
      </c>
      <c r="C45" s="1425">
        <v>0.5</v>
      </c>
      <c r="D45" s="1416">
        <v>-41.61</v>
      </c>
      <c r="E45"/>
      <c r="G45" s="1424">
        <v>34</v>
      </c>
      <c r="H45" s="1425">
        <v>1</v>
      </c>
      <c r="I45" s="1416">
        <v>11</v>
      </c>
      <c r="J45"/>
      <c r="L45" s="1424" t="s">
        <v>4539</v>
      </c>
      <c r="M45" s="1425">
        <v>1</v>
      </c>
      <c r="N45" s="1416">
        <v>43.4</v>
      </c>
      <c r="O45"/>
    </row>
    <row r="46" spans="2:15" ht="13.8">
      <c r="B46" s="1424" t="s">
        <v>3767</v>
      </c>
      <c r="C46" s="1425">
        <v>0.8</v>
      </c>
      <c r="D46" s="1416">
        <v>-101.21000000000001</v>
      </c>
      <c r="E46"/>
      <c r="G46" s="1424">
        <v>38</v>
      </c>
      <c r="H46" s="1425">
        <v>1</v>
      </c>
      <c r="I46" s="1416">
        <v>10.323550000000001</v>
      </c>
      <c r="J46"/>
      <c r="L46" s="1424" t="s">
        <v>4540</v>
      </c>
      <c r="M46" s="1425">
        <v>1</v>
      </c>
      <c r="N46" s="1416">
        <v>42.5</v>
      </c>
      <c r="O46"/>
    </row>
    <row r="47" spans="2:15" ht="13.8">
      <c r="B47" s="1424" t="s">
        <v>1207</v>
      </c>
      <c r="C47" s="1425">
        <v>0.83333333333333337</v>
      </c>
      <c r="D47" s="1416">
        <v>-135.82000000000005</v>
      </c>
      <c r="E47"/>
      <c r="G47" s="1424">
        <v>44</v>
      </c>
      <c r="H47" s="1425">
        <v>1</v>
      </c>
      <c r="I47" s="1416">
        <v>9.3000000000000007</v>
      </c>
      <c r="J47"/>
      <c r="L47" s="1424" t="s">
        <v>4542</v>
      </c>
      <c r="M47" s="1425">
        <v>1</v>
      </c>
      <c r="N47" s="1416">
        <v>40.32</v>
      </c>
      <c r="O47"/>
    </row>
    <row r="48" spans="2:15" ht="13.8">
      <c r="B48" s="1424" t="s">
        <v>3023</v>
      </c>
      <c r="C48" s="1425">
        <v>0.8</v>
      </c>
      <c r="D48" s="1416">
        <v>-232.93000000000006</v>
      </c>
      <c r="E48"/>
      <c r="G48" s="1424">
        <v>50</v>
      </c>
      <c r="H48" s="1425">
        <v>1</v>
      </c>
      <c r="I48" s="1416">
        <v>7.7927999999999997</v>
      </c>
      <c r="J48"/>
      <c r="L48" s="1424" t="s">
        <v>4543</v>
      </c>
      <c r="M48" s="1425">
        <v>1</v>
      </c>
      <c r="N48" s="1416">
        <v>40.32</v>
      </c>
      <c r="O48"/>
    </row>
    <row r="49" spans="2:15" ht="13.8">
      <c r="B49" s="1424" t="s">
        <v>2787</v>
      </c>
      <c r="C49" s="1425">
        <v>0.75</v>
      </c>
      <c r="D49" s="1416">
        <v>-308.86</v>
      </c>
      <c r="E49"/>
      <c r="G49" s="1424">
        <v>15.066348655680832</v>
      </c>
      <c r="H49" s="1425">
        <v>1</v>
      </c>
      <c r="I49" s="1416">
        <v>38.36</v>
      </c>
      <c r="J49"/>
      <c r="L49" s="1424" t="s">
        <v>4544</v>
      </c>
      <c r="M49" s="1425">
        <v>1</v>
      </c>
      <c r="N49" s="1416">
        <v>39.79</v>
      </c>
      <c r="O49"/>
    </row>
    <row r="50" spans="2:15" ht="13.8">
      <c r="B50" s="1424" t="s">
        <v>2128</v>
      </c>
      <c r="C50" s="1425">
        <v>0.75</v>
      </c>
      <c r="D50" s="1416">
        <v>-312.54000000000002</v>
      </c>
      <c r="E50"/>
      <c r="G50" s="1424">
        <v>8.2190371887053004</v>
      </c>
      <c r="H50" s="1425">
        <v>1</v>
      </c>
      <c r="I50" s="1416">
        <v>55.57</v>
      </c>
      <c r="J50"/>
      <c r="L50" s="1424" t="s">
        <v>4545</v>
      </c>
      <c r="M50" s="1425">
        <v>1</v>
      </c>
      <c r="N50" s="1416">
        <v>38.770000000000003</v>
      </c>
      <c r="O50"/>
    </row>
    <row r="51" spans="2:15" ht="13.8">
      <c r="B51" s="1424" t="s">
        <v>1205</v>
      </c>
      <c r="C51" s="1425">
        <v>0.5</v>
      </c>
      <c r="D51" s="1416">
        <v>-328.89</v>
      </c>
      <c r="E51"/>
      <c r="G51" s="1424">
        <v>10.525</v>
      </c>
      <c r="H51" s="1425">
        <v>1</v>
      </c>
      <c r="I51" s="1416">
        <v>40.11</v>
      </c>
      <c r="J51"/>
      <c r="L51" s="1424" t="s">
        <v>4546</v>
      </c>
      <c r="M51" s="1425">
        <v>1</v>
      </c>
      <c r="N51" s="1416">
        <v>37.07</v>
      </c>
      <c r="O51"/>
    </row>
    <row r="52" spans="2:15" ht="13.8">
      <c r="B52" s="1424" t="s">
        <v>1438</v>
      </c>
      <c r="C52" s="1425">
        <v>0.5</v>
      </c>
      <c r="D52" s="1416">
        <v>-371.33000000000004</v>
      </c>
      <c r="E52"/>
      <c r="G52" s="1424" t="s">
        <v>267</v>
      </c>
      <c r="H52" s="1425">
        <v>0.9269406392694064</v>
      </c>
      <c r="I52" s="1416">
        <v>2849.4664499999994</v>
      </c>
      <c r="J52"/>
      <c r="L52" s="1424" t="s">
        <v>1249</v>
      </c>
      <c r="M52" s="1425">
        <v>1</v>
      </c>
      <c r="N52" s="1416">
        <v>36.29</v>
      </c>
      <c r="O52"/>
    </row>
    <row r="53" spans="2:15" ht="13.8">
      <c r="B53" s="1424" t="s">
        <v>3633</v>
      </c>
      <c r="C53" s="1425">
        <v>0</v>
      </c>
      <c r="D53" s="1416">
        <v>-399.96</v>
      </c>
      <c r="E53"/>
      <c r="G53"/>
      <c r="H53"/>
      <c r="I53"/>
      <c r="J53"/>
      <c r="L53" s="1424" t="s">
        <v>4547</v>
      </c>
      <c r="M53" s="1425">
        <v>1</v>
      </c>
      <c r="N53" s="1416">
        <v>36.130000000000003</v>
      </c>
      <c r="O53"/>
    </row>
    <row r="54" spans="2:15" ht="13.8">
      <c r="B54" s="1424" t="s">
        <v>1357</v>
      </c>
      <c r="C54" s="1425">
        <v>1</v>
      </c>
      <c r="D54" s="1416">
        <v>36.729999999999997</v>
      </c>
      <c r="G54"/>
      <c r="H54"/>
      <c r="I54"/>
      <c r="J54"/>
      <c r="L54" s="1424" t="s">
        <v>1224</v>
      </c>
      <c r="M54" s="1425">
        <v>1</v>
      </c>
      <c r="N54" s="1416">
        <v>34.659999999999997</v>
      </c>
      <c r="O54"/>
    </row>
    <row r="55" spans="2:15" ht="13.8">
      <c r="B55" s="1424" t="s">
        <v>1359</v>
      </c>
      <c r="C55" s="1425">
        <v>1</v>
      </c>
      <c r="D55" s="1416">
        <v>36.729999999999997</v>
      </c>
      <c r="G55"/>
      <c r="H55"/>
      <c r="I55"/>
      <c r="J55"/>
      <c r="L55" s="1424" t="s">
        <v>4548</v>
      </c>
      <c r="M55" s="1425">
        <v>1</v>
      </c>
      <c r="N55" s="1416">
        <v>33.85</v>
      </c>
      <c r="O55"/>
    </row>
    <row r="56" spans="2:15" ht="13.8">
      <c r="B56" s="1424" t="s">
        <v>1576</v>
      </c>
      <c r="C56" s="1425">
        <v>1</v>
      </c>
      <c r="D56" s="1416">
        <v>336.94000000000005</v>
      </c>
      <c r="G56"/>
      <c r="H56"/>
      <c r="I56"/>
      <c r="J56"/>
      <c r="L56" s="1424" t="s">
        <v>4549</v>
      </c>
      <c r="M56" s="1425">
        <v>1</v>
      </c>
      <c r="N56" s="1416">
        <v>33.619999999999997</v>
      </c>
      <c r="O56"/>
    </row>
    <row r="57" spans="2:15" ht="13.8">
      <c r="B57" s="1424" t="s">
        <v>1359</v>
      </c>
      <c r="C57" s="1425">
        <v>1</v>
      </c>
      <c r="D57" s="1416">
        <v>166.35</v>
      </c>
      <c r="G57"/>
      <c r="H57"/>
      <c r="I57"/>
      <c r="J57"/>
      <c r="L57" s="1424" t="s">
        <v>3026</v>
      </c>
      <c r="M57" s="1425">
        <v>1</v>
      </c>
      <c r="N57" s="1416">
        <v>33.08</v>
      </c>
      <c r="O57"/>
    </row>
    <row r="58" spans="2:15" ht="13.8">
      <c r="B58" s="1424" t="s">
        <v>1210</v>
      </c>
      <c r="C58" s="1425">
        <v>1</v>
      </c>
      <c r="D58" s="1416">
        <v>63.59</v>
      </c>
      <c r="E58"/>
      <c r="G58"/>
      <c r="H58"/>
      <c r="I58"/>
      <c r="J58"/>
      <c r="L58" s="1424" t="s">
        <v>1228</v>
      </c>
      <c r="M58" s="1425">
        <v>1</v>
      </c>
      <c r="N58" s="1416">
        <v>32.54</v>
      </c>
      <c r="O58"/>
    </row>
    <row r="59" spans="2:15" ht="13.8">
      <c r="B59" s="1424" t="s">
        <v>1200</v>
      </c>
      <c r="C59" s="1425">
        <v>1</v>
      </c>
      <c r="D59" s="1416">
        <v>40.32</v>
      </c>
      <c r="E59"/>
      <c r="G59"/>
      <c r="H59"/>
      <c r="I59"/>
      <c r="J59"/>
      <c r="L59" s="1424" t="s">
        <v>4550</v>
      </c>
      <c r="M59" s="1425">
        <v>1</v>
      </c>
      <c r="N59" s="1416">
        <v>31.83</v>
      </c>
      <c r="O59"/>
    </row>
    <row r="60" spans="2:15" ht="13.8">
      <c r="B60" s="1424" t="s">
        <v>2008</v>
      </c>
      <c r="C60" s="1425">
        <v>1</v>
      </c>
      <c r="D60" s="1416">
        <v>36.29</v>
      </c>
      <c r="E60"/>
      <c r="G60"/>
      <c r="H60"/>
      <c r="I60"/>
      <c r="J60"/>
      <c r="L60" s="1424" t="s">
        <v>4551</v>
      </c>
      <c r="M60" s="1425">
        <v>1</v>
      </c>
      <c r="N60" s="1416">
        <v>31.83</v>
      </c>
      <c r="O60"/>
    </row>
    <row r="61" spans="2:15" ht="13.8">
      <c r="B61" s="1424" t="s">
        <v>1207</v>
      </c>
      <c r="C61" s="1425">
        <v>1</v>
      </c>
      <c r="D61" s="1416">
        <v>30.39</v>
      </c>
      <c r="E61"/>
      <c r="G61"/>
      <c r="H61"/>
      <c r="I61"/>
      <c r="J61"/>
      <c r="L61" s="1424" t="s">
        <v>4552</v>
      </c>
      <c r="M61" s="1425">
        <v>1</v>
      </c>
      <c r="N61" s="1416">
        <v>31.553199999999997</v>
      </c>
      <c r="O61"/>
    </row>
    <row r="62" spans="2:15" ht="13.8">
      <c r="B62" s="1424" t="s">
        <v>3350</v>
      </c>
      <c r="C62" s="1425">
        <v>1</v>
      </c>
      <c r="D62" s="1416">
        <v>639.3614</v>
      </c>
      <c r="E62"/>
      <c r="G62"/>
      <c r="H62"/>
      <c r="I62"/>
      <c r="J62"/>
      <c r="L62" s="1424" t="s">
        <v>4553</v>
      </c>
      <c r="M62" s="1425">
        <v>1</v>
      </c>
      <c r="N62" s="1416">
        <v>30.56</v>
      </c>
      <c r="O62"/>
    </row>
    <row r="63" spans="2:15" ht="13.8">
      <c r="B63" s="1424" t="s">
        <v>3291</v>
      </c>
      <c r="C63" s="1425">
        <v>1</v>
      </c>
      <c r="D63" s="1416">
        <v>639.3614</v>
      </c>
      <c r="E63"/>
      <c r="G63"/>
      <c r="H63"/>
      <c r="I63"/>
      <c r="J63"/>
      <c r="L63" s="1424" t="s">
        <v>4554</v>
      </c>
      <c r="M63" s="1425">
        <v>1</v>
      </c>
      <c r="N63" s="1416">
        <v>28.65</v>
      </c>
      <c r="O63"/>
    </row>
    <row r="64" spans="2:15" ht="13.8">
      <c r="B64" s="1424" t="s">
        <v>3743</v>
      </c>
      <c r="C64" s="1425">
        <v>1</v>
      </c>
      <c r="D64" s="1416">
        <v>28.3</v>
      </c>
      <c r="E64"/>
      <c r="G64"/>
      <c r="H64"/>
      <c r="I64"/>
      <c r="J64"/>
      <c r="L64" s="1424" t="s">
        <v>3599</v>
      </c>
      <c r="M64" s="1425">
        <v>1</v>
      </c>
      <c r="N64" s="1416">
        <v>26.82</v>
      </c>
      <c r="O64"/>
    </row>
    <row r="65" spans="2:15" ht="13.8">
      <c r="B65" s="1424" t="s">
        <v>3291</v>
      </c>
      <c r="C65" s="1425">
        <v>1</v>
      </c>
      <c r="D65" s="1416">
        <v>28.3</v>
      </c>
      <c r="E65"/>
      <c r="G65"/>
      <c r="H65"/>
      <c r="I65"/>
      <c r="J65"/>
      <c r="L65" s="1424" t="s">
        <v>1560</v>
      </c>
      <c r="M65" s="1425">
        <v>1</v>
      </c>
      <c r="N65" s="1416">
        <v>24.92</v>
      </c>
      <c r="O65"/>
    </row>
    <row r="66" spans="2:15" ht="13.8">
      <c r="B66" s="1424" t="s">
        <v>267</v>
      </c>
      <c r="C66" s="1425">
        <v>0.92660550458715596</v>
      </c>
      <c r="D66" s="1416">
        <v>2822.1864500000001</v>
      </c>
      <c r="E66"/>
      <c r="G66"/>
      <c r="H66"/>
      <c r="I66"/>
      <c r="J66"/>
      <c r="L66" s="1424" t="s">
        <v>4555</v>
      </c>
      <c r="M66" s="1425">
        <v>1</v>
      </c>
      <c r="N66" s="1416">
        <v>24.64</v>
      </c>
      <c r="O66"/>
    </row>
    <row r="67" spans="2:15" ht="13.8">
      <c r="B67"/>
      <c r="C67"/>
      <c r="D67"/>
      <c r="E67"/>
      <c r="G67"/>
      <c r="H67"/>
      <c r="I67"/>
      <c r="J67"/>
      <c r="L67" s="1424" t="s">
        <v>4556</v>
      </c>
      <c r="M67" s="1425">
        <v>1</v>
      </c>
      <c r="N67" s="1416">
        <v>23.34</v>
      </c>
      <c r="O67"/>
    </row>
    <row r="68" spans="2:15" ht="13.8">
      <c r="B68"/>
      <c r="C68"/>
      <c r="D68"/>
      <c r="E68"/>
      <c r="G68"/>
      <c r="H68"/>
      <c r="I68"/>
      <c r="J68"/>
      <c r="L68" s="1424" t="s">
        <v>4557</v>
      </c>
      <c r="M68" s="1425">
        <v>1</v>
      </c>
      <c r="N68" s="1416">
        <v>17.059999999999999</v>
      </c>
      <c r="O68"/>
    </row>
    <row r="69" spans="2:15" ht="13.8">
      <c r="B69"/>
      <c r="C69"/>
      <c r="D69"/>
      <c r="E69"/>
      <c r="G69"/>
      <c r="H69"/>
      <c r="I69"/>
      <c r="J69"/>
      <c r="L69" s="1424" t="s">
        <v>1222</v>
      </c>
      <c r="M69" s="1425">
        <v>1</v>
      </c>
      <c r="N69" s="1416">
        <v>17.059999999999999</v>
      </c>
      <c r="O69"/>
    </row>
    <row r="70" spans="2:15" ht="13.8">
      <c r="B70"/>
      <c r="C70"/>
      <c r="D70"/>
      <c r="E70"/>
      <c r="G70"/>
      <c r="H70"/>
      <c r="I70"/>
      <c r="J70"/>
      <c r="L70" s="1424" t="s">
        <v>1227</v>
      </c>
      <c r="M70" s="1425">
        <v>1</v>
      </c>
      <c r="N70" s="1416">
        <v>16.73</v>
      </c>
      <c r="O70"/>
    </row>
    <row r="71" spans="2:15" ht="13.8">
      <c r="B71"/>
      <c r="C71"/>
      <c r="D71"/>
      <c r="E71"/>
      <c r="G71"/>
      <c r="H71"/>
      <c r="I71"/>
      <c r="J71"/>
      <c r="L71" s="1424" t="s">
        <v>4558</v>
      </c>
      <c r="M71" s="1425">
        <v>1</v>
      </c>
      <c r="N71" s="1416">
        <v>16.61</v>
      </c>
      <c r="O71"/>
    </row>
    <row r="72" spans="2:15" ht="13.8">
      <c r="B72"/>
      <c r="C72"/>
      <c r="D72"/>
      <c r="E72"/>
      <c r="G72"/>
      <c r="H72"/>
      <c r="I72"/>
      <c r="J72"/>
      <c r="L72" s="1424" t="s">
        <v>4561</v>
      </c>
      <c r="M72" s="1425">
        <v>0.83333333333333337</v>
      </c>
      <c r="N72" s="1416">
        <v>15.229950000000017</v>
      </c>
      <c r="O72"/>
    </row>
    <row r="73" spans="2:15" ht="13.8">
      <c r="B73"/>
      <c r="C73"/>
      <c r="D73"/>
      <c r="E73"/>
      <c r="G73"/>
      <c r="H73"/>
      <c r="I73"/>
      <c r="J73"/>
      <c r="L73" s="1424" t="s">
        <v>4559</v>
      </c>
      <c r="M73" s="1425">
        <v>1</v>
      </c>
      <c r="N73" s="1416">
        <v>5.0199999999999996</v>
      </c>
      <c r="O73"/>
    </row>
    <row r="74" spans="2:15" ht="13.8">
      <c r="B74"/>
      <c r="C74"/>
      <c r="D74"/>
      <c r="E74"/>
      <c r="G74"/>
      <c r="H74"/>
      <c r="I74"/>
      <c r="J74"/>
      <c r="L74" s="1424" t="s">
        <v>4560</v>
      </c>
      <c r="M74" s="1425">
        <v>0</v>
      </c>
      <c r="N74" s="1416">
        <v>-1.04</v>
      </c>
      <c r="O74"/>
    </row>
    <row r="75" spans="2:15" ht="13.8">
      <c r="B75"/>
      <c r="C75"/>
      <c r="D75"/>
      <c r="E75"/>
      <c r="G75"/>
      <c r="H75"/>
      <c r="I75"/>
      <c r="J75"/>
      <c r="L75" s="1424" t="s">
        <v>4562</v>
      </c>
      <c r="M75" s="1425">
        <v>0</v>
      </c>
      <c r="N75" s="1416">
        <v>-72.17</v>
      </c>
      <c r="O75"/>
    </row>
    <row r="76" spans="2:15" ht="13.8">
      <c r="B76"/>
      <c r="C76"/>
      <c r="D76"/>
      <c r="E76"/>
      <c r="G76"/>
      <c r="H76"/>
      <c r="I76"/>
      <c r="J76"/>
      <c r="L76" s="1424" t="s">
        <v>1556</v>
      </c>
      <c r="M76" s="1425">
        <v>0.8</v>
      </c>
      <c r="N76" s="1416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424" t="s">
        <v>1388</v>
      </c>
      <c r="M77" s="1425">
        <v>0.75</v>
      </c>
      <c r="N77" s="1416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424" t="s">
        <v>4563</v>
      </c>
      <c r="M78" s="1425">
        <v>0.5</v>
      </c>
      <c r="N78" s="1416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424" t="s">
        <v>4564</v>
      </c>
      <c r="M79" s="1425">
        <v>0.5</v>
      </c>
      <c r="N79" s="1416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424" t="s">
        <v>4474</v>
      </c>
      <c r="M80" s="1425">
        <v>0</v>
      </c>
      <c r="N80" s="1416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424" t="s">
        <v>4565</v>
      </c>
      <c r="M81" s="1425">
        <v>0</v>
      </c>
      <c r="N81" s="1416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424" t="s">
        <v>4154</v>
      </c>
      <c r="M82" s="1425">
        <v>0</v>
      </c>
      <c r="N82" s="1416">
        <v>-399.98</v>
      </c>
      <c r="O82"/>
    </row>
    <row r="83" spans="2:15" ht="13.8">
      <c r="B83"/>
      <c r="C83"/>
      <c r="G83"/>
      <c r="H83"/>
      <c r="I83"/>
      <c r="J83"/>
      <c r="L83" s="1424" t="s">
        <v>4566</v>
      </c>
      <c r="M83" s="1425">
        <v>0</v>
      </c>
      <c r="N83" s="1416">
        <v>-425.04</v>
      </c>
      <c r="O83"/>
    </row>
    <row r="84" spans="2:15" ht="13.8">
      <c r="B84"/>
      <c r="C84"/>
      <c r="G84"/>
      <c r="H84"/>
      <c r="I84"/>
      <c r="J84"/>
      <c r="L84" s="1424" t="s">
        <v>1576</v>
      </c>
      <c r="M84" s="1425">
        <v>1</v>
      </c>
      <c r="N84" s="1416">
        <v>336.93999999999994</v>
      </c>
      <c r="O84"/>
    </row>
    <row r="85" spans="2:15" ht="13.8">
      <c r="B85"/>
      <c r="C85"/>
      <c r="G85"/>
      <c r="H85"/>
      <c r="I85"/>
      <c r="J85"/>
      <c r="L85" s="1424" t="s">
        <v>1534</v>
      </c>
      <c r="M85" s="1425">
        <v>1</v>
      </c>
      <c r="N85" s="1416">
        <v>78.84</v>
      </c>
      <c r="O85"/>
    </row>
    <row r="86" spans="2:15" ht="13.8">
      <c r="B86"/>
      <c r="C86"/>
      <c r="G86"/>
      <c r="H86"/>
      <c r="I86"/>
      <c r="J86"/>
      <c r="L86" s="1424" t="s">
        <v>4567</v>
      </c>
      <c r="M86" s="1425">
        <v>1</v>
      </c>
      <c r="N86" s="1416">
        <v>44.96</v>
      </c>
      <c r="O86"/>
    </row>
    <row r="87" spans="2:15" ht="13.8">
      <c r="B87"/>
      <c r="C87"/>
      <c r="G87"/>
      <c r="H87"/>
      <c r="I87"/>
      <c r="J87"/>
      <c r="L87" s="1424" t="s">
        <v>4520</v>
      </c>
      <c r="M87" s="1425">
        <v>1</v>
      </c>
      <c r="N87" s="1416">
        <v>42.55</v>
      </c>
      <c r="O87"/>
    </row>
    <row r="88" spans="2:15" ht="13.8">
      <c r="B88"/>
      <c r="C88"/>
      <c r="G88"/>
      <c r="H88"/>
      <c r="I88"/>
      <c r="J88"/>
      <c r="L88" s="1424" t="s">
        <v>2621</v>
      </c>
      <c r="M88" s="1425">
        <v>1</v>
      </c>
      <c r="N88" s="1416">
        <v>40.32</v>
      </c>
      <c r="O88"/>
    </row>
    <row r="89" spans="2:15" ht="13.8">
      <c r="B89"/>
      <c r="C89"/>
      <c r="G89"/>
      <c r="H89"/>
      <c r="I89"/>
      <c r="J89"/>
      <c r="L89" s="1424" t="s">
        <v>4568</v>
      </c>
      <c r="M89" s="1425">
        <v>1</v>
      </c>
      <c r="N89" s="1416">
        <v>36.29</v>
      </c>
      <c r="O89"/>
    </row>
    <row r="90" spans="2:15" ht="13.8">
      <c r="B90"/>
      <c r="C90"/>
      <c r="G90"/>
      <c r="H90"/>
      <c r="I90"/>
      <c r="J90"/>
      <c r="L90" s="1424" t="s">
        <v>4569</v>
      </c>
      <c r="M90" s="1425">
        <v>1</v>
      </c>
      <c r="N90" s="1416">
        <v>34.56</v>
      </c>
      <c r="O90"/>
    </row>
    <row r="91" spans="2:15" ht="13.8">
      <c r="B91"/>
      <c r="C91"/>
      <c r="G91"/>
      <c r="H91"/>
      <c r="I91"/>
      <c r="J91"/>
      <c r="L91" s="1424" t="s">
        <v>4525</v>
      </c>
      <c r="M91" s="1425">
        <v>1</v>
      </c>
      <c r="N91" s="1416">
        <v>30.39</v>
      </c>
      <c r="O91"/>
    </row>
    <row r="92" spans="2:15" ht="13.8">
      <c r="B92"/>
      <c r="C92"/>
      <c r="G92"/>
      <c r="H92"/>
      <c r="I92"/>
      <c r="J92"/>
      <c r="L92" s="1424" t="s">
        <v>4570</v>
      </c>
      <c r="M92" s="1425">
        <v>1</v>
      </c>
      <c r="N92" s="1416">
        <v>29.03</v>
      </c>
      <c r="O92"/>
    </row>
    <row r="93" spans="2:15" ht="13.8">
      <c r="B93"/>
      <c r="C93"/>
      <c r="G93"/>
      <c r="H93"/>
      <c r="I93"/>
      <c r="J93"/>
      <c r="L93" s="1424" t="s">
        <v>267</v>
      </c>
      <c r="M93" s="1425">
        <v>0.92261904761904767</v>
      </c>
      <c r="N93" s="1416">
        <v>1919.591899999999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422" t="s">
        <v>72</v>
      </c>
      <c r="C2" s="1423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422" t="s">
        <v>266</v>
      </c>
      <c r="C4" s="1423" t="s">
        <v>1231</v>
      </c>
      <c r="D4" s="1423" t="s">
        <v>839</v>
      </c>
      <c r="E4"/>
      <c r="G4" s="1413"/>
      <c r="H4" s="1413" t="s">
        <v>499</v>
      </c>
      <c r="I4" s="1413"/>
      <c r="J4" s="1413"/>
      <c r="K4"/>
      <c r="L4" s="1413" t="s">
        <v>266</v>
      </c>
      <c r="M4" s="1413" t="s">
        <v>3972</v>
      </c>
      <c r="N4" s="1413" t="s">
        <v>839</v>
      </c>
      <c r="O4"/>
    </row>
    <row r="5" spans="2:128" ht="13.8">
      <c r="B5" s="1424" t="s">
        <v>1199</v>
      </c>
      <c r="C5" s="1425">
        <v>0.83333333333333337</v>
      </c>
      <c r="D5" s="1416">
        <v>-0.16503172726249163</v>
      </c>
      <c r="E5"/>
      <c r="G5" s="1413"/>
      <c r="H5" s="1413" t="s">
        <v>626</v>
      </c>
      <c r="I5" s="1413"/>
      <c r="J5" s="1413"/>
      <c r="K5"/>
      <c r="L5" s="1427">
        <v>9.8000000000000007</v>
      </c>
      <c r="M5" s="1415">
        <v>1</v>
      </c>
      <c r="N5" s="1415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424" t="s">
        <v>1210</v>
      </c>
      <c r="C6" s="1425">
        <v>0.83333333333333337</v>
      </c>
      <c r="D6" s="1416">
        <v>0.17565935333952246</v>
      </c>
      <c r="E6"/>
      <c r="G6" s="1413" t="s">
        <v>266</v>
      </c>
      <c r="H6" s="1413" t="s">
        <v>1232</v>
      </c>
      <c r="I6" s="1413" t="s">
        <v>1231</v>
      </c>
      <c r="J6" s="1413" t="s">
        <v>839</v>
      </c>
      <c r="K6"/>
      <c r="L6" s="1427">
        <v>11</v>
      </c>
      <c r="M6" s="1415">
        <v>2</v>
      </c>
      <c r="N6" s="1415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424" t="s">
        <v>1211</v>
      </c>
      <c r="C7" s="1425">
        <v>1</v>
      </c>
      <c r="D7" s="1416">
        <v>4.3413892445582587E-2</v>
      </c>
      <c r="E7"/>
      <c r="G7" s="1426" t="s">
        <v>4107</v>
      </c>
      <c r="H7" s="1415">
        <v>17</v>
      </c>
      <c r="I7" s="1428">
        <v>1</v>
      </c>
      <c r="J7" s="1415">
        <v>5.9701492537313432E-2</v>
      </c>
      <c r="K7"/>
      <c r="L7" s="1427">
        <v>12.5</v>
      </c>
      <c r="M7" s="1415">
        <v>1</v>
      </c>
      <c r="N7" s="1415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424" t="s">
        <v>1209</v>
      </c>
      <c r="C8" s="1425">
        <v>0.8</v>
      </c>
      <c r="D8" s="1416">
        <v>0.1299090077896633</v>
      </c>
      <c r="E8"/>
      <c r="G8" s="1426" t="s">
        <v>4108</v>
      </c>
      <c r="H8" s="1415">
        <v>21</v>
      </c>
      <c r="I8" s="1428">
        <v>0.5</v>
      </c>
      <c r="J8" s="1415">
        <v>-0.4312185606521009</v>
      </c>
      <c r="K8"/>
      <c r="L8" s="1427">
        <v>13.5</v>
      </c>
      <c r="M8" s="1415">
        <v>3</v>
      </c>
      <c r="N8" s="1415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424" t="s">
        <v>1218</v>
      </c>
      <c r="C9" s="1425">
        <v>0.5</v>
      </c>
      <c r="D9" s="1416">
        <v>-4.3495555649665681E-2</v>
      </c>
      <c r="E9"/>
      <c r="G9" s="1426" t="s">
        <v>4109</v>
      </c>
      <c r="H9" s="1415">
        <v>15</v>
      </c>
      <c r="I9" s="1428">
        <v>1</v>
      </c>
      <c r="J9" s="1415">
        <v>6.8214285714285713E-2</v>
      </c>
      <c r="K9"/>
      <c r="L9" s="1427">
        <v>14</v>
      </c>
      <c r="M9" s="1415">
        <v>3</v>
      </c>
      <c r="N9" s="1415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424" t="s">
        <v>1217</v>
      </c>
      <c r="C10" s="1425">
        <v>1</v>
      </c>
      <c r="D10" s="1416">
        <v>3.6742363665440585E-2</v>
      </c>
      <c r="E10"/>
      <c r="G10" s="1426" t="s">
        <v>4110</v>
      </c>
      <c r="H10" s="1415">
        <v>21</v>
      </c>
      <c r="I10" s="1428">
        <v>1</v>
      </c>
      <c r="J10" s="1415">
        <v>4.7750000000000001E-2</v>
      </c>
      <c r="K10"/>
      <c r="L10" s="1427">
        <v>14.5</v>
      </c>
      <c r="M10" s="1415">
        <v>1</v>
      </c>
      <c r="N10" s="1415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424" t="s">
        <v>1201</v>
      </c>
      <c r="C11" s="1425">
        <v>0.75</v>
      </c>
      <c r="D11" s="1416">
        <v>-0.23308441012304315</v>
      </c>
      <c r="E11"/>
      <c r="G11" s="1426" t="s">
        <v>1246</v>
      </c>
      <c r="H11" s="1415">
        <v>21</v>
      </c>
      <c r="I11" s="1428">
        <v>1</v>
      </c>
      <c r="J11" s="1415">
        <v>4.7750000000000001E-2</v>
      </c>
      <c r="K11"/>
      <c r="L11" s="1427">
        <v>15</v>
      </c>
      <c r="M11" s="1415">
        <v>2</v>
      </c>
      <c r="N11" s="1415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424" t="s">
        <v>1213</v>
      </c>
      <c r="C12" s="1425">
        <v>1</v>
      </c>
      <c r="D12" s="1416">
        <v>0.11792173913043479</v>
      </c>
      <c r="E12"/>
      <c r="G12" s="1426" t="s">
        <v>4111</v>
      </c>
      <c r="H12" s="1415">
        <v>20.5</v>
      </c>
      <c r="I12" s="1428">
        <v>1</v>
      </c>
      <c r="J12" s="1415">
        <v>9.7988376226910895E-2</v>
      </c>
      <c r="K12"/>
      <c r="L12" s="1427">
        <v>15.5</v>
      </c>
      <c r="M12" s="1415">
        <v>3</v>
      </c>
      <c r="N12" s="1415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424" t="s">
        <v>1207</v>
      </c>
      <c r="C13" s="1425">
        <v>1</v>
      </c>
      <c r="D13" s="1416">
        <v>0.41019433426617496</v>
      </c>
      <c r="E13"/>
      <c r="G13" s="1426" t="s">
        <v>4112</v>
      </c>
      <c r="H13" s="1415">
        <v>25</v>
      </c>
      <c r="I13" s="1428">
        <v>1</v>
      </c>
      <c r="J13" s="1415">
        <v>3.9799999999999995E-2</v>
      </c>
      <c r="K13"/>
      <c r="L13" s="1427">
        <v>16</v>
      </c>
      <c r="M13" s="1415">
        <v>2</v>
      </c>
      <c r="N13" s="1415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424" t="s">
        <v>1204</v>
      </c>
      <c r="C14" s="1425">
        <v>1</v>
      </c>
      <c r="D14" s="1416">
        <v>0.10644694094218135</v>
      </c>
      <c r="E14"/>
      <c r="G14" s="1426" t="s">
        <v>4113</v>
      </c>
      <c r="H14" s="1415">
        <v>24</v>
      </c>
      <c r="I14" s="1428">
        <v>1</v>
      </c>
      <c r="J14" s="1415">
        <v>4.1521739130434776E-2</v>
      </c>
      <c r="K14"/>
      <c r="L14" s="1427">
        <v>16.34048426150121</v>
      </c>
      <c r="M14" s="1415">
        <v>1</v>
      </c>
      <c r="N14" s="1415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424" t="s">
        <v>1197</v>
      </c>
      <c r="C15" s="1425">
        <v>0.66666666666666663</v>
      </c>
      <c r="D15" s="1416">
        <v>-0.89945680977695719</v>
      </c>
      <c r="E15"/>
      <c r="G15" s="1426" t="s">
        <v>1220</v>
      </c>
      <c r="H15" s="1415">
        <v>15.5</v>
      </c>
      <c r="I15" s="1428">
        <v>1</v>
      </c>
      <c r="J15" s="1415">
        <v>6.5845267621409714E-2</v>
      </c>
      <c r="K15"/>
      <c r="L15" s="1427">
        <v>16.5</v>
      </c>
      <c r="M15" s="1415">
        <v>3</v>
      </c>
      <c r="N15" s="1415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424" t="s">
        <v>1200</v>
      </c>
      <c r="C16" s="1425">
        <v>0.75</v>
      </c>
      <c r="D16" s="1416">
        <v>-0.81564678159958848</v>
      </c>
      <c r="E16"/>
      <c r="G16" s="1426" t="s">
        <v>4417</v>
      </c>
      <c r="H16" s="1415">
        <v>30</v>
      </c>
      <c r="I16" s="1428">
        <v>1</v>
      </c>
      <c r="J16" s="1415">
        <v>3.2938178167355288E-2</v>
      </c>
      <c r="K16"/>
      <c r="L16" s="1427">
        <v>17</v>
      </c>
      <c r="M16" s="1415">
        <v>5</v>
      </c>
      <c r="N16" s="1415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424" t="s">
        <v>1205</v>
      </c>
      <c r="C17" s="1425">
        <v>1</v>
      </c>
      <c r="D17" s="1416">
        <v>5.4540605414055206E-2</v>
      </c>
      <c r="E17"/>
      <c r="G17" s="1426" t="s">
        <v>4114</v>
      </c>
      <c r="H17" s="1415">
        <v>25</v>
      </c>
      <c r="I17" s="1428">
        <v>1</v>
      </c>
      <c r="J17" s="1415">
        <v>3.9799999999999995E-2</v>
      </c>
      <c r="K17"/>
      <c r="L17" s="1427">
        <v>17.5</v>
      </c>
      <c r="M17" s="1415">
        <v>1</v>
      </c>
      <c r="N17" s="1415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424" t="s">
        <v>1215</v>
      </c>
      <c r="C18" s="1425">
        <v>1</v>
      </c>
      <c r="D18" s="1416">
        <v>3.9799999999999995E-2</v>
      </c>
      <c r="E18"/>
      <c r="G18" s="1426" t="s">
        <v>4115</v>
      </c>
      <c r="H18" s="1415">
        <v>23</v>
      </c>
      <c r="I18" s="1428">
        <v>1</v>
      </c>
      <c r="J18" s="1415">
        <v>4.3407679277244489E-2</v>
      </c>
      <c r="K18"/>
      <c r="L18" s="1427">
        <v>18</v>
      </c>
      <c r="M18" s="1415">
        <v>4</v>
      </c>
      <c r="N18" s="1415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424" t="s">
        <v>1206</v>
      </c>
      <c r="C19" s="1425">
        <v>1</v>
      </c>
      <c r="D19" s="1416">
        <v>0.19436153593531094</v>
      </c>
      <c r="E19"/>
      <c r="G19" s="1426" t="s">
        <v>4116</v>
      </c>
      <c r="H19" s="1415">
        <v>18</v>
      </c>
      <c r="I19" s="1428">
        <v>1</v>
      </c>
      <c r="J19" s="1415">
        <v>5.6176470588235293E-2</v>
      </c>
      <c r="K19"/>
      <c r="L19" s="1427">
        <v>18.5</v>
      </c>
      <c r="M19" s="1415">
        <v>4</v>
      </c>
      <c r="N19" s="1415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424" t="s">
        <v>1202</v>
      </c>
      <c r="C20" s="1425">
        <v>1</v>
      </c>
      <c r="D20" s="1416">
        <v>3.9799999999999995E-2</v>
      </c>
      <c r="E20"/>
      <c r="G20" s="1426" t="s">
        <v>2621</v>
      </c>
      <c r="H20" s="1415">
        <v>13.5</v>
      </c>
      <c r="I20" s="1428">
        <v>0</v>
      </c>
      <c r="J20" s="1415">
        <v>-1</v>
      </c>
      <c r="K20"/>
      <c r="L20" s="1427">
        <v>19</v>
      </c>
      <c r="M20" s="1415">
        <v>4</v>
      </c>
      <c r="N20" s="1415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424" t="s">
        <v>1203</v>
      </c>
      <c r="C21" s="1425">
        <v>1</v>
      </c>
      <c r="D21" s="1416">
        <v>4.401381229706746E-2</v>
      </c>
      <c r="E21"/>
      <c r="G21" s="1426" t="s">
        <v>4117</v>
      </c>
      <c r="H21" s="1415">
        <v>17</v>
      </c>
      <c r="I21" s="1428">
        <v>0</v>
      </c>
      <c r="J21" s="1415">
        <v>-0.10888515674984005</v>
      </c>
      <c r="K21"/>
      <c r="L21" s="1427">
        <v>20</v>
      </c>
      <c r="M21" s="1415">
        <v>9</v>
      </c>
      <c r="N21" s="1415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424" t="s">
        <v>1359</v>
      </c>
      <c r="C22" s="1425">
        <v>1</v>
      </c>
      <c r="D22" s="1416">
        <v>0.45531142898013915</v>
      </c>
      <c r="E22"/>
      <c r="G22" s="1426" t="s">
        <v>4118</v>
      </c>
      <c r="H22" s="1415">
        <v>13.5</v>
      </c>
      <c r="I22" s="1428">
        <v>1</v>
      </c>
      <c r="J22" s="1415">
        <v>7.640000000000001E-2</v>
      </c>
      <c r="K22"/>
      <c r="L22" s="1427">
        <v>21</v>
      </c>
      <c r="M22" s="1415">
        <v>9</v>
      </c>
      <c r="N22" s="1415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424" t="s">
        <v>1438</v>
      </c>
      <c r="C23" s="1425">
        <v>1</v>
      </c>
      <c r="D23" s="1416">
        <v>0.31103421936432646</v>
      </c>
      <c r="E23"/>
      <c r="G23" s="1426" t="s">
        <v>4119</v>
      </c>
      <c r="H23" s="1415">
        <v>22.726846363964338</v>
      </c>
      <c r="I23" s="1428">
        <v>1</v>
      </c>
      <c r="J23" s="1415">
        <v>4.401381229706746E-2</v>
      </c>
      <c r="K23"/>
      <c r="L23" s="1427">
        <v>22</v>
      </c>
      <c r="M23" s="1415">
        <v>3</v>
      </c>
      <c r="N23" s="1415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424" t="s">
        <v>2128</v>
      </c>
      <c r="C24" s="1425">
        <v>1</v>
      </c>
      <c r="D24" s="1416">
        <v>7.3455049894840474E-2</v>
      </c>
      <c r="E24"/>
      <c r="G24" s="1426" t="s">
        <v>1222</v>
      </c>
      <c r="H24" s="1415">
        <v>20.25</v>
      </c>
      <c r="I24" s="1428">
        <v>1</v>
      </c>
      <c r="J24" s="1415">
        <v>0.10128793864734323</v>
      </c>
      <c r="K24"/>
      <c r="L24" s="1427">
        <v>22.726846363964338</v>
      </c>
      <c r="M24" s="1415">
        <v>1</v>
      </c>
      <c r="N24" s="1415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424" t="s">
        <v>2406</v>
      </c>
      <c r="C25" s="1425">
        <v>1</v>
      </c>
      <c r="D25" s="1416">
        <v>0.16487394593710383</v>
      </c>
      <c r="E25"/>
      <c r="G25" s="1426" t="s">
        <v>4467</v>
      </c>
      <c r="H25" s="1415">
        <v>21</v>
      </c>
      <c r="I25" s="1428">
        <v>1</v>
      </c>
      <c r="J25" s="1415">
        <v>4.7740384615384615E-2</v>
      </c>
      <c r="K25"/>
      <c r="L25" s="1427">
        <v>23</v>
      </c>
      <c r="M25" s="1415">
        <v>9</v>
      </c>
      <c r="N25" s="1415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424" t="s">
        <v>2919</v>
      </c>
      <c r="C26" s="1425">
        <v>1</v>
      </c>
      <c r="D26" s="1416">
        <v>4.7750000000000001E-2</v>
      </c>
      <c r="E26"/>
      <c r="G26" s="1426" t="s">
        <v>4120</v>
      </c>
      <c r="H26" s="1415">
        <v>28</v>
      </c>
      <c r="I26" s="1428">
        <v>0</v>
      </c>
      <c r="J26" s="1415">
        <v>-6.6680378445084329E-2</v>
      </c>
      <c r="K26"/>
      <c r="L26" s="1427">
        <v>24</v>
      </c>
      <c r="M26" s="1415">
        <v>6</v>
      </c>
      <c r="N26" s="1415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424" t="s">
        <v>2921</v>
      </c>
      <c r="C27" s="1425">
        <v>1</v>
      </c>
      <c r="D27" s="1416">
        <v>3.2938178167355288E-2</v>
      </c>
      <c r="E27"/>
      <c r="G27" s="1426" t="s">
        <v>4121</v>
      </c>
      <c r="H27" s="1415">
        <v>23</v>
      </c>
      <c r="I27" s="1428">
        <v>1</v>
      </c>
      <c r="J27" s="1415">
        <v>4.3413892445582587E-2</v>
      </c>
      <c r="K27"/>
      <c r="L27" s="1427">
        <v>25</v>
      </c>
      <c r="M27" s="1415">
        <v>5</v>
      </c>
      <c r="N27" s="1415">
        <v>-0.84081824372412028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 s="1424" t="s">
        <v>3023</v>
      </c>
      <c r="C28" s="1425">
        <v>1</v>
      </c>
      <c r="D28" s="1416">
        <v>0.15950350672539951</v>
      </c>
      <c r="E28"/>
      <c r="G28" s="1426" t="s">
        <v>4122</v>
      </c>
      <c r="H28" s="1415">
        <v>18</v>
      </c>
      <c r="I28" s="1428">
        <v>1</v>
      </c>
      <c r="J28" s="1415">
        <v>5.6186926084189473E-2</v>
      </c>
      <c r="K28"/>
      <c r="L28" s="1427">
        <v>26</v>
      </c>
      <c r="M28" s="1415">
        <v>2</v>
      </c>
      <c r="N28" s="1415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 s="1424" t="s">
        <v>3292</v>
      </c>
      <c r="C29" s="1425">
        <v>1</v>
      </c>
      <c r="D29" s="1416">
        <v>3.8195652173913047E-2</v>
      </c>
      <c r="E29"/>
      <c r="G29" s="1426" t="s">
        <v>1224</v>
      </c>
      <c r="H29" s="1415">
        <v>20</v>
      </c>
      <c r="I29" s="1428">
        <v>1</v>
      </c>
      <c r="J29" s="1415">
        <v>5.0260014857991885E-2</v>
      </c>
      <c r="K29"/>
      <c r="L29" s="1427">
        <v>27</v>
      </c>
      <c r="M29" s="1415">
        <v>2</v>
      </c>
      <c r="N29" s="1415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 s="1424" t="s">
        <v>3633</v>
      </c>
      <c r="C30" s="1425">
        <v>1</v>
      </c>
      <c r="D30" s="1416">
        <v>8.4925864538460044E-2</v>
      </c>
      <c r="E30"/>
      <c r="G30" s="1426" t="s">
        <v>4123</v>
      </c>
      <c r="H30" s="1415">
        <v>14</v>
      </c>
      <c r="I30" s="1428">
        <v>1</v>
      </c>
      <c r="J30" s="1415">
        <v>7.3456872417011057E-2</v>
      </c>
      <c r="K30"/>
      <c r="L30" s="1427">
        <v>27.5</v>
      </c>
      <c r="M30" s="1415">
        <v>1</v>
      </c>
      <c r="N30" s="1415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 s="1424" t="s">
        <v>3634</v>
      </c>
      <c r="C31" s="1425">
        <v>0.75</v>
      </c>
      <c r="D31" s="1416">
        <v>-0.87093650317116555</v>
      </c>
      <c r="E31"/>
      <c r="G31" s="1426" t="s">
        <v>4124</v>
      </c>
      <c r="H31" s="1415">
        <v>18</v>
      </c>
      <c r="I31" s="1428">
        <v>1</v>
      </c>
      <c r="J31" s="1415">
        <v>5.6184268404846645E-2</v>
      </c>
      <c r="K31"/>
      <c r="L31" s="1427">
        <v>28</v>
      </c>
      <c r="M31" s="1415">
        <v>1</v>
      </c>
      <c r="N31" s="1415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 s="1424" t="s">
        <v>4464</v>
      </c>
      <c r="C32" s="1425">
        <v>1</v>
      </c>
      <c r="D32" s="1416">
        <v>8.0690070627336935E-2</v>
      </c>
      <c r="G32" s="1426" t="s">
        <v>4125</v>
      </c>
      <c r="H32" s="1415">
        <v>23</v>
      </c>
      <c r="I32" s="1428">
        <v>1</v>
      </c>
      <c r="J32" s="1415">
        <v>4.3409090909090911E-2</v>
      </c>
      <c r="K32"/>
      <c r="L32" s="1427">
        <v>29</v>
      </c>
      <c r="M32" s="1415">
        <v>2</v>
      </c>
      <c r="N32" s="1415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 s="1424" t="s">
        <v>4466</v>
      </c>
      <c r="C33" s="1425">
        <v>1</v>
      </c>
      <c r="D33" s="1416">
        <v>6.8206487441625649E-2</v>
      </c>
      <c r="G33" s="1426" t="s">
        <v>4126</v>
      </c>
      <c r="H33" s="1415">
        <v>27</v>
      </c>
      <c r="I33" s="1428">
        <v>0</v>
      </c>
      <c r="J33" s="1415">
        <v>-0.40886221737285566</v>
      </c>
      <c r="K33"/>
      <c r="L33" s="1427">
        <v>30</v>
      </c>
      <c r="M33" s="1415">
        <v>3</v>
      </c>
      <c r="N33" s="1415">
        <v>9.8809765434518346E-2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B34" s="1424" t="s">
        <v>3767</v>
      </c>
      <c r="C34" s="1425">
        <v>1</v>
      </c>
      <c r="D34" s="1416">
        <v>0.17917192370800383</v>
      </c>
      <c r="G34" s="1426" t="s">
        <v>4127</v>
      </c>
      <c r="H34" s="1415">
        <v>16.34048426150121</v>
      </c>
      <c r="I34" s="1428">
        <v>1</v>
      </c>
      <c r="J34" s="1415">
        <v>6.2348668280871669E-2</v>
      </c>
      <c r="K34"/>
      <c r="L34" s="1426" t="s">
        <v>267</v>
      </c>
      <c r="M34" s="1415">
        <v>93</v>
      </c>
      <c r="N34" s="1415">
        <v>0.13394713813035827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B35" s="1424" t="s">
        <v>4571</v>
      </c>
      <c r="C35" s="1425">
        <v>1</v>
      </c>
      <c r="D35" s="1416">
        <v>7.2739012929331978E-2</v>
      </c>
      <c r="G35" s="1426" t="s">
        <v>4128</v>
      </c>
      <c r="H35" s="1415">
        <v>29</v>
      </c>
      <c r="I35" s="1428">
        <v>1</v>
      </c>
      <c r="J35" s="1415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B36" s="1424" t="s">
        <v>267</v>
      </c>
      <c r="C36" s="1425">
        <v>0.90322580645161288</v>
      </c>
      <c r="D36" s="1416">
        <v>0.13394713813035805</v>
      </c>
      <c r="G36" s="1426" t="s">
        <v>4129</v>
      </c>
      <c r="H36" s="1415">
        <v>27</v>
      </c>
      <c r="I36" s="1428">
        <v>1</v>
      </c>
      <c r="J36" s="1415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B37"/>
      <c r="C37"/>
      <c r="D37"/>
      <c r="G37" s="1426" t="s">
        <v>4130</v>
      </c>
      <c r="H37" s="1415">
        <v>22</v>
      </c>
      <c r="I37" s="1428">
        <v>1</v>
      </c>
      <c r="J37" s="1415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426" t="s">
        <v>4131</v>
      </c>
      <c r="H38" s="1415">
        <v>15</v>
      </c>
      <c r="I38" s="1428">
        <v>1</v>
      </c>
      <c r="J38" s="1415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426" t="s">
        <v>1247</v>
      </c>
      <c r="H39" s="1415">
        <v>21</v>
      </c>
      <c r="I39" s="1428">
        <v>1</v>
      </c>
      <c r="J39" s="1415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426" t="s">
        <v>1248</v>
      </c>
      <c r="H40" s="1415">
        <v>19</v>
      </c>
      <c r="I40" s="1428">
        <v>1</v>
      </c>
      <c r="J40" s="1415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426" t="s">
        <v>4132</v>
      </c>
      <c r="H41" s="1415">
        <v>23</v>
      </c>
      <c r="I41" s="1428">
        <v>1</v>
      </c>
      <c r="J41" s="1415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426" t="s">
        <v>4133</v>
      </c>
      <c r="H42" s="1415">
        <v>9.8000000000000007</v>
      </c>
      <c r="I42" s="1428">
        <v>0</v>
      </c>
      <c r="J42" s="1415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426" t="s">
        <v>4134</v>
      </c>
      <c r="H43" s="1415">
        <v>29</v>
      </c>
      <c r="I43" s="1428">
        <v>1</v>
      </c>
      <c r="J43" s="1415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426" t="s">
        <v>4135</v>
      </c>
      <c r="H44" s="1415">
        <v>18.5</v>
      </c>
      <c r="I44" s="1428">
        <v>1</v>
      </c>
      <c r="J44" s="1415">
        <v>5.4540605414055206E-2</v>
      </c>
      <c r="K44"/>
      <c r="L44"/>
      <c r="M44"/>
      <c r="N44"/>
      <c r="O44"/>
    </row>
    <row r="45" spans="2:64" ht="13.8">
      <c r="G45" s="1426" t="s">
        <v>4136</v>
      </c>
      <c r="H45" s="1415">
        <v>17</v>
      </c>
      <c r="I45" s="1428">
        <v>1</v>
      </c>
      <c r="J45" s="1415">
        <v>5.9687499999999998E-2</v>
      </c>
      <c r="K45"/>
      <c r="L45"/>
      <c r="M45"/>
      <c r="N45"/>
      <c r="O45"/>
    </row>
    <row r="46" spans="2:64" ht="13.8">
      <c r="G46" s="1426" t="s">
        <v>4137</v>
      </c>
      <c r="H46" s="1415">
        <v>24</v>
      </c>
      <c r="I46" s="1428">
        <v>1</v>
      </c>
      <c r="J46" s="1415">
        <v>4.1521739130434776E-2</v>
      </c>
      <c r="K46"/>
      <c r="L46"/>
      <c r="M46"/>
      <c r="N46"/>
      <c r="O46"/>
    </row>
    <row r="47" spans="2:64" ht="13.8">
      <c r="G47" s="1426" t="s">
        <v>4138</v>
      </c>
      <c r="H47" s="1415">
        <v>14.5</v>
      </c>
      <c r="I47" s="1428">
        <v>1</v>
      </c>
      <c r="J47" s="1415">
        <v>7.0754339652827777E-2</v>
      </c>
      <c r="K47"/>
      <c r="L47"/>
      <c r="M47"/>
      <c r="N47"/>
      <c r="O47"/>
    </row>
    <row r="48" spans="2:64" ht="13.8">
      <c r="G48" s="1426" t="s">
        <v>4139</v>
      </c>
      <c r="H48" s="1415">
        <v>16.5</v>
      </c>
      <c r="I48" s="1428">
        <v>1</v>
      </c>
      <c r="J48" s="1415">
        <v>6.1614376687893845E-2</v>
      </c>
      <c r="K48"/>
      <c r="L48"/>
      <c r="M48"/>
      <c r="N48"/>
      <c r="O48"/>
    </row>
    <row r="49" spans="7:15" ht="13.8">
      <c r="G49" s="1426" t="s">
        <v>4140</v>
      </c>
      <c r="H49" s="1415">
        <v>23</v>
      </c>
      <c r="I49" s="1428">
        <v>1</v>
      </c>
      <c r="J49" s="1415">
        <v>4.3388429752066117E-2</v>
      </c>
      <c r="K49"/>
      <c r="L49"/>
      <c r="M49"/>
      <c r="N49"/>
      <c r="O49"/>
    </row>
    <row r="50" spans="7:15" ht="13.8">
      <c r="G50" s="1426" t="s">
        <v>4141</v>
      </c>
      <c r="H50" s="1415">
        <v>15.5</v>
      </c>
      <c r="I50" s="1428">
        <v>1</v>
      </c>
      <c r="J50" s="1415">
        <v>0.14577195648696209</v>
      </c>
      <c r="K50"/>
      <c r="L50"/>
      <c r="M50"/>
      <c r="N50"/>
      <c r="O50"/>
    </row>
    <row r="51" spans="7:15" ht="13.8">
      <c r="G51" s="1426" t="s">
        <v>4142</v>
      </c>
      <c r="H51" s="1415">
        <v>19</v>
      </c>
      <c r="I51" s="1428">
        <v>0</v>
      </c>
      <c r="J51" s="1415">
        <v>-9.9672026237900974E-2</v>
      </c>
      <c r="K51"/>
      <c r="L51"/>
      <c r="M51"/>
      <c r="N51"/>
      <c r="O51"/>
    </row>
    <row r="52" spans="7:15" ht="13.8">
      <c r="G52" s="1426" t="s">
        <v>4143</v>
      </c>
      <c r="H52" s="1415">
        <v>24</v>
      </c>
      <c r="I52" s="1428">
        <v>1</v>
      </c>
      <c r="J52" s="1415">
        <v>4.1518339266429345E-2</v>
      </c>
      <c r="K52"/>
      <c r="L52"/>
      <c r="M52"/>
      <c r="N52"/>
      <c r="O52"/>
    </row>
    <row r="53" spans="7:15" ht="13.8">
      <c r="G53" s="1426" t="s">
        <v>4144</v>
      </c>
      <c r="H53" s="1415">
        <v>18.5</v>
      </c>
      <c r="I53" s="1428">
        <v>1</v>
      </c>
      <c r="J53" s="1415">
        <v>5.4569609281237504E-2</v>
      </c>
      <c r="K53"/>
      <c r="L53"/>
      <c r="M53"/>
      <c r="N53"/>
      <c r="O53"/>
    </row>
    <row r="54" spans="7:15" ht="13.8">
      <c r="G54" s="1426" t="s">
        <v>1249</v>
      </c>
      <c r="H54" s="1415">
        <v>19.25</v>
      </c>
      <c r="I54" s="1428">
        <v>1</v>
      </c>
      <c r="J54" s="1415">
        <v>0.10482464441028588</v>
      </c>
      <c r="K54"/>
      <c r="L54"/>
      <c r="M54"/>
      <c r="N54"/>
      <c r="O54"/>
    </row>
    <row r="55" spans="7:15" ht="13.8">
      <c r="G55" s="1426" t="s">
        <v>3138</v>
      </c>
      <c r="H55" s="1415">
        <v>17</v>
      </c>
      <c r="I55" s="1428">
        <v>1</v>
      </c>
      <c r="J55" s="1415">
        <v>5.9694364851957969E-2</v>
      </c>
      <c r="K55"/>
      <c r="L55"/>
      <c r="M55"/>
      <c r="N55"/>
      <c r="O55"/>
    </row>
    <row r="56" spans="7:15" ht="13.8">
      <c r="G56" s="1426" t="s">
        <v>1229</v>
      </c>
      <c r="H56" s="1415">
        <v>18.5</v>
      </c>
      <c r="I56" s="1428">
        <v>1</v>
      </c>
      <c r="J56" s="1415">
        <v>5.4569609281237504E-2</v>
      </c>
      <c r="K56"/>
      <c r="L56"/>
      <c r="M56"/>
      <c r="N56"/>
      <c r="O56"/>
    </row>
    <row r="57" spans="7:15" ht="13.8">
      <c r="G57" s="1426" t="s">
        <v>4145</v>
      </c>
      <c r="H57" s="1415">
        <v>23</v>
      </c>
      <c r="I57" s="1428">
        <v>1</v>
      </c>
      <c r="J57" s="1415">
        <v>4.3413892445582587E-2</v>
      </c>
      <c r="K57"/>
      <c r="L57"/>
      <c r="M57"/>
      <c r="N57"/>
      <c r="O57"/>
    </row>
    <row r="58" spans="7:15" ht="13.8">
      <c r="G58" s="1426" t="s">
        <v>4146</v>
      </c>
      <c r="H58" s="1415">
        <v>11</v>
      </c>
      <c r="I58" s="1428">
        <v>1</v>
      </c>
      <c r="J58" s="1415">
        <v>5.2939182452642064E-2</v>
      </c>
      <c r="K58"/>
      <c r="L58"/>
      <c r="M58"/>
      <c r="N58"/>
      <c r="O58"/>
    </row>
    <row r="59" spans="7:15" ht="13.8">
      <c r="G59" s="1426" t="s">
        <v>1436</v>
      </c>
      <c r="H59" s="1415">
        <v>15.5</v>
      </c>
      <c r="I59" s="1428">
        <v>0</v>
      </c>
      <c r="J59" s="1415">
        <v>-0.99997368767267469</v>
      </c>
      <c r="K59"/>
      <c r="L59"/>
      <c r="M59"/>
      <c r="N59"/>
      <c r="O59"/>
    </row>
    <row r="60" spans="7:15" ht="13.8">
      <c r="G60" s="1426" t="s">
        <v>4147</v>
      </c>
      <c r="H60" s="1415">
        <v>16.5</v>
      </c>
      <c r="I60" s="1428">
        <v>1</v>
      </c>
      <c r="J60" s="1415">
        <v>6.1611374407582936E-2</v>
      </c>
      <c r="K60"/>
      <c r="L60"/>
      <c r="M60"/>
      <c r="N60"/>
      <c r="O60"/>
    </row>
    <row r="61" spans="7:15" ht="13.8">
      <c r="G61" s="1426" t="s">
        <v>4148</v>
      </c>
      <c r="H61" s="1415">
        <v>20</v>
      </c>
      <c r="I61" s="1428">
        <v>1</v>
      </c>
      <c r="J61" s="1415">
        <v>5.0263157894736843E-2</v>
      </c>
      <c r="L61"/>
      <c r="M61"/>
      <c r="N61"/>
      <c r="O61"/>
    </row>
    <row r="62" spans="7:15" ht="13.8">
      <c r="G62" s="1426" t="s">
        <v>4149</v>
      </c>
      <c r="H62" s="1415">
        <v>20</v>
      </c>
      <c r="I62" s="1428">
        <v>1</v>
      </c>
      <c r="J62" s="1415">
        <v>5.0253720000980558E-2</v>
      </c>
      <c r="L62"/>
      <c r="M62"/>
      <c r="N62"/>
      <c r="O62"/>
    </row>
    <row r="63" spans="7:15" ht="13.8">
      <c r="G63" s="1426" t="s">
        <v>4150</v>
      </c>
      <c r="H63" s="1415">
        <v>21</v>
      </c>
      <c r="I63" s="1428">
        <v>1</v>
      </c>
      <c r="J63" s="1415">
        <v>4.7741935483870963E-2</v>
      </c>
      <c r="L63"/>
      <c r="M63"/>
      <c r="N63"/>
      <c r="O63"/>
    </row>
    <row r="64" spans="7:15" ht="13.8">
      <c r="G64" s="1426" t="s">
        <v>4151</v>
      </c>
      <c r="H64" s="1415">
        <v>12.5</v>
      </c>
      <c r="I64" s="1428">
        <v>1</v>
      </c>
      <c r="J64" s="1415">
        <v>8.3051776093507446E-2</v>
      </c>
      <c r="L64"/>
      <c r="M64"/>
      <c r="N64"/>
      <c r="O64"/>
    </row>
    <row r="65" spans="7:15" ht="13.8">
      <c r="G65" s="1426" t="s">
        <v>3599</v>
      </c>
      <c r="H65" s="1415">
        <v>17</v>
      </c>
      <c r="I65" s="1428">
        <v>1</v>
      </c>
      <c r="J65" s="1415">
        <v>5.9687499999999998E-2</v>
      </c>
      <c r="L65"/>
      <c r="M65"/>
      <c r="N65"/>
      <c r="O65"/>
    </row>
    <row r="66" spans="7:15" ht="13.8">
      <c r="G66" s="1426" t="s">
        <v>4222</v>
      </c>
      <c r="H66" s="1415">
        <v>30</v>
      </c>
      <c r="I66" s="1428">
        <v>1</v>
      </c>
      <c r="J66" s="1415">
        <v>3.2940552784404442E-2</v>
      </c>
      <c r="L66"/>
      <c r="M66"/>
      <c r="N66"/>
      <c r="O66"/>
    </row>
    <row r="67" spans="7:15" ht="13.8">
      <c r="G67" s="1426" t="s">
        <v>4152</v>
      </c>
      <c r="H67" s="1415">
        <v>15.5</v>
      </c>
      <c r="I67" s="1428">
        <v>1</v>
      </c>
      <c r="J67" s="1415">
        <v>6.5847131135488055E-2</v>
      </c>
      <c r="L67"/>
      <c r="M67"/>
      <c r="N67"/>
      <c r="O67"/>
    </row>
    <row r="68" spans="7:15" ht="13.8">
      <c r="G68" s="1426" t="s">
        <v>4153</v>
      </c>
      <c r="H68" s="1415">
        <v>22</v>
      </c>
      <c r="I68" s="1428">
        <v>1</v>
      </c>
      <c r="J68" s="1415">
        <v>4.5486354093771872E-2</v>
      </c>
      <c r="L68"/>
      <c r="M68"/>
      <c r="N68"/>
      <c r="O68"/>
    </row>
    <row r="69" spans="7:15" ht="13.8">
      <c r="G69" s="1426" t="s">
        <v>4154</v>
      </c>
      <c r="H69" s="1415">
        <v>16</v>
      </c>
      <c r="I69" s="1428">
        <v>1</v>
      </c>
      <c r="J69" s="1415">
        <v>6.3669403688248749E-2</v>
      </c>
      <c r="L69"/>
      <c r="M69"/>
      <c r="N69"/>
    </row>
    <row r="70" spans="7:15" ht="13.8">
      <c r="G70" s="1426" t="s">
        <v>4682</v>
      </c>
      <c r="H70" s="1415">
        <v>30</v>
      </c>
      <c r="I70" s="1428">
        <v>1</v>
      </c>
      <c r="J70" s="1415">
        <v>3.2931034482758616E-2</v>
      </c>
      <c r="L70"/>
      <c r="M70"/>
      <c r="N70"/>
    </row>
    <row r="71" spans="7:15" ht="13.8">
      <c r="G71" s="1426" t="s">
        <v>4405</v>
      </c>
      <c r="H71" s="1415">
        <v>19</v>
      </c>
      <c r="I71" s="1428">
        <v>1</v>
      </c>
      <c r="J71" s="1415">
        <v>5.3055305530553057E-2</v>
      </c>
      <c r="L71"/>
      <c r="M71"/>
      <c r="N71"/>
    </row>
    <row r="72" spans="7:15" ht="13.8">
      <c r="G72" s="1426" t="s">
        <v>4418</v>
      </c>
      <c r="H72" s="1415">
        <v>24</v>
      </c>
      <c r="I72" s="1428">
        <v>1</v>
      </c>
      <c r="J72" s="1415">
        <v>4.1528114608595637E-2</v>
      </c>
      <c r="L72"/>
      <c r="M72"/>
      <c r="N72"/>
    </row>
    <row r="73" spans="7:15" ht="13.8">
      <c r="G73" s="1426" t="s">
        <v>4249</v>
      </c>
      <c r="H73" s="1415">
        <v>14</v>
      </c>
      <c r="I73" s="1428">
        <v>1</v>
      </c>
      <c r="J73" s="1415">
        <v>7.3455049894840474E-2</v>
      </c>
      <c r="L73"/>
      <c r="M73"/>
      <c r="N73"/>
    </row>
    <row r="74" spans="7:15" ht="13.8">
      <c r="G74" s="1426" t="s">
        <v>4513</v>
      </c>
      <c r="H74" s="1415">
        <v>23</v>
      </c>
      <c r="I74" s="1428">
        <v>1</v>
      </c>
      <c r="J74" s="1415">
        <v>4.3414141414141412E-2</v>
      </c>
      <c r="L74"/>
      <c r="M74"/>
      <c r="N74"/>
    </row>
    <row r="75" spans="7:15" ht="13.8">
      <c r="G75" s="1426" t="s">
        <v>4155</v>
      </c>
      <c r="H75" s="1415">
        <v>27.5</v>
      </c>
      <c r="I75" s="1428">
        <v>1</v>
      </c>
      <c r="J75" s="1415">
        <v>4.7750000000000001E-2</v>
      </c>
      <c r="L75"/>
      <c r="M75"/>
      <c r="N75"/>
    </row>
    <row r="76" spans="7:15" ht="13.8">
      <c r="G76" s="1426" t="s">
        <v>4595</v>
      </c>
      <c r="H76" s="1415">
        <v>20</v>
      </c>
      <c r="I76" s="1428">
        <v>1</v>
      </c>
      <c r="J76" s="1415">
        <v>5.025628203525441E-2</v>
      </c>
      <c r="L76"/>
      <c r="M76"/>
      <c r="N76"/>
    </row>
    <row r="77" spans="7:15" ht="13.8">
      <c r="G77" s="1426" t="s">
        <v>4186</v>
      </c>
      <c r="H77" s="1415">
        <v>21</v>
      </c>
      <c r="I77" s="1428">
        <v>1</v>
      </c>
      <c r="J77" s="1415">
        <v>4.7759036144578312E-2</v>
      </c>
      <c r="L77"/>
      <c r="M77"/>
      <c r="N77"/>
    </row>
    <row r="78" spans="7:15" ht="13.8">
      <c r="G78" s="1426" t="s">
        <v>4514</v>
      </c>
      <c r="H78" s="1415">
        <v>24</v>
      </c>
      <c r="I78" s="1428">
        <v>1</v>
      </c>
      <c r="J78" s="1415">
        <v>4.1521958939640391E-2</v>
      </c>
      <c r="L78"/>
      <c r="M78"/>
      <c r="N78"/>
    </row>
    <row r="79" spans="7:15" ht="13.8">
      <c r="G79" s="1426" t="s">
        <v>4187</v>
      </c>
      <c r="H79" s="1415">
        <v>20</v>
      </c>
      <c r="I79" s="1428">
        <v>1</v>
      </c>
      <c r="J79" s="1415">
        <v>5.026990553306343E-2</v>
      </c>
      <c r="L79"/>
      <c r="M79"/>
      <c r="N79"/>
    </row>
    <row r="80" spans="7:15" ht="13.8">
      <c r="G80" s="1426" t="s">
        <v>4394</v>
      </c>
      <c r="H80" s="1415">
        <v>26</v>
      </c>
      <c r="I80" s="1428">
        <v>1</v>
      </c>
      <c r="J80" s="1415">
        <v>3.8195652173913047E-2</v>
      </c>
      <c r="L80"/>
      <c r="M80"/>
      <c r="N80"/>
    </row>
    <row r="81" spans="7:14" ht="13.8">
      <c r="G81" s="1426" t="s">
        <v>4406</v>
      </c>
      <c r="H81" s="1415">
        <v>18</v>
      </c>
      <c r="I81" s="1428">
        <v>1</v>
      </c>
      <c r="J81" s="1415">
        <v>5.6186926084189473E-2</v>
      </c>
      <c r="L81"/>
      <c r="M81"/>
      <c r="N81"/>
    </row>
    <row r="82" spans="7:14" ht="13.8">
      <c r="G82" s="1426" t="s">
        <v>4326</v>
      </c>
      <c r="H82" s="1415">
        <v>13.5</v>
      </c>
      <c r="I82" s="1428">
        <v>1</v>
      </c>
      <c r="J82" s="1415">
        <v>7.6404040404040405E-2</v>
      </c>
      <c r="L82"/>
      <c r="M82"/>
      <c r="N82"/>
    </row>
    <row r="83" spans="7:14" ht="13.8">
      <c r="G83" s="1426" t="s">
        <v>4515</v>
      </c>
      <c r="H83" s="1415">
        <v>21</v>
      </c>
      <c r="I83" s="1428">
        <v>1</v>
      </c>
      <c r="J83" s="1415">
        <v>4.7758241758241761E-2</v>
      </c>
      <c r="L83"/>
      <c r="M83"/>
      <c r="N83"/>
    </row>
    <row r="84" spans="7:14" ht="13.8">
      <c r="G84" s="1426" t="s">
        <v>4165</v>
      </c>
      <c r="H84" s="1415">
        <v>23</v>
      </c>
      <c r="I84" s="1428">
        <v>1</v>
      </c>
      <c r="J84" s="1415">
        <v>4.3404340434043405E-2</v>
      </c>
      <c r="L84"/>
      <c r="M84"/>
      <c r="N84"/>
    </row>
    <row r="85" spans="7:14" ht="13.8">
      <c r="G85" s="1426" t="s">
        <v>4188</v>
      </c>
      <c r="H85" s="1415">
        <v>26</v>
      </c>
      <c r="I85" s="1428">
        <v>1</v>
      </c>
      <c r="J85" s="1415">
        <v>3.8200000000000005E-2</v>
      </c>
      <c r="L85"/>
      <c r="M85"/>
      <c r="N85"/>
    </row>
    <row r="86" spans="7:14" ht="13.8">
      <c r="G86" s="1426" t="s">
        <v>4228</v>
      </c>
      <c r="H86" s="1415">
        <v>25</v>
      </c>
      <c r="I86" s="1428">
        <v>1</v>
      </c>
      <c r="J86" s="1415">
        <v>3.9783296130952384E-2</v>
      </c>
      <c r="L86"/>
      <c r="M86"/>
      <c r="N86"/>
    </row>
    <row r="87" spans="7:14" ht="13.8">
      <c r="G87" s="1426" t="s">
        <v>4360</v>
      </c>
      <c r="H87" s="1415">
        <v>15</v>
      </c>
      <c r="I87" s="1428">
        <v>1</v>
      </c>
      <c r="J87" s="1415">
        <v>6.8206487441625649E-2</v>
      </c>
      <c r="L87"/>
      <c r="M87"/>
      <c r="N87"/>
    </row>
    <row r="88" spans="7:14" ht="13.8">
      <c r="G88" s="1426" t="s">
        <v>4212</v>
      </c>
      <c r="H88" s="1415">
        <v>25</v>
      </c>
      <c r="I88" s="1428">
        <v>1</v>
      </c>
      <c r="J88" s="1415">
        <v>3.9798460144927536E-2</v>
      </c>
      <c r="L88"/>
      <c r="M88"/>
      <c r="N88"/>
    </row>
    <row r="89" spans="7:14" ht="13.8">
      <c r="G89" s="1426" t="s">
        <v>4361</v>
      </c>
      <c r="H89" s="1415">
        <v>18.75</v>
      </c>
      <c r="I89" s="1428">
        <v>1</v>
      </c>
      <c r="J89" s="1415">
        <v>0.10936725412278764</v>
      </c>
      <c r="L89"/>
      <c r="M89"/>
      <c r="N89"/>
    </row>
    <row r="90" spans="7:14" ht="13.8">
      <c r="G90" s="1426" t="s">
        <v>4211</v>
      </c>
      <c r="H90" s="1415">
        <v>24</v>
      </c>
      <c r="I90" s="1428">
        <v>1</v>
      </c>
      <c r="J90" s="1415">
        <v>4.1521524104416632E-2</v>
      </c>
      <c r="L90"/>
      <c r="M90"/>
      <c r="N90"/>
    </row>
    <row r="91" spans="7:14" ht="13.8">
      <c r="G91" s="1426" t="s">
        <v>4213</v>
      </c>
      <c r="H91" s="1415">
        <v>19</v>
      </c>
      <c r="I91" s="1428">
        <v>1</v>
      </c>
      <c r="J91" s="1415">
        <v>5.3060298605955618E-2</v>
      </c>
      <c r="L91"/>
      <c r="M91"/>
      <c r="N91"/>
    </row>
    <row r="92" spans="7:14" ht="13.8">
      <c r="G92" s="1426" t="s">
        <v>4683</v>
      </c>
      <c r="H92" s="1415">
        <v>25</v>
      </c>
      <c r="I92" s="1428">
        <v>0</v>
      </c>
      <c r="J92" s="1415">
        <v>-1</v>
      </c>
      <c r="L92"/>
      <c r="M92"/>
      <c r="N92"/>
    </row>
    <row r="93" spans="7:14" ht="13.8">
      <c r="G93" s="1426" t="s">
        <v>267</v>
      </c>
      <c r="H93" s="1415">
        <v>20.251261619628661</v>
      </c>
      <c r="I93" s="1428">
        <v>0.90322580645161288</v>
      </c>
      <c r="J93" s="1415">
        <v>0.13394713813035786</v>
      </c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80"/>
  <sheetViews>
    <sheetView showGridLines="0" tabSelected="1" zoomScale="80" zoomScaleNormal="80" workbookViewId="0">
      <pane xSplit="2" ySplit="3" topLeftCell="C252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E276" sqref="E276:E280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8.69921875" style="1" bestFit="1" customWidth="1"/>
    <col min="5" max="5" width="8.69921875" style="1" customWidth="1"/>
    <col min="6" max="6" width="6.5" style="1" bestFit="1" customWidth="1"/>
    <col min="7" max="7" width="7.69921875" style="1" bestFit="1" customWidth="1"/>
    <col min="8" max="8" width="10.296875" style="1" customWidth="1"/>
    <col min="9" max="9" width="7.3984375" style="1" hidden="1" customWidth="1" outlineLevel="1"/>
    <col min="10" max="10" width="9.8984375" hidden="1" customWidth="1" outlineLevel="1"/>
    <col min="11" max="11" width="6.5" style="1" hidden="1" customWidth="1" outlineLevel="1"/>
    <col min="12" max="12" width="8.69921875" style="1" hidden="1" customWidth="1" outlineLevel="1"/>
    <col min="13" max="13" width="10.09765625" hidden="1" customWidth="1" outlineLevel="1"/>
    <col min="14" max="14" width="8.5" style="1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9.3984375" style="1" hidden="1" customWidth="1" outlineLevel="1"/>
    <col min="23" max="23" width="8.09765625" style="1" hidden="1" customWidth="1" outlineLevel="1"/>
    <col min="24" max="24" width="5.59765625" hidden="1" customWidth="1" outlineLevel="1"/>
    <col min="25" max="25" width="8" style="1" hidden="1" customWidth="1" outlineLevel="1"/>
    <col min="26" max="26" width="8.09765625" hidden="1" customWidth="1" outlineLevel="1"/>
    <col min="27" max="27" width="7.8984375" style="1" hidden="1" customWidth="1" outlineLevel="1"/>
    <col min="28" max="28" width="10.699218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>
      <c r="D2" s="2"/>
      <c r="E2" s="2"/>
      <c r="F2" s="2"/>
      <c r="G2" s="2"/>
      <c r="H2" s="2"/>
      <c r="I2" s="2"/>
      <c r="J2" s="2"/>
      <c r="K2" s="2"/>
      <c r="L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>
      <c r="C3" s="22" t="s">
        <v>151</v>
      </c>
      <c r="D3" s="22" t="s">
        <v>179</v>
      </c>
      <c r="E3" s="22" t="s">
        <v>3367</v>
      </c>
      <c r="F3" s="22" t="s">
        <v>1646</v>
      </c>
      <c r="G3" s="22" t="s">
        <v>4685</v>
      </c>
      <c r="H3" s="22" t="s">
        <v>314</v>
      </c>
      <c r="I3" s="22" t="s">
        <v>1814</v>
      </c>
      <c r="J3" s="22" t="s">
        <v>3585</v>
      </c>
      <c r="K3" s="22" t="s">
        <v>74</v>
      </c>
      <c r="L3" s="22" t="s">
        <v>4317</v>
      </c>
      <c r="M3" s="22" t="s">
        <v>4250</v>
      </c>
      <c r="N3" s="22" t="s">
        <v>3294</v>
      </c>
      <c r="O3" s="22" t="s">
        <v>3535</v>
      </c>
      <c r="P3" s="22" t="s">
        <v>1542</v>
      </c>
      <c r="Q3" s="22" t="s">
        <v>3293</v>
      </c>
      <c r="R3" s="22" t="s">
        <v>3213</v>
      </c>
      <c r="S3" s="22" t="s">
        <v>3872</v>
      </c>
      <c r="T3" s="22" t="s">
        <v>3768</v>
      </c>
      <c r="U3" s="22" t="s">
        <v>3873</v>
      </c>
      <c r="V3" s="22" t="s">
        <v>150</v>
      </c>
      <c r="W3" s="22" t="s">
        <v>1358</v>
      </c>
      <c r="X3" s="22" t="s">
        <v>3819</v>
      </c>
      <c r="Y3" s="22" t="s">
        <v>3169</v>
      </c>
      <c r="Z3" s="22" t="s">
        <v>3614</v>
      </c>
      <c r="AA3" s="22" t="s">
        <v>3290</v>
      </c>
      <c r="AB3" s="22" t="s">
        <v>3148</v>
      </c>
      <c r="AC3" s="22" t="s">
        <v>294</v>
      </c>
      <c r="AD3" s="22" t="s">
        <v>3368</v>
      </c>
      <c r="AE3" s="22" t="s">
        <v>3228</v>
      </c>
      <c r="AF3" s="22" t="s">
        <v>1539</v>
      </c>
      <c r="AG3" s="22" t="s">
        <v>73</v>
      </c>
      <c r="AH3" s="22" t="s">
        <v>3344</v>
      </c>
      <c r="AI3" s="22" t="s">
        <v>293</v>
      </c>
      <c r="AJ3" s="22" t="s">
        <v>2124</v>
      </c>
      <c r="AK3" s="22" t="s">
        <v>2692</v>
      </c>
      <c r="AL3" s="22" t="s">
        <v>2850</v>
      </c>
      <c r="AM3" s="22" t="s">
        <v>351</v>
      </c>
      <c r="AN3" s="22" t="s">
        <v>14</v>
      </c>
      <c r="AO3" s="22" t="s">
        <v>3487</v>
      </c>
      <c r="AP3" s="22" t="s">
        <v>2</v>
      </c>
      <c r="AR3" s="22" t="s">
        <v>151</v>
      </c>
      <c r="AS3" s="22" t="s">
        <v>179</v>
      </c>
      <c r="AT3" s="22" t="s">
        <v>3367</v>
      </c>
      <c r="AU3" s="22" t="s">
        <v>4317</v>
      </c>
      <c r="AV3" s="22" t="s">
        <v>3294</v>
      </c>
      <c r="AW3" s="22" t="s">
        <v>3819</v>
      </c>
      <c r="AX3" s="22" t="s">
        <v>3290</v>
      </c>
      <c r="AY3" s="22" t="s">
        <v>3231</v>
      </c>
      <c r="AZ3" s="22" t="s">
        <v>1814</v>
      </c>
      <c r="BA3" s="22" t="s">
        <v>3614</v>
      </c>
      <c r="BB3" s="22" t="s">
        <v>3768</v>
      </c>
      <c r="BC3" s="22" t="s">
        <v>3293</v>
      </c>
      <c r="BD3" s="22" t="s">
        <v>3213</v>
      </c>
      <c r="BE3" s="22" t="s">
        <v>3873</v>
      </c>
      <c r="BF3" s="22" t="s">
        <v>3169</v>
      </c>
      <c r="BG3" s="22" t="s">
        <v>150</v>
      </c>
      <c r="BH3" s="22" t="s">
        <v>3344</v>
      </c>
      <c r="BI3" s="22" t="s">
        <v>14</v>
      </c>
      <c r="BJ3" s="22" t="s">
        <v>15</v>
      </c>
      <c r="BK3" s="22" t="s">
        <v>1815</v>
      </c>
      <c r="BM3" s="22" t="s">
        <v>151</v>
      </c>
      <c r="BN3" s="22" t="s">
        <v>74</v>
      </c>
      <c r="BO3" s="22" t="s">
        <v>179</v>
      </c>
      <c r="BP3" s="22" t="s">
        <v>3213</v>
      </c>
      <c r="BQ3" s="22" t="s">
        <v>3819</v>
      </c>
      <c r="BR3" s="22" t="s">
        <v>3290</v>
      </c>
      <c r="BS3" s="22" t="s">
        <v>3768</v>
      </c>
      <c r="BT3" s="22" t="s">
        <v>3614</v>
      </c>
      <c r="BU3" s="22" t="s">
        <v>3169</v>
      </c>
      <c r="BV3" s="22" t="s">
        <v>14</v>
      </c>
      <c r="BW3" s="22" t="s">
        <v>15</v>
      </c>
      <c r="BX3" s="22" t="s">
        <v>3509</v>
      </c>
    </row>
    <row r="4" spans="2:76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Líquido],base[Data],Extrato!$B4,base[Método],Extrato!E$3,base[Exchange],"Fulltbet")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SUMIF(BetFlow!B:B,B4,BetFlow!J:J)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SUMIFS(base[L/P Líquido],base[Data],Extrato!$B4,base[Método],Extrato!M$3)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Líquido],base[Data],Extrato!$B5,base[Método],Extrato!E$3,base[Exchange],"Fulltbet")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SUMIF(BetFlow!B:B,B5,BetFlow!J:J)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SUMIFS(base[L/P Líquido],base[Data],Extrato!$B5,base[Método],Extrato!M$3)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>SUM(C5:AO5)</f>
        <v>1233.0269499999999</v>
      </c>
      <c r="BK5" s="2"/>
      <c r="BX5" s="2"/>
    </row>
    <row r="6" spans="2:76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Líquido],base[Data],Extrato!$B6,base[Método],Extrato!E$3,base[Exchange],"Fulltbet")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SUMIF(BetFlow!B:B,B6,BetFlow!J:J)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SUMIFS(base[L/P Líquido],base[Data],Extrato!$B6,base[Método],Extrato!M$3)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>SUM(C6:AO6)</f>
        <v>1324.59575</v>
      </c>
      <c r="BK6" s="2"/>
      <c r="BX6" s="2"/>
    </row>
    <row r="7" spans="2:76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Líquido],base[Data],Extrato!$B7,base[Método],Extrato!E$3,base[Exchange],"Fulltbet")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SUMIF(BetFlow!B:B,B7,BetFlow!J:J)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SUMIFS(base[L/P Líquido],base[Data],Extrato!$B7,base[Método],Extrato!M$3)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>SUM(C7:AO7)</f>
        <v>1357.9157499999999</v>
      </c>
      <c r="BK7" s="2"/>
      <c r="BX7" s="2"/>
    </row>
    <row r="8" spans="2:76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Líquido],base[Data],Extrato!$B8,base[Método],Extrato!E$3,base[Exchange],"Fulltbet")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SUMIF(BetFlow!B:B,B8,BetFlow!J:J)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SUMIFS(base[L/P Líquido],base[Data],Extrato!$B8,base[Método],Extrato!M$3)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>SUM(C8:AO8)</f>
        <v>1386.1657499999999</v>
      </c>
      <c r="BK8" s="2"/>
      <c r="BX8" s="2"/>
    </row>
    <row r="9" spans="2:76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0</v>
      </c>
      <c r="E9" s="2">
        <f>SUMIFS(base[L/P Líquido],base[Data],Extrato!$B9,base[Método],Extrato!E$3,base[Exchange],"Fulltbet")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SUMIF(BetFlow!B:B,B9,BetFlow!J:J)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47.134150000000005</v>
      </c>
      <c r="L9" s="2">
        <f>SUMIFS(base[L/P Líquido],base[Data],Extrato!$B9,base[Método],Extrato!L$3)</f>
        <v>0</v>
      </c>
      <c r="M9" s="2">
        <f>SUMIFS(base[L/P Líquido],base[Data],Extrato!$B9,base[Método],Extrato!M$3)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>SUM(C9:AO9)</f>
        <v>1528.1451499999998</v>
      </c>
      <c r="BK9" s="2"/>
      <c r="BX9" s="2"/>
    </row>
    <row r="10" spans="2:76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0</v>
      </c>
      <c r="E10" s="2">
        <f>SUMIFS(base[L/P Líquido],base[Data],Extrato!$B10,base[Método],Extrato!E$3,base[Exchange],"Fulltbet")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SUMIF(BetFlow!B:B,B10,BetFlow!J:J)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5.3097999999999992</v>
      </c>
      <c r="L10" s="2">
        <f>SUMIFS(base[L/P Líquido],base[Data],Extrato!$B10,base[Método],Extrato!L$3)</f>
        <v>0</v>
      </c>
      <c r="M10" s="2">
        <f>SUMIFS(base[L/P Líquido],base[Data],Extrato!$B10,base[Método],Extrato!M$3)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>SUM(C10:AO10)</f>
        <v>1569.4735999999998</v>
      </c>
      <c r="BK10" s="2"/>
      <c r="BX10" s="2"/>
    </row>
    <row r="11" spans="2:76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0</v>
      </c>
      <c r="E11" s="2">
        <f>SUMIFS(base[L/P Líquido],base[Data],Extrato!$B11,base[Método],Extrato!E$3,base[Exchange],"Fulltbet")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SUMIF(BetFlow!B:B,B11,BetFlow!J:J)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6.82</v>
      </c>
      <c r="L11" s="2">
        <f>SUMIFS(base[L/P Líquido],base[Data],Extrato!$B11,base[Método],Extrato!L$3)</f>
        <v>0</v>
      </c>
      <c r="M11" s="2">
        <f>SUMIFS(base[L/P Líquido],base[Data],Extrato!$B11,base[Método],Extrato!M$3)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>SUM(C11:AO11)</f>
        <v>1669.7609499999996</v>
      </c>
    </row>
    <row r="12" spans="2:76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Líquido],base[Data],Extrato!$B12,base[Método],Extrato!E$3,base[Exchange],"Fulltbet")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SUMIF(BetFlow!B:B,B12,BetFlow!J:J)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SUMIFS(base[L/P Líquido],base[Data],Extrato!$B12,base[Método],Extrato!M$3)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10.93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>SUM(C12:AO12)</f>
        <v>1637.0009499999996</v>
      </c>
    </row>
    <row r="13" spans="2:76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0</v>
      </c>
      <c r="E13" s="2">
        <f>SUMIFS(base[L/P Líquido],base[Data],Extrato!$B13,base[Método],Extrato!E$3,base[Exchange],"Fulltbet")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SUMIF(BetFlow!B:B,B13,BetFlow!J:J)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40.64085</v>
      </c>
      <c r="L13" s="2">
        <f>SUMIFS(base[L/P Líquido],base[Data],Extrato!$B13,base[Método],Extrato!L$3)</f>
        <v>0</v>
      </c>
      <c r="M13" s="2">
        <f>SUMIFS(base[L/P Líquido],base[Data],Extrato!$B13,base[Método],Extrato!M$3)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8.3084999999999987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>SUM(C13:AO13)</f>
        <v>1815.2152999999998</v>
      </c>
    </row>
    <row r="14" spans="2:76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0</v>
      </c>
      <c r="E14" s="2">
        <f>SUMIFS(base[L/P Líquido],base[Data],Extrato!$B14,base[Método],Extrato!E$3,base[Exchange],"Fulltbet")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SUMIF(BetFlow!B:B,B14,BetFlow!J:J)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10.06</v>
      </c>
      <c r="L14" s="2">
        <f>SUMIFS(base[L/P Líquido],base[Data],Extrato!$B14,base[Método],Extrato!L$3)</f>
        <v>0</v>
      </c>
      <c r="M14" s="2">
        <f>SUMIFS(base[L/P Líquido],base[Data],Extrato!$B14,base[Método],Extrato!M$3)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>SUM(C14:AO14)</f>
        <v>1935.7361999999998</v>
      </c>
    </row>
    <row r="15" spans="2:76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0</v>
      </c>
      <c r="E15" s="2">
        <f>SUMIFS(base[L/P Líquido],base[Data],Extrato!$B15,base[Método],Extrato!E$3,base[Exchange],"Fulltbet")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SUMIF(BetFlow!B:B,B15,BetFlow!J:J)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7.34</v>
      </c>
      <c r="L15" s="2">
        <f>SUMIFS(base[L/P Líquido],base[Data],Extrato!$B15,base[Método],Extrato!L$3)</f>
        <v>0</v>
      </c>
      <c r="M15" s="2">
        <f>SUMIFS(base[L/P Líquido],base[Data],Extrato!$B15,base[Método],Extrato!M$3)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3.68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>SUM(C15:AO15)</f>
        <v>2007.5181499999997</v>
      </c>
    </row>
    <row r="16" spans="2:76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0</v>
      </c>
      <c r="E16" s="2">
        <f>SUMIFS(base[L/P Líquido],base[Data],Extrato!$B16,base[Método],Extrato!E$3,base[Exchange],"Fulltbet")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SUMIF(BetFlow!B:B,B16,BetFlow!J:J)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24.715399999999999</v>
      </c>
      <c r="L16" s="2">
        <f>SUMIFS(base[L/P Líquido],base[Data],Extrato!$B16,base[Método],Extrato!L$3)</f>
        <v>0</v>
      </c>
      <c r="M16" s="2">
        <f>SUMIFS(base[L/P Líquido],base[Data],Extrato!$B16,base[Método],Extrato!M$3)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6.82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>SUM(C16:AO16)</f>
        <v>2056.9235499999995</v>
      </c>
      <c r="BJ16" s="2"/>
      <c r="BW16" s="2"/>
    </row>
    <row r="17" spans="2:75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Líquido],base[Data],Extrato!$B17,base[Método],Extrato!E$3,base[Exchange],"Fulltbet")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SUMIF(BetFlow!B:B,B17,BetFlow!J:J)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SUMIFS(base[L/P Líquido],base[Data],Extrato!$B17,base[Método],Extrato!M$3)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>SUM(C17:AO17)</f>
        <v>1996.4420499999994</v>
      </c>
      <c r="BJ17" s="2"/>
      <c r="BW17" s="2"/>
    </row>
    <row r="18" spans="2:75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0</v>
      </c>
      <c r="E18" s="2">
        <f>SUMIFS(base[L/P Líquido],base[Data],Extrato!$B18,base[Método],Extrato!E$3,base[Exchange],"Fulltbet")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SUMIF(BetFlow!B:B,B18,BetFlow!J:J)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7.64</v>
      </c>
      <c r="L18" s="2">
        <f>SUMIFS(base[L/P Líquido],base[Data],Extrato!$B18,base[Método],Extrato!L$3)</f>
        <v>0</v>
      </c>
      <c r="M18" s="2">
        <f>SUMIFS(base[L/P Líquido],base[Data],Extrato!$B18,base[Método],Extrato!M$3)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>SUM(C18:AO18)</f>
        <v>1933.9690499999995</v>
      </c>
      <c r="BJ18" s="2"/>
      <c r="BW18" s="2"/>
    </row>
    <row r="19" spans="2:75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0</v>
      </c>
      <c r="E19" s="2">
        <f>SUMIFS(base[L/P Líquido],base[Data],Extrato!$B19,base[Método],Extrato!E$3,base[Exchange],"Fulltbet")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SUMIF(BetFlow!B:B,B19,BetFlow!J:J)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35.098500000000001</v>
      </c>
      <c r="L19" s="2">
        <f>SUMIFS(base[L/P Líquido],base[Data],Extrato!$B19,base[Método],Extrato!L$3)</f>
        <v>0</v>
      </c>
      <c r="M19" s="2">
        <f>SUMIFS(base[L/P Líquido],base[Data],Extrato!$B19,base[Método],Extrato!M$3)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3.6767499999999997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>SUM(C19:AO19)</f>
        <v>2032.3542999999995</v>
      </c>
    </row>
    <row r="20" spans="2:75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0</v>
      </c>
      <c r="E20" s="2">
        <f>SUMIFS(base[L/P Líquido],base[Data],Extrato!$B20,base[Método],Extrato!E$3,base[Exchange],"Fulltbet")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SUMIF(BetFlow!B:B,B20,BetFlow!J:J)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18.238700000000001</v>
      </c>
      <c r="L20" s="2">
        <f>SUMIFS(base[L/P Líquido],base[Data],Extrato!$B20,base[Método],Extrato!L$3)</f>
        <v>0</v>
      </c>
      <c r="M20" s="2">
        <f>SUMIFS(base[L/P Líquido],base[Data],Extrato!$B20,base[Método],Extrato!M$3)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12.69655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>SUM(C20:AO20)</f>
        <v>1817.2763499999994</v>
      </c>
    </row>
    <row r="21" spans="2:75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0</v>
      </c>
      <c r="E21" s="2">
        <f>SUMIFS(base[L/P Líquido],base[Data],Extrato!$B21,base[Método],Extrato!E$3,base[Exchange],"Fulltbet")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SUMIF(BetFlow!B:B,B21,BetFlow!J:J)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7.34</v>
      </c>
      <c r="L21" s="2">
        <f>SUMIFS(base[L/P Líquido],base[Data],Extrato!$B21,base[Método],Extrato!L$3)</f>
        <v>0</v>
      </c>
      <c r="M21" s="2">
        <f>SUMIFS(base[L/P Líquido],base[Data],Extrato!$B21,base[Método],Extrato!M$3)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>SUM(C21:AO21)</f>
        <v>1824.6163499999993</v>
      </c>
    </row>
    <row r="22" spans="2:75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Líquido],base[Data],Extrato!$B22,base[Método],Extrato!E$3,base[Exchange],"Fulltbet")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SUMIF(BetFlow!B:B,B22,BetFlow!J:J)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SUMIFS(base[L/P Líquido],base[Data],Extrato!$B22,base[Método],Extrato!M$3)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>SUM(C22:AO22)</f>
        <v>1824.5863499999994</v>
      </c>
      <c r="AQ22" s="2"/>
      <c r="BL22" s="2"/>
    </row>
    <row r="23" spans="2:75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Líquido],base[Data],Extrato!$B23,base[Método],Extrato!E$3,base[Exchange],"Fulltbet")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SUMIF(BetFlow!B:B,B23,BetFlow!J:J)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SUMIFS(base[L/P Líquido],base[Data],Extrato!$B23,base[Método],Extrato!M$3)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>SUM(C23:AO23)</f>
        <v>1880.7263499999995</v>
      </c>
    </row>
    <row r="24" spans="2:75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Líquido],base[Data],Extrato!$B24,base[Método],Extrato!E$3,base[Exchange],"Fulltbet")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SUMIF(BetFlow!B:B,B24,BetFlow!J:J)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SUMIFS(base[L/P Líquido],base[Data],Extrato!$B24,base[Método],Extrato!M$3)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>SUM(C24:AO24)</f>
        <v>1799.6963499999995</v>
      </c>
    </row>
    <row r="25" spans="2:75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0</v>
      </c>
      <c r="E25" s="2">
        <f>SUMIFS(base[L/P Líquido],base[Data],Extrato!$B25,base[Método],Extrato!E$3,base[Exchange],"Fulltbet")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86.52</v>
      </c>
      <c r="I25" s="2">
        <f>SUMIF(BetFlow!B:B,B25,BetFlow!J:J)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14.324999999999999</v>
      </c>
      <c r="L25" s="2">
        <f>SUMIFS(base[L/P Líquido],base[Data],Extrato!$B25,base[Método],Extrato!L$3)</f>
        <v>0</v>
      </c>
      <c r="M25" s="2">
        <f>SUMIFS(base[L/P Líquido],base[Data],Extrato!$B25,base[Método],Extrato!M$3)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>SUM(C25:AO25)</f>
        <v>1834.9663499999995</v>
      </c>
    </row>
    <row r="26" spans="2:75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0</v>
      </c>
      <c r="E26" s="2">
        <f>SUMIFS(base[L/P Líquido],base[Data],Extrato!$B26,base[Método],Extrato!E$3,base[Exchange],"Fulltbet")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240.22</v>
      </c>
      <c r="I26" s="2">
        <f>SUMIF(BetFlow!B:B,B26,BetFlow!J:J)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7.64</v>
      </c>
      <c r="L26" s="2">
        <f>SUMIFS(base[L/P Líquido],base[Data],Extrato!$B26,base[Método],Extrato!L$3)</f>
        <v>0</v>
      </c>
      <c r="M26" s="2">
        <f>SUMIFS(base[L/P Líquido],base[Data],Extrato!$B26,base[Método],Extrato!M$3)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25.09515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>SUM(C26:AO26)</f>
        <v>2323.9243999999994</v>
      </c>
    </row>
    <row r="27" spans="2:75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0</v>
      </c>
      <c r="E27" s="2">
        <f>SUMIFS(base[L/P Líquido],base[Data],Extrato!$B27,base[Método],Extrato!E$3,base[Exchange],"Fulltbet")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105.49000000000001</v>
      </c>
      <c r="I27" s="2">
        <f>SUMIF(BetFlow!B:B,B27,BetFlow!J:J)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5.35</v>
      </c>
      <c r="L27" s="2">
        <f>SUMIFS(base[L/P Líquido],base[Data],Extrato!$B27,base[Método],Extrato!L$3)</f>
        <v>0</v>
      </c>
      <c r="M27" s="2">
        <f>SUMIFS(base[L/P Líquido],base[Data],Extrato!$B27,base[Método],Extrato!M$3)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19.309999999999999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>SUM(C27:AO27)</f>
        <v>2346.9422499999991</v>
      </c>
    </row>
    <row r="28" spans="2:75" ht="15" customHeight="1">
      <c r="B28" s="33">
        <v>46017</v>
      </c>
      <c r="C28" s="2">
        <f t="shared" si="0"/>
        <v>2346.9422499999991</v>
      </c>
      <c r="D28" s="2">
        <f>SUMIFS(base[L/P Líquido],base[Data],Extrato!$B28,base[Método],Extrato!D$3)</f>
        <v>0</v>
      </c>
      <c r="E28" s="2">
        <f>SUMIFS(base[L/P Líquido],base[Data],Extrato!$B28,base[Método],Extrato!E$3,base[Exchange],"Fulltbet")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-17.020000000000003</v>
      </c>
      <c r="I28" s="2">
        <f>SUMIF(BetFlow!B:B,B28,BetFlow!J:J)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SUMIFS(base[L/P Líquido],base[Data],Extrato!$B28,base[Método],Extrato!M$3)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>SUM(C28:AO28)</f>
        <v>2329.9222499999992</v>
      </c>
    </row>
    <row r="29" spans="2:75" ht="15" customHeight="1">
      <c r="B29" s="33">
        <v>46018</v>
      </c>
      <c r="C29" s="2">
        <f t="shared" si="0"/>
        <v>2329.9222499999992</v>
      </c>
      <c r="D29" s="2">
        <f>SUMIFS(base[L/P Líquido],base[Data],Extrato!$B29,base[Método],Extrato!D$3)</f>
        <v>0</v>
      </c>
      <c r="E29" s="2">
        <f>SUMIFS(base[L/P Líquido],base[Data],Extrato!$B29,base[Método],Extrato!E$3,base[Exchange],"Fulltbet")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67.17</v>
      </c>
      <c r="I29" s="2">
        <f>SUMIF(BetFlow!B:B,B29,BetFlow!J:J)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20.12</v>
      </c>
      <c r="L29" s="2">
        <f>SUMIFS(base[L/P Líquido],base[Data],Extrato!$B29,base[Método],Extrato!L$3)</f>
        <v>0</v>
      </c>
      <c r="M29" s="2">
        <f>SUMIFS(base[L/P Líquido],base[Data],Extrato!$B29,base[Método],Extrato!M$3)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>SUM(C29:AO29)</f>
        <v>2417.2122499999991</v>
      </c>
    </row>
    <row r="30" spans="2:75" ht="15" customHeight="1">
      <c r="B30" s="33">
        <v>46019</v>
      </c>
      <c r="C30" s="2">
        <f t="shared" si="0"/>
        <v>2417.2122499999991</v>
      </c>
      <c r="D30" s="2">
        <f>SUMIFS(base[L/P Líquido],base[Data],Extrato!$B30,base[Método],Extrato!D$3)</f>
        <v>0</v>
      </c>
      <c r="E30" s="2">
        <f>SUMIFS(base[L/P Líquido],base[Data],Extrato!$B30,base[Método],Extrato!E$3,base[Exchange],"Fulltbet")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-6.7800000000000011</v>
      </c>
      <c r="I30" s="2">
        <f>SUMIF(BetFlow!B:B,B30,BetFlow!J:J)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9.5500000000000007</v>
      </c>
      <c r="L30" s="2">
        <f>SUMIFS(base[L/P Líquido],base[Data],Extrato!$B30,base[Método],Extrato!L$3)</f>
        <v>0</v>
      </c>
      <c r="M30" s="2">
        <f>SUMIFS(base[L/P Líquido],base[Data],Extrato!$B30,base[Método],Extrato!M$3)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11.36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>SUM(C30:AO30)</f>
        <v>2450.4222499999992</v>
      </c>
    </row>
    <row r="31" spans="2:75" ht="15" customHeight="1">
      <c r="B31" s="33">
        <v>46021</v>
      </c>
      <c r="C31" s="2">
        <f t="shared" si="0"/>
        <v>2450.4222499999992</v>
      </c>
      <c r="D31" s="2">
        <f>SUMIFS(base[L/P Líquido],base[Data],Extrato!$B31,base[Método],Extrato!D$3)</f>
        <v>0</v>
      </c>
      <c r="E31" s="2">
        <f>SUMIFS(base[L/P Líquido],base[Data],Extrato!$B31,base[Método],Extrato!E$3,base[Exchange],"Fulltbet")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SUMIF(BetFlow!B:B,B31,BetFlow!J:J)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5.45</v>
      </c>
      <c r="L31" s="2">
        <f>SUMIFS(base[L/P Líquido],base[Data],Extrato!$B31,base[Método],Extrato!L$3)</f>
        <v>0</v>
      </c>
      <c r="M31" s="2">
        <f>SUMIFS(base[L/P Líquido],base[Data],Extrato!$B31,base[Método],Extrato!M$3)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>SUM(C31:AO31)</f>
        <v>2243.9322499999994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>
      <c r="B32" s="33">
        <v>46022</v>
      </c>
      <c r="C32" s="2">
        <f t="shared" ref="C32:C50" si="1">AP31</f>
        <v>2243.9322499999994</v>
      </c>
      <c r="D32" s="2">
        <f>SUMIFS(base[L/P Líquido],base[Data],Extrato!$B32,base[Método],Extrato!D$3)</f>
        <v>0</v>
      </c>
      <c r="E32" s="2">
        <f>SUMIFS(base[L/P Líquido],base[Data],Extrato!$B32,base[Método],Extrato!E$3,base[Exchange],"Fulltbet")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SUMIF(BetFlow!B:B,B32,BetFlow!J:J)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SUMIFS(base[L/P Líquido],base[Data],Extrato!$B32,base[Método],Extrato!M$3)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>SUM(C32:AO32)</f>
        <v>2243.9322499999994</v>
      </c>
    </row>
    <row r="33" spans="2:42" ht="15" customHeight="1">
      <c r="B33" s="33">
        <v>46023</v>
      </c>
      <c r="C33" s="2">
        <f t="shared" si="1"/>
        <v>2243.9322499999994</v>
      </c>
      <c r="D33" s="2">
        <f>SUMIFS(base[L/P Líquido],base[Data],Extrato!$B33,base[Método],Extrato!D$3)</f>
        <v>0</v>
      </c>
      <c r="E33" s="2">
        <f>SUMIFS(base[L/P Líquido],base[Data],Extrato!$B33,base[Método],Extrato!E$3,base[Exchange],"Fulltbet")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SUMIF(BetFlow!B:B,B33,BetFlow!J:J)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-286.89999999999998</v>
      </c>
      <c r="L33" s="2">
        <f>SUMIFS(base[L/P Líquido],base[Data],Extrato!$B33,base[Método],Extrato!L$3)</f>
        <v>0</v>
      </c>
      <c r="M33" s="2">
        <f>SUMIFS(base[L/P Líquido],base[Data],Extrato!$B33,base[Método],Extrato!M$3)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>SUM(C33:AO33)</f>
        <v>2011.3990499999993</v>
      </c>
    </row>
    <row r="34" spans="2:42" ht="15" customHeight="1">
      <c r="B34" s="33">
        <v>46024</v>
      </c>
      <c r="C34" s="2">
        <f t="shared" si="1"/>
        <v>2011.3990499999993</v>
      </c>
      <c r="D34" s="2">
        <f>SUMIFS(base[L/P Líquido],base[Data],Extrato!$B34,base[Método],Extrato!D$3)</f>
        <v>0</v>
      </c>
      <c r="E34" s="2">
        <f>SUMIFS(base[L/P Líquido],base[Data],Extrato!$B34,base[Método],Extrato!E$3,base[Exchange],"Fulltbet")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SUMIF(BetFlow!B:B,B34,BetFlow!J:J)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22.9</v>
      </c>
      <c r="L34" s="2">
        <f>SUMIFS(base[L/P Líquido],base[Data],Extrato!$B34,base[Método],Extrato!L$3)</f>
        <v>0</v>
      </c>
      <c r="M34" s="2">
        <f>SUMIFS(base[L/P Líquido],base[Data],Extrato!$B34,base[Método],Extrato!M$3)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>SUM(C34:AO34)</f>
        <v>2034.2990499999994</v>
      </c>
    </row>
    <row r="35" spans="2:42" ht="15" customHeight="1">
      <c r="B35" s="33">
        <v>46025</v>
      </c>
      <c r="C35" s="2">
        <f t="shared" si="1"/>
        <v>2034.2990499999994</v>
      </c>
      <c r="D35" s="2">
        <f>SUMIFS(base[L/P Líquido],base[Data],Extrato!$B35,base[Método],Extrato!D$3)</f>
        <v>0</v>
      </c>
      <c r="E35" s="2">
        <f>SUMIFS(base[L/P Líquido],base[Data],Extrato!$B35,base[Método],Extrato!E$3,base[Exchange],"Fulltbet")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128.29999999999998</v>
      </c>
      <c r="I35" s="2">
        <f>SUMIF(BetFlow!B:B,B35,BetFlow!J:J)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45.219249999999995</v>
      </c>
      <c r="L35" s="2">
        <f>SUMIFS(base[L/P Líquido],base[Data],Extrato!$B35,base[Método],Extrato!L$3)</f>
        <v>0</v>
      </c>
      <c r="M35" s="2">
        <f>SUMIFS(base[L/P Líquido],base[Data],Extrato!$B35,base[Método],Extrato!M$3)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>SUM(C35:AO35)</f>
        <v>2239.8344499999994</v>
      </c>
    </row>
    <row r="36" spans="2:42" ht="15" customHeight="1">
      <c r="B36" s="33">
        <v>46026</v>
      </c>
      <c r="C36" s="2">
        <f t="shared" si="1"/>
        <v>2239.8344499999994</v>
      </c>
      <c r="D36" s="2">
        <f>SUMIFS(base[L/P Líquido],base[Data],Extrato!$B36,base[Método],Extrato!D$3)</f>
        <v>0</v>
      </c>
      <c r="E36" s="2">
        <f>SUMIFS(base[L/P Líquido],base[Data],Extrato!$B36,base[Método],Extrato!E$3,base[Exchange],"Fulltbet")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-76.95</v>
      </c>
      <c r="I36" s="2">
        <f>SUMIF(BetFlow!B:B,B36,BetFlow!J:J)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61.484849999999994</v>
      </c>
      <c r="L36" s="2">
        <f>SUMIFS(base[L/P Líquido],base[Data],Extrato!$B36,base[Método],Extrato!L$3)</f>
        <v>0</v>
      </c>
      <c r="M36" s="2">
        <f>SUMIFS(base[L/P Líquido],base[Data],Extrato!$B36,base[Método],Extrato!M$3)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5.12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>SUM(C36:AO36)</f>
        <v>2218.5456999999992</v>
      </c>
    </row>
    <row r="37" spans="2:42" ht="15" customHeight="1">
      <c r="B37" s="33">
        <v>46027</v>
      </c>
      <c r="C37" s="2">
        <f t="shared" si="1"/>
        <v>2218.5456999999992</v>
      </c>
      <c r="D37" s="2">
        <f>SUMIFS(base[L/P Líquido],base[Data],Extrato!$B37,base[Método],Extrato!D$3)</f>
        <v>0</v>
      </c>
      <c r="E37" s="2">
        <f>SUMIFS(base[L/P Líquido],base[Data],Extrato!$B37,base[Método],Extrato!E$3,base[Exchange],"Fulltbet")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SUMIF(BetFlow!B:B,B37,BetFlow!J:J)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SUMIFS(base[L/P Líquido],base[Data],Extrato!$B37,base[Método],Extrato!M$3)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>SUM(C37:AO37)</f>
        <v>2276.087399999999</v>
      </c>
    </row>
    <row r="38" spans="2:42" ht="15" customHeight="1">
      <c r="B38" s="33">
        <v>46028</v>
      </c>
      <c r="C38" s="2">
        <f t="shared" si="1"/>
        <v>2276.087399999999</v>
      </c>
      <c r="D38" s="2">
        <f>SUMIFS(base[L/P Líquido],base[Data],Extrato!$B38,base[Método],Extrato!D$3)</f>
        <v>0</v>
      </c>
      <c r="E38" s="2">
        <f>SUMIFS(base[L/P Líquido],base[Data],Extrato!$B38,base[Método],Extrato!E$3,base[Exchange],"Fulltbet")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-15.920000000000002</v>
      </c>
      <c r="I38" s="2">
        <f>SUMIF(BetFlow!B:B,B38,BetFlow!J:J)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SUMIFS(base[L/P Líquido],base[Data],Extrato!$B38,base[Método],Extrato!M$3)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>SUM(C38:AO38)</f>
        <v>2337.6173999999987</v>
      </c>
    </row>
    <row r="39" spans="2:42" ht="15" customHeight="1">
      <c r="B39" s="33">
        <v>46029</v>
      </c>
      <c r="C39" s="2">
        <f t="shared" si="1"/>
        <v>2337.6173999999987</v>
      </c>
      <c r="D39" s="2">
        <f>SUMIFS(base[L/P Líquido],base[Data],Extrato!$B39,base[Método],Extrato!D$3)</f>
        <v>25.58</v>
      </c>
      <c r="E39" s="2">
        <f>SUMIFS(base[L/P Líquido],base[Data],Extrato!$B39,base[Método],Extrato!E$3,base[Exchange],"Fulltbet")</f>
        <v>11.46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-30.939999999999998</v>
      </c>
      <c r="I39" s="2">
        <f>SUMIF(BetFlow!B:B,B39,BetFlow!J:J)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41.608649999999997</v>
      </c>
      <c r="L39" s="2">
        <f>SUMIFS(base[L/P Líquido],base[Data],Extrato!$B39,base[Método],Extrato!L$3)</f>
        <v>0</v>
      </c>
      <c r="M39" s="2">
        <f>SUMIFS(base[L/P Líquido],base[Data],Extrato!$B39,base[Método],Extrato!M$3)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11.030250000000001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>SUM(C39:AO39)</f>
        <v>2383.4862999999987</v>
      </c>
    </row>
    <row r="40" spans="2:42" ht="15" customHeight="1">
      <c r="B40" s="33">
        <v>46030</v>
      </c>
      <c r="C40" s="2">
        <f t="shared" si="1"/>
        <v>2383.4862999999987</v>
      </c>
      <c r="D40" s="2">
        <f>SUMIFS(base[L/P Líquido],base[Data],Extrato!$B40,base[Método],Extrato!D$3)</f>
        <v>0</v>
      </c>
      <c r="E40" s="2">
        <f>SUMIFS(base[L/P Líquido],base[Data],Extrato!$B40,base[Método],Extrato!E$3,base[Exchange],"Fulltbet")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37.82</v>
      </c>
      <c r="I40" s="2">
        <f>SUMIF(BetFlow!B:B,B40,BetFlow!J:J)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-122.41995000000001</v>
      </c>
      <c r="L40" s="2">
        <f>SUMIFS(base[L/P Líquido],base[Data],Extrato!$B40,base[Método],Extrato!L$3)</f>
        <v>0</v>
      </c>
      <c r="M40" s="2">
        <f>SUMIFS(base[L/P Líquido],base[Data],Extrato!$B40,base[Método],Extrato!M$3)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>SUM(C40:AO40)</f>
        <v>2272.5617499999989</v>
      </c>
    </row>
    <row r="41" spans="2:42" ht="15" customHeight="1">
      <c r="B41" s="33">
        <v>46031</v>
      </c>
      <c r="C41" s="2">
        <f t="shared" si="1"/>
        <v>2272.5617499999989</v>
      </c>
      <c r="D41" s="2">
        <f>SUMIFS(base[L/P Líquido],base[Data],Extrato!$B41,base[Método],Extrato!D$3)</f>
        <v>0</v>
      </c>
      <c r="E41" s="2">
        <f>SUMIFS(base[L/P Líquido],base[Data],Extrato!$B41,base[Método],Extrato!E$3,base[Exchange],"Fulltbet")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SUMIF(BetFlow!B:B,B41,BetFlow!J:J)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SUMIFS(base[L/P Líquido],base[Data],Extrato!$B41,base[Método],Extrato!M$3)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>SUM(C41:AO41)</f>
        <v>2172.6017499999989</v>
      </c>
    </row>
    <row r="42" spans="2:42" ht="15" customHeight="1">
      <c r="B42" s="33">
        <v>46032</v>
      </c>
      <c r="C42" s="2">
        <f t="shared" si="1"/>
        <v>2172.6017499999989</v>
      </c>
      <c r="D42" s="2">
        <f>SUMIFS(base[L/P Líquido],base[Data],Extrato!$B42,base[Método],Extrato!D$3)</f>
        <v>0</v>
      </c>
      <c r="E42" s="2">
        <f>SUMIFS(base[L/P Líquido],base[Data],Extrato!$B42,base[Método],Extrato!E$3,base[Exchange],"Fulltbet")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24.679999999999993</v>
      </c>
      <c r="I42" s="2">
        <f>SUMIF(BetFlow!B:B,B42,BetFlow!J:J)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19.20505</v>
      </c>
      <c r="L42" s="2">
        <f>SUMIFS(base[L/P Líquido],base[Data],Extrato!$B42,base[Método],Extrato!L$3)</f>
        <v>0</v>
      </c>
      <c r="M42" s="2">
        <f>SUMIFS(base[L/P Líquido],base[Data],Extrato!$B42,base[Método],Extrato!M$3)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8.9600000000000009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>SUM(C42:AO42)</f>
        <v>2169.1767999999993</v>
      </c>
    </row>
    <row r="43" spans="2:42" ht="15" customHeight="1">
      <c r="B43" s="33">
        <v>46033</v>
      </c>
      <c r="C43" s="2">
        <f t="shared" si="1"/>
        <v>2169.1767999999993</v>
      </c>
      <c r="D43" s="2">
        <f>SUMIFS(base[L/P Líquido],base[Data],Extrato!$B43,base[Método],Extrato!D$3)</f>
        <v>0</v>
      </c>
      <c r="E43" s="2">
        <f>SUMIFS(base[L/P Líquido],base[Data],Extrato!$B43,base[Método],Extrato!E$3,base[Exchange],"Fulltbet")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134.65</v>
      </c>
      <c r="I43" s="2">
        <f>SUMIF(BetFlow!B:B,B43,BetFlow!J:J)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10.86</v>
      </c>
      <c r="L43" s="2">
        <f>SUMIFS(base[L/P Líquido],base[Data],Extrato!$B43,base[Método],Extrato!L$3)</f>
        <v>0</v>
      </c>
      <c r="M43" s="2">
        <f>SUMIFS(base[L/P Líquido],base[Data],Extrato!$B43,base[Método],Extrato!M$3)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>SUM(C43:AO43)</f>
        <v>2248.6567999999997</v>
      </c>
    </row>
    <row r="44" spans="2:42" ht="15" customHeight="1">
      <c r="B44" s="33">
        <v>46034</v>
      </c>
      <c r="C44" s="2">
        <f t="shared" si="1"/>
        <v>2248.6567999999997</v>
      </c>
      <c r="D44" s="2">
        <f>SUMIFS(base[L/P Líquido],base[Data],Extrato!$B44,base[Método],Extrato!D$3)</f>
        <v>0</v>
      </c>
      <c r="E44" s="2">
        <f>SUMIFS(base[L/P Líquido],base[Data],Extrato!$B44,base[Método],Extrato!E$3,base[Exchange],"Fulltbet")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42.4</v>
      </c>
      <c r="I44" s="2">
        <f>SUMIF(BetFlow!B:B,B44,BetFlow!J:J)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SUMIFS(base[L/P Líquido],base[Data],Extrato!$B44,base[Método],Extrato!M$3)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>SUM(C44:AO44)</f>
        <v>2251.6967999999997</v>
      </c>
    </row>
    <row r="45" spans="2:42" ht="15" customHeight="1">
      <c r="B45" s="33">
        <v>46035</v>
      </c>
      <c r="C45" s="2">
        <f t="shared" si="1"/>
        <v>2251.6967999999997</v>
      </c>
      <c r="D45" s="2">
        <f>SUMIFS(base[L/P Líquido],base[Data],Extrato!$B45,base[Método],Extrato!D$3)</f>
        <v>0</v>
      </c>
      <c r="E45" s="2">
        <f>SUMIFS(base[L/P Líquido],base[Data],Extrato!$B45,base[Método],Extrato!E$3,base[Exchange],"Fulltbet")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41.26</v>
      </c>
      <c r="I45" s="2">
        <f>SUMIF(BetFlow!B:B,B45,BetFlow!J:J)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SUMIFS(base[L/P Líquido],base[Data],Extrato!$B45,base[Método],Extrato!M$3)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>SUM(C45:AO45)</f>
        <v>2275.4868000000001</v>
      </c>
    </row>
    <row r="46" spans="2:42" ht="15" customHeight="1">
      <c r="B46" s="33">
        <v>46036</v>
      </c>
      <c r="C46" s="2">
        <f t="shared" si="1"/>
        <v>2275.4868000000001</v>
      </c>
      <c r="D46" s="2">
        <f>SUMIFS(base[L/P Líquido],base[Data],Extrato!$B46,base[Método],Extrato!D$3)</f>
        <v>0</v>
      </c>
      <c r="E46" s="2">
        <f>SUMIFS(base[L/P Líquido],base[Data],Extrato!$B46,base[Método],Extrato!E$3,base[Exchange],"Fulltbet")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20.930000000000007</v>
      </c>
      <c r="I46" s="2">
        <f>SUMIF(BetFlow!B:B,B46,BetFlow!J:J)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-119.28995</v>
      </c>
      <c r="L46" s="2">
        <f>SUMIFS(base[L/P Líquido],base[Data],Extrato!$B46,base[Método],Extrato!L$3)</f>
        <v>0</v>
      </c>
      <c r="M46" s="2">
        <f>SUMIFS(base[L/P Líquido],base[Data],Extrato!$B46,base[Método],Extrato!M$3)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>SUM(C46:AO46)</f>
        <v>2201.5768499999999</v>
      </c>
    </row>
    <row r="47" spans="2:42" ht="15" customHeight="1">
      <c r="B47" s="33">
        <v>46037</v>
      </c>
      <c r="C47" s="2">
        <f t="shared" si="1"/>
        <v>2201.5768499999999</v>
      </c>
      <c r="D47" s="2">
        <f>SUMIFS(base[L/P Líquido],base[Data],Extrato!$B47,base[Método],Extrato!D$3)</f>
        <v>0</v>
      </c>
      <c r="E47" s="2">
        <f>SUMIFS(base[L/P Líquido],base[Data],Extrato!$B47,base[Método],Extrato!E$3,base[Exchange],"Fulltbet")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50.26</v>
      </c>
      <c r="I47" s="2">
        <f>SUMIF(BetFlow!B:B,B47,BetFlow!J:J)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SUMIFS(base[L/P Líquido],base[Data],Extrato!$B47,base[Método],Extrato!M$3)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>SUM(C47:AO47)</f>
        <v>2251.8468500000004</v>
      </c>
    </row>
    <row r="48" spans="2:42" ht="15" customHeight="1">
      <c r="B48" s="33">
        <v>46038</v>
      </c>
      <c r="C48" s="2">
        <f t="shared" si="1"/>
        <v>2251.8468500000004</v>
      </c>
      <c r="D48" s="2">
        <f>SUMIFS(base[L/P Líquido],base[Data],Extrato!$B48,base[Método],Extrato!D$3)</f>
        <v>0</v>
      </c>
      <c r="E48" s="2">
        <f>SUMIFS(base[L/P Líquido],base[Data],Extrato!$B48,base[Método],Extrato!E$3,base[Exchange],"Fulltbet")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-82.789999999999992</v>
      </c>
      <c r="I48" s="2">
        <f>SUMIF(BetFlow!B:B,B48,BetFlow!J:J)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SUMIFS(base[L/P Líquido],base[Data],Extrato!$B48,base[Método],Extrato!M$3)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22.58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>SUM(C48:AO48)</f>
        <v>2233.7968500000002</v>
      </c>
    </row>
    <row r="49" spans="2:42" ht="15" customHeight="1">
      <c r="B49" s="33">
        <v>46039</v>
      </c>
      <c r="C49" s="2">
        <f t="shared" si="1"/>
        <v>2233.7968500000002</v>
      </c>
      <c r="D49" s="2">
        <f>SUMIFS(base[L/P Líquido],base[Data],Extrato!$B49,base[Método],Extrato!D$3)</f>
        <v>17.059999999999999</v>
      </c>
      <c r="E49" s="2">
        <f>SUMIFS(base[L/P Líquido],base[Data],Extrato!$B49,base[Método],Extrato!E$3,base[Exchange],"Fulltbet")</f>
        <v>33.020000000000003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-79.89</v>
      </c>
      <c r="I49" s="2">
        <f>SUMIF(BetFlow!B:B,B49,BetFlow!J:J)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39.854699999999994</v>
      </c>
      <c r="L49" s="2">
        <f>SUMIFS(base[L/P Líquido],base[Data],Extrato!$B49,base[Método],Extrato!L$3)</f>
        <v>0</v>
      </c>
      <c r="M49" s="2">
        <f>SUMIFS(base[L/P Líquido],base[Data],Extrato!$B49,base[Método],Extrato!M$3)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15.93435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>SUM(C49:AO49)</f>
        <v>2296.92335</v>
      </c>
    </row>
    <row r="50" spans="2:42" ht="15" customHeight="1">
      <c r="B50" s="33">
        <v>46040</v>
      </c>
      <c r="C50" s="2">
        <f t="shared" si="1"/>
        <v>2296.92335</v>
      </c>
      <c r="D50" s="2">
        <f>SUMIFS(base[L/P Líquido],base[Data],Extrato!$B50,base[Método],Extrato!D$3)</f>
        <v>0</v>
      </c>
      <c r="E50" s="2">
        <f>SUMIFS(base[L/P Líquido],base[Data],Extrato!$B50,base[Método],Extrato!E$3,base[Exchange],"Fulltbet")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-245.94</v>
      </c>
      <c r="I50" s="2">
        <f>SUMIF(BetFlow!B:B,B50,BetFlow!J:J)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32.773049999999998</v>
      </c>
      <c r="L50" s="2">
        <f>SUMIFS(base[L/P Líquido],base[Data],Extrato!$B50,base[Método],Extrato!L$3)</f>
        <v>0</v>
      </c>
      <c r="M50" s="2">
        <f>SUMIFS(base[L/P Líquido],base[Data],Extrato!$B50,base[Método],Extrato!M$3)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>SUM(C50:AO50)</f>
        <v>1955.0290999999997</v>
      </c>
    </row>
    <row r="51" spans="2:42" ht="15" customHeight="1">
      <c r="B51" s="33">
        <v>46041</v>
      </c>
      <c r="C51" s="2">
        <f t="shared" ref="C51:C82" si="2">AP50</f>
        <v>1955.0290999999997</v>
      </c>
      <c r="D51" s="2">
        <f>SUMIFS(base[L/P Líquido],base[Data],Extrato!$B51,base[Método],Extrato!D$3)</f>
        <v>0</v>
      </c>
      <c r="E51" s="2">
        <f>SUMIFS(base[L/P Líquido],base[Data],Extrato!$B51,base[Método],Extrato!E$3,base[Exchange],"Fulltbet")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SUMIF(BetFlow!B:B,B51,BetFlow!J:J)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SUMIFS(base[L/P Líquido],base[Data],Extrato!$B51,base[Método],Extrato!M$3)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>SUM(C51:AO51)</f>
        <v>1955.0290999999997</v>
      </c>
    </row>
    <row r="52" spans="2:42" ht="15" customHeight="1">
      <c r="B52" s="33">
        <v>46042</v>
      </c>
      <c r="C52" s="2">
        <f t="shared" si="2"/>
        <v>1955.0290999999997</v>
      </c>
      <c r="D52" s="2">
        <f>SUMIFS(base[L/P Líquido],base[Data],Extrato!$B52,base[Método],Extrato!D$3)</f>
        <v>0</v>
      </c>
      <c r="E52" s="2">
        <f>SUMIFS(base[L/P Líquido],base[Data],Extrato!$B52,base[Método],Extrato!E$3,base[Exchange],"Fulltbet")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-202.67000000000002</v>
      </c>
      <c r="I52" s="2">
        <f>SUMIF(BetFlow!B:B,B52,BetFlow!J:J)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23.4</v>
      </c>
      <c r="L52" s="2">
        <f>SUMIFS(base[L/P Líquido],base[Data],Extrato!$B52,base[Método],Extrato!L$3)</f>
        <v>0</v>
      </c>
      <c r="M52" s="2">
        <f>SUMIFS(base[L/P Líquido],base[Data],Extrato!$B52,base[Método],Extrato!M$3)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>SUM(C52:AO52)</f>
        <v>1663.6466499999997</v>
      </c>
    </row>
    <row r="53" spans="2:42" ht="15" customHeight="1">
      <c r="B53" s="33">
        <v>46043</v>
      </c>
      <c r="C53" s="2">
        <f t="shared" si="2"/>
        <v>1663.6466499999997</v>
      </c>
      <c r="D53" s="2">
        <f>SUMIFS(base[L/P Líquido],base[Data],Extrato!$B53,base[Método],Extrato!D$3)</f>
        <v>0</v>
      </c>
      <c r="E53" s="2">
        <f>SUMIFS(base[L/P Líquido],base[Data],Extrato!$B53,base[Método],Extrato!E$3,base[Exchange],"Fulltbet")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-145.03</v>
      </c>
      <c r="I53" s="2">
        <f>SUMIF(BetFlow!B:B,B53,BetFlow!J:J)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18.23</v>
      </c>
      <c r="L53" s="2">
        <f>SUMIFS(base[L/P Líquido],base[Data],Extrato!$B53,base[Método],Extrato!L$3)</f>
        <v>0</v>
      </c>
      <c r="M53" s="2">
        <f>SUMIFS(base[L/P Líquido],base[Data],Extrato!$B53,base[Método],Extrato!M$3)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>SUM(C53:AO53)</f>
        <v>1630.7249499999996</v>
      </c>
    </row>
    <row r="54" spans="2:42" ht="15" customHeight="1">
      <c r="B54" s="33">
        <v>46044</v>
      </c>
      <c r="C54" s="2">
        <f t="shared" si="2"/>
        <v>1630.7249499999996</v>
      </c>
      <c r="D54" s="2">
        <f>SUMIFS(base[L/P Líquido],base[Data],Extrato!$B54,base[Método],Extrato!D$3)</f>
        <v>0</v>
      </c>
      <c r="E54" s="2">
        <f>SUMIFS(base[L/P Líquido],base[Data],Extrato!$B54,base[Método],Extrato!E$3,base[Exchange],"Fulltbet")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SUMIF(BetFlow!B:B,B54,BetFlow!J:J)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20.189999999999998</v>
      </c>
      <c r="L54" s="2">
        <f>SUMIFS(base[L/P Líquido],base[Data],Extrato!$B54,base[Método],Extrato!L$3)</f>
        <v>0</v>
      </c>
      <c r="M54" s="2">
        <f>SUMIFS(base[L/P Líquido],base[Data],Extrato!$B54,base[Método],Extrato!M$3)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>SUM(C54:AO54)</f>
        <v>1682.0249499999995</v>
      </c>
    </row>
    <row r="55" spans="2:42" ht="15" customHeight="1">
      <c r="B55" s="33">
        <v>46045</v>
      </c>
      <c r="C55" s="2">
        <f t="shared" si="2"/>
        <v>1682.0249499999995</v>
      </c>
      <c r="D55" s="2">
        <f>SUMIFS(base[L/P Líquido],base[Data],Extrato!$B55,base[Método],Extrato!D$3)</f>
        <v>0</v>
      </c>
      <c r="E55" s="2">
        <f>SUMIFS(base[L/P Líquido],base[Data],Extrato!$B55,base[Método],Extrato!E$3,base[Exchange],"Fulltbet")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-11.869999999999997</v>
      </c>
      <c r="I55" s="2">
        <f>SUMIF(BetFlow!B:B,B55,BetFlow!J:J)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20.420000000000002</v>
      </c>
      <c r="L55" s="2">
        <f>SUMIFS(base[L/P Líquido],base[Data],Extrato!$B55,base[Método],Extrato!L$3)</f>
        <v>0</v>
      </c>
      <c r="M55" s="2">
        <f>SUMIFS(base[L/P Líquido],base[Data],Extrato!$B55,base[Método],Extrato!M$3)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>SUM(C55:AO55)</f>
        <v>1756.6104499999997</v>
      </c>
    </row>
    <row r="56" spans="2:42" ht="15" customHeight="1">
      <c r="B56" s="33">
        <v>46046</v>
      </c>
      <c r="C56" s="2">
        <f t="shared" si="2"/>
        <v>1756.6104499999997</v>
      </c>
      <c r="D56" s="2">
        <f>SUMIFS(base[L/P Líquido],base[Data],Extrato!$B56,base[Método],Extrato!D$3)</f>
        <v>0</v>
      </c>
      <c r="E56" s="2">
        <f>SUMIFS(base[L/P Líquido],base[Data],Extrato!$B56,base[Método],Extrato!E$3,base[Exchange],"Fulltbet")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21.090000000000003</v>
      </c>
      <c r="I56" s="2">
        <f>SUMIF(BetFlow!B:B,B56,BetFlow!J:J)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-79.735600000000005</v>
      </c>
      <c r="L56" s="2">
        <f>SUMIFS(base[L/P Líquido],base[Data],Extrato!$B56,base[Método],Extrato!L$3)</f>
        <v>0</v>
      </c>
      <c r="M56" s="2">
        <f>SUMIFS(base[L/P Líquido],base[Data],Extrato!$B56,base[Método],Extrato!M$3)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19.850000000000001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>SUM(C56:AO56)</f>
        <v>2224.6604499999994</v>
      </c>
    </row>
    <row r="57" spans="2:42" ht="15" customHeight="1">
      <c r="B57" s="33">
        <v>46047</v>
      </c>
      <c r="C57" s="2">
        <f t="shared" si="2"/>
        <v>2224.6604499999994</v>
      </c>
      <c r="D57" s="2">
        <f>SUMIFS(base[L/P Líquido],base[Data],Extrato!$B57,base[Método],Extrato!D$3)</f>
        <v>0</v>
      </c>
      <c r="E57" s="2">
        <f>SUMIFS(base[L/P Líquido],base[Data],Extrato!$B57,base[Método],Extrato!E$3,base[Exchange],"Fulltbet")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5.0200000000000102</v>
      </c>
      <c r="I57" s="2">
        <f>SUMIF(BetFlow!B:B,B57,BetFlow!J:J)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47.746599999999994</v>
      </c>
      <c r="L57" s="2">
        <f>SUMIFS(base[L/P Líquido],base[Data],Extrato!$B57,base[Método],Extrato!L$3)</f>
        <v>0</v>
      </c>
      <c r="M57" s="2">
        <f>SUMIFS(base[L/P Líquido],base[Data],Extrato!$B57,base[Método],Extrato!M$3)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>SUM(C57:AO57)</f>
        <v>2330.348649999999</v>
      </c>
    </row>
    <row r="58" spans="2:42" ht="15" customHeight="1">
      <c r="B58" s="33">
        <v>46048</v>
      </c>
      <c r="C58" s="2">
        <f t="shared" si="2"/>
        <v>2330.348649999999</v>
      </c>
      <c r="D58" s="2">
        <f>SUMIFS(base[L/P Líquido],base[Data],Extrato!$B58,base[Método],Extrato!D$3)</f>
        <v>0</v>
      </c>
      <c r="E58" s="2">
        <f>SUMIFS(base[L/P Líquido],base[Data],Extrato!$B58,base[Método],Extrato!E$3,base[Exchange],"Fulltbet")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46.249999999999993</v>
      </c>
      <c r="I58" s="2">
        <f>SUMIF(BetFlow!B:B,B58,BetFlow!J:J)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-149.27000000000001</v>
      </c>
      <c r="L58" s="2">
        <f>SUMIFS(base[L/P Líquido],base[Data],Extrato!$B58,base[Método],Extrato!L$3)</f>
        <v>0</v>
      </c>
      <c r="M58" s="2">
        <f>SUMIFS(base[L/P Líquido],base[Data],Extrato!$B58,base[Método],Extrato!M$3)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>SUM(C58:AO58)</f>
        <v>2245.2486499999991</v>
      </c>
    </row>
    <row r="59" spans="2:42" ht="15" customHeight="1">
      <c r="B59" s="33">
        <v>46049</v>
      </c>
      <c r="C59" s="2">
        <f t="shared" si="2"/>
        <v>2245.2486499999991</v>
      </c>
      <c r="D59" s="2">
        <f>SUMIFS(base[L/P Líquido],base[Data],Extrato!$B59,base[Método],Extrato!D$3)</f>
        <v>0</v>
      </c>
      <c r="E59" s="2">
        <f>SUMIFS(base[L/P Líquido],base[Data],Extrato!$B59,base[Método],Extrato!E$3,base[Exchange],"Fulltbet")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90.699999999999989</v>
      </c>
      <c r="I59" s="2">
        <f>SUMIF(BetFlow!B:B,B59,BetFlow!J:J)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14.39</v>
      </c>
      <c r="L59" s="2">
        <f>SUMIFS(base[L/P Líquido],base[Data],Extrato!$B59,base[Método],Extrato!L$3)</f>
        <v>0</v>
      </c>
      <c r="M59" s="2">
        <f>SUMIFS(base[L/P Líquido],base[Data],Extrato!$B59,base[Método],Extrato!M$3)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>SUM(C59:AO59)</f>
        <v>2264.3586499999988</v>
      </c>
    </row>
    <row r="60" spans="2:42" ht="15" customHeight="1">
      <c r="B60" s="33">
        <v>46050</v>
      </c>
      <c r="C60" s="2">
        <f t="shared" si="2"/>
        <v>2264.3586499999988</v>
      </c>
      <c r="D60" s="2">
        <f>SUMIFS(base[L/P Líquido],base[Data],Extrato!$B60,base[Método],Extrato!D$3)</f>
        <v>0</v>
      </c>
      <c r="E60" s="2">
        <f>SUMIFS(base[L/P Líquido],base[Data],Extrato!$B60,base[Método],Extrato!E$3,base[Exchange],"Fulltbet")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-77.430000000000007</v>
      </c>
      <c r="I60" s="2">
        <f>SUMIF(BetFlow!B:B,B60,BetFlow!J:J)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17.3</v>
      </c>
      <c r="L60" s="2">
        <f>SUMIFS(base[L/P Líquido],base[Data],Extrato!$B60,base[Método],Extrato!L$3)</f>
        <v>0</v>
      </c>
      <c r="M60" s="2">
        <f>SUMIFS(base[L/P Líquido],base[Data],Extrato!$B60,base[Método],Extrato!M$3)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>SUM(C60:AO60)</f>
        <v>2158.598649999999</v>
      </c>
    </row>
    <row r="61" spans="2:42" ht="15" customHeight="1">
      <c r="B61" s="33">
        <v>46051</v>
      </c>
      <c r="C61" s="2">
        <f t="shared" si="2"/>
        <v>2158.598649999999</v>
      </c>
      <c r="D61" s="2">
        <f>SUMIFS(base[L/P Líquido],base[Data],Extrato!$B61,base[Método],Extrato!D$3)</f>
        <v>0</v>
      </c>
      <c r="E61" s="2">
        <f>SUMIFS(base[L/P Líquido],base[Data],Extrato!$B61,base[Método],Extrato!E$3,base[Exchange],"Fulltbet")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-120</v>
      </c>
      <c r="I61" s="2">
        <f>SUMIF(BetFlow!B:B,B61,BetFlow!J:J)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18.507899999999999</v>
      </c>
      <c r="L61" s="2">
        <f>SUMIFS(base[L/P Líquido],base[Data],Extrato!$B61,base[Método],Extrato!L$3)</f>
        <v>0</v>
      </c>
      <c r="M61" s="2">
        <f>SUMIFS(base[L/P Líquido],base[Data],Extrato!$B61,base[Método],Extrato!M$3)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>SUM(C61:AO61)</f>
        <v>2108.6360499999992</v>
      </c>
    </row>
    <row r="62" spans="2:42" ht="15" customHeight="1">
      <c r="B62" s="33">
        <v>46052</v>
      </c>
      <c r="C62" s="2">
        <f t="shared" si="2"/>
        <v>2108.6360499999992</v>
      </c>
      <c r="D62" s="2">
        <f>SUMIFS(base[L/P Líquido],base[Data],Extrato!$B62,base[Método],Extrato!D$3)</f>
        <v>46.65</v>
      </c>
      <c r="E62" s="2">
        <f>SUMIFS(base[L/P Líquido],base[Data],Extrato!$B62,base[Método],Extrato!E$3,base[Exchange],"Fulltbet")</f>
        <v>13.53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65.080000000000013</v>
      </c>
      <c r="I62" s="2">
        <f>SUMIF(BetFlow!B:B,B62,BetFlow!J:J)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27.1432</v>
      </c>
      <c r="L62" s="2">
        <f>SUMIFS(base[L/P Líquido],base[Data],Extrato!$B62,base[Método],Extrato!L$3)</f>
        <v>0</v>
      </c>
      <c r="M62" s="2">
        <f>SUMIFS(base[L/P Líquido],base[Data],Extrato!$B62,base[Método],Extrato!M$3)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>SUM(C62:AO62)</f>
        <v>2352.3246499999991</v>
      </c>
    </row>
    <row r="63" spans="2:42" ht="15" customHeight="1">
      <c r="B63" s="33">
        <v>46053</v>
      </c>
      <c r="C63" s="2">
        <f t="shared" si="2"/>
        <v>2352.3246499999991</v>
      </c>
      <c r="D63" s="2">
        <f>SUMIFS(base[L/P Líquido],base[Data],Extrato!$B63,base[Método],Extrato!D$3)</f>
        <v>-120.79</v>
      </c>
      <c r="E63" s="2">
        <f>SUMIFS(base[L/P Líquido],base[Data],Extrato!$B63,base[Método],Extrato!E$3,base[Exchange],"Fulltbet")</f>
        <v>16.28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360.58</v>
      </c>
      <c r="I63" s="2">
        <f>SUMIF(BetFlow!B:B,B63,BetFlow!J:J)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30.66</v>
      </c>
      <c r="L63" s="2">
        <f>SUMIFS(base[L/P Líquido],base[Data],Extrato!$B63,base[Método],Extrato!L$3)</f>
        <v>0</v>
      </c>
      <c r="M63" s="2">
        <f>SUMIFS(base[L/P Líquido],base[Data],Extrato!$B63,base[Método],Extrato!M$3)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26.98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>SUM(C63:AO63)</f>
        <v>2793.1768499999989</v>
      </c>
    </row>
    <row r="64" spans="2:42" ht="15" customHeight="1">
      <c r="B64" s="33">
        <v>46054</v>
      </c>
      <c r="C64" s="2">
        <f t="shared" si="2"/>
        <v>2793.1768499999989</v>
      </c>
      <c r="D64" s="2">
        <f>SUMIFS(base[L/P Líquido],base[Data],Extrato!$B64,base[Método],Extrato!D$3)</f>
        <v>0</v>
      </c>
      <c r="E64" s="2">
        <f>SUMIFS(base[L/P Líquido],base[Data],Extrato!$B64,base[Método],Extrato!E$3,base[Exchange],"Fulltbet")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-370.75</v>
      </c>
      <c r="I64" s="2">
        <f>SUMIF(BetFlow!B:B,B64,BetFlow!J:J)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-218.48</v>
      </c>
      <c r="L64" s="2">
        <f>SUMIFS(base[L/P Líquido],base[Data],Extrato!$B64,base[Método],Extrato!L$3)</f>
        <v>0</v>
      </c>
      <c r="M64" s="2">
        <f>SUMIFS(base[L/P Líquido],base[Data],Extrato!$B64,base[Método],Extrato!M$3)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>SUM(C64:AO64)</f>
        <v>2395.8908499999993</v>
      </c>
    </row>
    <row r="65" spans="2:42" ht="15" customHeight="1">
      <c r="B65" s="33">
        <v>46055</v>
      </c>
      <c r="C65" s="2">
        <f t="shared" si="2"/>
        <v>2395.8908499999993</v>
      </c>
      <c r="D65" s="2">
        <f>SUMIFS(base[L/P Líquido],base[Data],Extrato!$B65,base[Método],Extrato!D$3)</f>
        <v>0</v>
      </c>
      <c r="E65" s="2">
        <f>SUMIFS(base[L/P Líquido],base[Data],Extrato!$B65,base[Método],Extrato!E$3,base[Exchange],"Fulltbet")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-93.85</v>
      </c>
      <c r="I65" s="2">
        <f>SUMIF(BetFlow!B:B,B65,BetFlow!J:J)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SUMIFS(base[L/P Líquido],base[Data],Extrato!$B65,base[Método],Extrato!M$3)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>SUM(C65:AO65)</f>
        <v>2340.1308499999996</v>
      </c>
    </row>
    <row r="66" spans="2:42" ht="15" customHeight="1">
      <c r="B66" s="33">
        <v>46056</v>
      </c>
      <c r="C66" s="2">
        <f t="shared" si="2"/>
        <v>2340.1308499999996</v>
      </c>
      <c r="D66" s="2">
        <f>SUMIFS(base[L/P Líquido],base[Data],Extrato!$B66,base[Método],Extrato!D$3)</f>
        <v>0</v>
      </c>
      <c r="E66" s="2">
        <f>SUMIFS(base[L/P Líquido],base[Data],Extrato!$B66,base[Método],Extrato!E$3,base[Exchange],"Fulltbet")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SUMIF(BetFlow!B:B,B66,BetFlow!J:J)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SUMIFS(base[L/P Líquido],base[Data],Extrato!$B66,base[Método],Extrato!M$3)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>SUM(C66:AO66)</f>
        <v>2090.1208499999993</v>
      </c>
    </row>
    <row r="67" spans="2:42" ht="15" customHeight="1">
      <c r="B67" s="33">
        <v>46057</v>
      </c>
      <c r="C67" s="2">
        <f t="shared" si="2"/>
        <v>2090.1208499999993</v>
      </c>
      <c r="D67" s="2">
        <f>SUMIFS(base[L/P Líquido],base[Data],Extrato!$B67,base[Método],Extrato!D$3)</f>
        <v>0</v>
      </c>
      <c r="E67" s="2">
        <f>SUMIFS(base[L/P Líquido],base[Data],Extrato!$B67,base[Método],Extrato!E$3,base[Exchange],"Fulltbet")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69.52</v>
      </c>
      <c r="I67" s="2">
        <f>SUMIF(BetFlow!B:B,B67,BetFlow!J:J)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SUMIFS(base[L/P Líquido],base[Data],Extrato!$B67,base[Método],Extrato!M$3)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>SUM(C67:AO67)</f>
        <v>2176.3708499999993</v>
      </c>
    </row>
    <row r="68" spans="2:42" ht="15" customHeight="1">
      <c r="B68" s="33">
        <v>46058</v>
      </c>
      <c r="C68" s="2">
        <f t="shared" si="2"/>
        <v>2176.3708499999993</v>
      </c>
      <c r="D68" s="2">
        <f>SUMIFS(base[L/P Líquido],base[Data],Extrato!$B68,base[Método],Extrato!D$3)</f>
        <v>0</v>
      </c>
      <c r="E68" s="2">
        <f>SUMIFS(base[L/P Líquido],base[Data],Extrato!$B68,base[Método],Extrato!E$3,base[Exchange],"Fulltbet")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143.63</v>
      </c>
      <c r="I68" s="2">
        <f>SUMIF(BetFlow!B:B,B68,BetFlow!J:J)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SUMIFS(base[L/P Líquido],base[Data],Extrato!$B68,base[Método],Extrato!M$3)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>SUM(C68:AO68)</f>
        <v>2374.6163499999993</v>
      </c>
    </row>
    <row r="69" spans="2:42" ht="15" customHeight="1">
      <c r="B69" s="33">
        <v>46059</v>
      </c>
      <c r="C69" s="2">
        <f t="shared" si="2"/>
        <v>2374.6163499999993</v>
      </c>
      <c r="D69" s="2">
        <f>SUMIFS(base[L/P Líquido],base[Data],Extrato!$B69,base[Método],Extrato!D$3)</f>
        <v>0</v>
      </c>
      <c r="E69" s="2">
        <f>SUMIFS(base[L/P Líquido],base[Data],Extrato!$B69,base[Método],Extrato!E$3,base[Exchange],"Fulltbet")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236.34000000000003</v>
      </c>
      <c r="I69" s="2">
        <f>SUMIF(BetFlow!B:B,B69,BetFlow!J:J)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SUMIFS(base[L/P Líquido],base[Data],Extrato!$B69,base[Método],Extrato!M$3)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>SUM(C69:AO69)</f>
        <v>2595.6341499999994</v>
      </c>
    </row>
    <row r="70" spans="2:42" ht="15" customHeight="1">
      <c r="B70" s="33">
        <v>46060</v>
      </c>
      <c r="C70" s="2">
        <f t="shared" si="2"/>
        <v>2595.6341499999994</v>
      </c>
      <c r="D70" s="2">
        <f>SUMIFS(base[L/P Líquido],base[Data],Extrato!$B70,base[Método],Extrato!D$3)</f>
        <v>151.43</v>
      </c>
      <c r="E70" s="2">
        <f>SUMIFS(base[L/P Líquido],base[Data],Extrato!$B70,base[Método],Extrato!E$3,base[Exchange],"Fulltbet")</f>
        <v>51.790000000000006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56.97</v>
      </c>
      <c r="I70" s="2">
        <f>SUMIF(BetFlow!B:B,B70,BetFlow!J:J)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19.89</v>
      </c>
      <c r="L70" s="2">
        <f>SUMIFS(base[L/P Líquido],base[Data],Extrato!$B70,base[Método],Extrato!L$3)</f>
        <v>0</v>
      </c>
      <c r="M70" s="2">
        <f>SUMIFS(base[L/P Líquido],base[Data],Extrato!$B70,base[Método],Extrato!M$3)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14.93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>SUM(C70:AO70)</f>
        <v>3091.5011499999991</v>
      </c>
    </row>
    <row r="71" spans="2:42" ht="15" customHeight="1">
      <c r="B71" s="33">
        <v>46061</v>
      </c>
      <c r="C71" s="2">
        <f t="shared" si="2"/>
        <v>3091.5011499999991</v>
      </c>
      <c r="D71" s="2">
        <f>SUMIFS(base[L/P Líquido],base[Data],Extrato!$B71,base[Método],Extrato!D$3)</f>
        <v>-204.08999999999997</v>
      </c>
      <c r="E71" s="2">
        <f>SUMIFS(base[L/P Líquido],base[Data],Extrato!$B71,base[Método],Extrato!E$3,base[Exchange],"Fulltbet")</f>
        <v>0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35.03</v>
      </c>
      <c r="I71" s="2">
        <f>SUMIF(BetFlow!B:B,B71,BetFlow!J:J)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SUMIFS(base[L/P Líquido],base[Data],Extrato!$B71,base[Método],Extrato!M$3)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-240.07000000000002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>SUM(C71:AO71)</f>
        <v>2472.8863499999989</v>
      </c>
    </row>
    <row r="72" spans="2:42" ht="15" customHeight="1">
      <c r="B72" s="33">
        <v>46062</v>
      </c>
      <c r="C72" s="2">
        <f t="shared" si="2"/>
        <v>2472.8863499999989</v>
      </c>
      <c r="D72" s="2">
        <f>SUMIFS(base[L/P Líquido],base[Data],Extrato!$B72,base[Método],Extrato!D$3)</f>
        <v>0</v>
      </c>
      <c r="E72" s="2">
        <f>SUMIFS(base[L/P Líquido],base[Data],Extrato!$B72,base[Método],Extrato!E$3,base[Exchange],"Fulltbet")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45.3</v>
      </c>
      <c r="I72" s="2">
        <f>SUMIF(BetFlow!B:B,B72,BetFlow!J:J)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10.848799999999999</v>
      </c>
      <c r="L72" s="2">
        <f>SUMIFS(base[L/P Líquido],base[Data],Extrato!$B72,base[Método],Extrato!L$3)</f>
        <v>0</v>
      </c>
      <c r="M72" s="2">
        <f>SUMIFS(base[L/P Líquido],base[Data],Extrato!$B72,base[Método],Extrato!M$3)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>SUM(C72:AO72)</f>
        <v>2715.2643499999995</v>
      </c>
    </row>
    <row r="73" spans="2:42" ht="15" customHeight="1">
      <c r="B73" s="33">
        <v>46063</v>
      </c>
      <c r="C73" s="2">
        <f t="shared" si="2"/>
        <v>2715.2643499999995</v>
      </c>
      <c r="D73" s="2">
        <f>SUMIFS(base[L/P Líquido],base[Data],Extrato!$B73,base[Método],Extrato!D$3)</f>
        <v>121.22999999999999</v>
      </c>
      <c r="E73" s="2">
        <f>SUMIFS(base[L/P Líquido],base[Data],Extrato!$B73,base[Método],Extrato!E$3,base[Exchange],"Fulltbet")</f>
        <v>0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98.019999999999982</v>
      </c>
      <c r="I73" s="2">
        <f>SUMIF(BetFlow!B:B,B73,BetFlow!J:J)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SUMIFS(base[L/P Líquido],base[Data],Extrato!$B73,base[Método],Extrato!M$3)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>SUM(C73:AO73)</f>
        <v>3018.4827999999998</v>
      </c>
    </row>
    <row r="74" spans="2:42" ht="15" customHeight="1">
      <c r="B74" s="33">
        <v>46064</v>
      </c>
      <c r="C74" s="2">
        <f t="shared" si="2"/>
        <v>3018.4827999999998</v>
      </c>
      <c r="D74" s="2">
        <f>SUMIFS(base[L/P Líquido],base[Data],Extrato!$B74,base[Método],Extrato!D$3)</f>
        <v>-168.9</v>
      </c>
      <c r="E74" s="2">
        <f>SUMIFS(base[L/P Líquido],base[Data],Extrato!$B74,base[Método],Extrato!E$3,base[Exchange],"Fulltbet")</f>
        <v>29.12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-121.58000000000001</v>
      </c>
      <c r="I74" s="2">
        <f>SUMIF(BetFlow!B:B,B74,BetFlow!J:J)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-27.23</v>
      </c>
      <c r="L74" s="2">
        <f>SUMIFS(base[L/P Líquido],base[Data],Extrato!$B74,base[Método],Extrato!L$3)</f>
        <v>0</v>
      </c>
      <c r="M74" s="2">
        <f>SUMIFS(base[L/P Líquido],base[Data],Extrato!$B74,base[Método],Extrato!M$3)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>SUM(C74:AO74)</f>
        <v>2867.9281999999998</v>
      </c>
    </row>
    <row r="75" spans="2:42" ht="15" customHeight="1">
      <c r="B75" s="33">
        <v>46065</v>
      </c>
      <c r="C75" s="2">
        <f t="shared" si="2"/>
        <v>2867.9281999999998</v>
      </c>
      <c r="D75" s="2">
        <f>SUMIFS(base[L/P Líquido],base[Data],Extrato!$B75,base[Método],Extrato!D$3)</f>
        <v>0</v>
      </c>
      <c r="E75" s="2">
        <f>SUMIFS(base[L/P Líquido],base[Data],Extrato!$B75,base[Método],Extrato!E$3,base[Exchange],"Fulltbet")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-92</v>
      </c>
      <c r="I75" s="2">
        <f>SUMIF(BetFlow!B:B,B75,BetFlow!J:J)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-16.53</v>
      </c>
      <c r="L75" s="2">
        <f>SUMIFS(base[L/P Líquido],base[Data],Extrato!$B75,base[Método],Extrato!L$3)</f>
        <v>0</v>
      </c>
      <c r="M75" s="2">
        <f>SUMIFS(base[L/P Líquido],base[Data],Extrato!$B75,base[Método],Extrato!M$3)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>SUM(C75:AO75)</f>
        <v>2738.0881999999992</v>
      </c>
    </row>
    <row r="76" spans="2:42" ht="15" customHeight="1">
      <c r="B76" s="33">
        <v>46066</v>
      </c>
      <c r="C76" s="2">
        <f t="shared" si="2"/>
        <v>2738.0881999999992</v>
      </c>
      <c r="D76" s="2">
        <f>SUMIFS(base[L/P Líquido],base[Data],Extrato!$B76,base[Método],Extrato!D$3)</f>
        <v>0</v>
      </c>
      <c r="E76" s="2">
        <f>SUMIFS(base[L/P Líquido],base[Data],Extrato!$B76,base[Método],Extrato!E$3,base[Exchange],"Fulltbet")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-271.87</v>
      </c>
      <c r="I76" s="2">
        <f>SUMIF(BetFlow!B:B,B76,BetFlow!J:J)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10.380849999999999</v>
      </c>
      <c r="L76" s="2">
        <f>SUMIFS(base[L/P Líquido],base[Data],Extrato!$B76,base[Método],Extrato!L$3)</f>
        <v>0</v>
      </c>
      <c r="M76" s="2">
        <f>SUMIFS(base[L/P Líquido],base[Data],Extrato!$B76,base[Método],Extrato!M$3)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10.380849999999999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>SUM(C76:AO76)</f>
        <v>2615.9669999999996</v>
      </c>
    </row>
    <row r="77" spans="2:42" ht="15" customHeight="1">
      <c r="B77" s="33">
        <v>46067</v>
      </c>
      <c r="C77" s="2">
        <f t="shared" si="2"/>
        <v>2615.9669999999996</v>
      </c>
      <c r="D77" s="2">
        <f>SUMIFS(base[L/P Líquido],base[Data],Extrato!$B77,base[Método],Extrato!D$3)</f>
        <v>37.299999999999997</v>
      </c>
      <c r="E77" s="2">
        <f>SUMIFS(base[L/P Líquido],base[Data],Extrato!$B77,base[Método],Extrato!E$3,base[Exchange],"Fulltbet")</f>
        <v>23.88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246.13000000000002</v>
      </c>
      <c r="I77" s="2">
        <f>SUMIF(BetFlow!B:B,B77,BetFlow!J:J)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22.950000000000003</v>
      </c>
      <c r="L77" s="2">
        <f>SUMIFS(base[L/P Líquido],base[Data],Extrato!$B77,base[Método],Extrato!L$3)</f>
        <v>0</v>
      </c>
      <c r="M77" s="2">
        <f>SUMIFS(base[L/P Líquido],base[Data],Extrato!$B77,base[Método],Extrato!M$3)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25.78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>SUM(C77:AO77)</f>
        <v>2971.9969999999998</v>
      </c>
    </row>
    <row r="78" spans="2:42" ht="15" customHeight="1">
      <c r="B78" s="33">
        <v>46068</v>
      </c>
      <c r="C78" s="2">
        <f t="shared" si="2"/>
        <v>2971.9969999999998</v>
      </c>
      <c r="D78" s="2">
        <f>SUMIFS(base[L/P Líquido],base[Data],Extrato!$B78,base[Método],Extrato!D$3)</f>
        <v>8.82</v>
      </c>
      <c r="E78" s="2">
        <f>SUMIFS(base[L/P Líquido],base[Data],Extrato!$B78,base[Método],Extrato!E$3,base[Exchange],"Fulltbet")</f>
        <v>0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-50.75</v>
      </c>
      <c r="I78" s="2">
        <f>SUMIF(BetFlow!B:B,B78,BetFlow!J:J)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10.85</v>
      </c>
      <c r="L78" s="2">
        <f>SUMIFS(base[L/P Líquido],base[Data],Extrato!$B78,base[Método],Extrato!L$3)</f>
        <v>0</v>
      </c>
      <c r="M78" s="2">
        <f>SUMIFS(base[L/P Líquido],base[Data],Extrato!$B78,base[Método],Extrato!M$3)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>SUM(C78:AO78)</f>
        <v>2580.36</v>
      </c>
    </row>
    <row r="79" spans="2:42" ht="15" customHeight="1">
      <c r="B79" s="33">
        <v>46069</v>
      </c>
      <c r="C79" s="2">
        <f t="shared" si="2"/>
        <v>2580.36</v>
      </c>
      <c r="D79" s="2">
        <f>SUMIFS(base[L/P Líquido],base[Data],Extrato!$B79,base[Método],Extrato!D$3)</f>
        <v>0</v>
      </c>
      <c r="E79" s="2">
        <f>SUMIFS(base[L/P Líquido],base[Data],Extrato!$B79,base[Método],Extrato!E$3,base[Exchange],"Fulltbet")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58.06</v>
      </c>
      <c r="I79" s="2">
        <f>SUMIF(BetFlow!B:B,B79,BetFlow!J:J)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17.059999999999999</v>
      </c>
      <c r="L79" s="2">
        <f>SUMIFS(base[L/P Líquido],base[Data],Extrato!$B79,base[Método],Extrato!L$3)</f>
        <v>0</v>
      </c>
      <c r="M79" s="2">
        <f>SUMIFS(base[L/P Líquido],base[Data],Extrato!$B79,base[Método],Extrato!M$3)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>SUM(C79:AO79)</f>
        <v>2675.67</v>
      </c>
    </row>
    <row r="80" spans="2:42" ht="15" customHeight="1">
      <c r="B80" s="33">
        <v>46070</v>
      </c>
      <c r="C80" s="2">
        <f t="shared" si="2"/>
        <v>2675.67</v>
      </c>
      <c r="D80" s="2">
        <f>SUMIFS(base[L/P Líquido],base[Data],Extrato!$B80,base[Método],Extrato!D$3)</f>
        <v>0</v>
      </c>
      <c r="E80" s="2">
        <f>SUMIFS(base[L/P Líquido],base[Data],Extrato!$B80,base[Método],Extrato!E$3,base[Exchange],"Fulltbet")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SUMIF(BetFlow!B:B,B80,BetFlow!J:J)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31.39</v>
      </c>
      <c r="L80" s="2">
        <f>SUMIFS(base[L/P Líquido],base[Data],Extrato!$B80,base[Método],Extrato!L$3)</f>
        <v>0</v>
      </c>
      <c r="M80" s="2">
        <f>SUMIFS(base[L/P Líquido],base[Data],Extrato!$B80,base[Método],Extrato!M$3)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>SUM(C80:AO80)</f>
        <v>2707.06</v>
      </c>
    </row>
    <row r="81" spans="2:42" ht="15" customHeight="1">
      <c r="B81" s="33">
        <v>46071</v>
      </c>
      <c r="C81" s="2">
        <f t="shared" si="2"/>
        <v>2707.06</v>
      </c>
      <c r="D81" s="2">
        <f>SUMIFS(base[L/P Líquido],base[Data],Extrato!$B81,base[Método],Extrato!D$3)</f>
        <v>0</v>
      </c>
      <c r="E81" s="2">
        <f>SUMIFS(base[L/P Líquido],base[Data],Extrato!$B81,base[Método],Extrato!E$3,base[Exchange],"Fulltbet")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126.82000000000001</v>
      </c>
      <c r="I81" s="2">
        <f>SUMIF(BetFlow!B:B,B81,BetFlow!J:J)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14.93</v>
      </c>
      <c r="L81" s="2">
        <f>SUMIFS(base[L/P Líquido],base[Data],Extrato!$B81,base[Método],Extrato!L$3)</f>
        <v>0</v>
      </c>
      <c r="M81" s="2">
        <f>SUMIFS(base[L/P Líquido],base[Data],Extrato!$B81,base[Método],Extrato!M$3)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>SUM(C81:AO81)</f>
        <v>2859.5099999999998</v>
      </c>
    </row>
    <row r="82" spans="2:42" ht="15" customHeight="1">
      <c r="B82" s="33">
        <v>46072</v>
      </c>
      <c r="C82" s="2">
        <f t="shared" si="2"/>
        <v>2859.5099999999998</v>
      </c>
      <c r="D82" s="2">
        <f>SUMIFS(base[L/P Líquido],base[Data],Extrato!$B82,base[Método],Extrato!D$3)</f>
        <v>0</v>
      </c>
      <c r="E82" s="2">
        <f>SUMIFS(base[L/P Líquido],base[Data],Extrato!$B82,base[Método],Extrato!E$3,base[Exchange],"Fulltbet")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SUMIF(BetFlow!B:B,B82,BetFlow!J:J)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SUMIFS(base[L/P Líquido],base[Data],Extrato!$B82,base[Método],Extrato!M$3)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>SUM(C82:AO82)</f>
        <v>2754.2699999999995</v>
      </c>
    </row>
    <row r="83" spans="2:42" ht="15" customHeight="1">
      <c r="B83" s="33">
        <v>46073</v>
      </c>
      <c r="C83" s="2">
        <f t="shared" ref="C83:C113" si="3">AP82</f>
        <v>2754.2699999999995</v>
      </c>
      <c r="D83" s="2">
        <f>SUMIFS(base[L/P Líquido],base[Data],Extrato!$B83,base[Método],Extrato!D$3)</f>
        <v>4.42</v>
      </c>
      <c r="E83" s="2">
        <f>SUMIFS(base[L/P Líquido],base[Data],Extrato!$B83,base[Método],Extrato!E$3,base[Exchange],"Fulltbet")</f>
        <v>0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52.170000000000016</v>
      </c>
      <c r="I83" s="2">
        <f>SUMIF(BetFlow!B:B,B83,BetFlow!J:J)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SUMIFS(base[L/P Líquido],base[Data],Extrato!$B83,base[Método],Extrato!M$3)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>SUM(C83:AO83)</f>
        <v>2954.6386999999995</v>
      </c>
    </row>
    <row r="84" spans="2:42" ht="15" customHeight="1">
      <c r="B84" s="33">
        <v>46074</v>
      </c>
      <c r="C84" s="2">
        <f t="shared" si="3"/>
        <v>2954.6386999999995</v>
      </c>
      <c r="D84" s="2">
        <f>SUMIFS(base[L/P Líquido],base[Data],Extrato!$B84,base[Método],Extrato!D$3)</f>
        <v>-50.570000000000007</v>
      </c>
      <c r="E84" s="2">
        <f>SUMIFS(base[L/P Líquido],base[Data],Extrato!$B84,base[Método],Extrato!E$3,base[Exchange],"Fulltbet")</f>
        <v>10.059999999999999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263.8</v>
      </c>
      <c r="I84" s="2">
        <f>SUMIF(BetFlow!B:B,B84,BetFlow!J:J)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61.069999999999993</v>
      </c>
      <c r="L84" s="2">
        <f>SUMIFS(base[L/P Líquido],base[Data],Extrato!$B84,base[Método],Extrato!L$3)</f>
        <v>0</v>
      </c>
      <c r="M84" s="2">
        <f>SUMIFS(base[L/P Líquido],base[Data],Extrato!$B84,base[Método],Extrato!M$3)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14.05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>SUM(C84:AO84)</f>
        <v>3253.0386999999996</v>
      </c>
    </row>
    <row r="85" spans="2:42" ht="15" customHeight="1">
      <c r="B85" s="33">
        <v>46075</v>
      </c>
      <c r="C85" s="2">
        <f t="shared" si="3"/>
        <v>3253.0386999999996</v>
      </c>
      <c r="D85" s="2">
        <f>SUMIFS(base[L/P Líquido],base[Data],Extrato!$B85,base[Método],Extrato!D$3)</f>
        <v>43.64</v>
      </c>
      <c r="E85" s="2">
        <f>SUMIFS(base[L/P Líquido],base[Data],Extrato!$B85,base[Método],Extrato!E$3,base[Exchange],"Fulltbet")</f>
        <v>-95.669999999999987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-120.82</v>
      </c>
      <c r="I85" s="2">
        <f>SUMIF(BetFlow!B:B,B85,BetFlow!J:J)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21.630000000000003</v>
      </c>
      <c r="L85" s="2">
        <f>SUMIFS(base[L/P Líquido],base[Data],Extrato!$B85,base[Método],Extrato!L$3)</f>
        <v>0</v>
      </c>
      <c r="M85" s="2">
        <f>SUMIFS(base[L/P Líquido],base[Data],Extrato!$B85,base[Método],Extrato!M$3)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10.85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>SUM(C85:AO85)</f>
        <v>3117.8086999999991</v>
      </c>
    </row>
    <row r="86" spans="2:42" ht="15" customHeight="1">
      <c r="B86" s="33">
        <v>46076</v>
      </c>
      <c r="C86" s="2">
        <f t="shared" si="3"/>
        <v>3117.8086999999991</v>
      </c>
      <c r="D86" s="2">
        <f>SUMIFS(base[L/P Líquido],base[Data],Extrato!$B86,base[Método],Extrato!D$3)</f>
        <v>0</v>
      </c>
      <c r="E86" s="2">
        <f>SUMIFS(base[L/P Líquido],base[Data],Extrato!$B86,base[Método],Extrato!E$3,base[Exchange],"Fulltbet")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SUMIF(BetFlow!B:B,B86,BetFlow!J:J)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-24.92</v>
      </c>
      <c r="L86" s="2">
        <f>SUMIFS(base[L/P Líquido],base[Data],Extrato!$B86,base[Método],Extrato!L$3)</f>
        <v>0</v>
      </c>
      <c r="M86" s="2">
        <f>SUMIFS(base[L/P Líquido],base[Data],Extrato!$B86,base[Método],Extrato!M$3)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>SUM(C86:AO86)</f>
        <v>3221.6686999999993</v>
      </c>
    </row>
    <row r="87" spans="2:42" ht="15" customHeight="1">
      <c r="B87" s="33">
        <v>46077</v>
      </c>
      <c r="C87" s="2">
        <f t="shared" si="3"/>
        <v>3221.6686999999993</v>
      </c>
      <c r="D87" s="2">
        <f>SUMIFS(base[L/P Líquido],base[Data],Extrato!$B87,base[Método],Extrato!D$3)</f>
        <v>-8.41</v>
      </c>
      <c r="E87" s="2">
        <f>SUMIFS(base[L/P Líquido],base[Data],Extrato!$B87,base[Método],Extrato!E$3,base[Exchange],"Fulltbet")</f>
        <v>-166.86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SUMIF(BetFlow!B:B,B87,BetFlow!J:J)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SUMIFS(base[L/P Líquido],base[Data],Extrato!$B87,base[Método],Extrato!M$3)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>SUM(C87:AO87)</f>
        <v>3174.7498999999993</v>
      </c>
    </row>
    <row r="88" spans="2:42" ht="15" customHeight="1">
      <c r="B88" s="33">
        <v>46078</v>
      </c>
      <c r="C88" s="2">
        <f t="shared" si="3"/>
        <v>3174.7498999999993</v>
      </c>
      <c r="D88" s="2">
        <f>SUMIFS(base[L/P Líquido],base[Data],Extrato!$B88,base[Método],Extrato!D$3)</f>
        <v>0</v>
      </c>
      <c r="E88" s="2">
        <f>SUMIFS(base[L/P Líquido],base[Data],Extrato!$B88,base[Método],Extrato!E$3,base[Exchange],"Fulltbet")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SUMIF(BetFlow!B:B,B88,BetFlow!J:J)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SUMIFS(base[L/P Líquido],base[Data],Extrato!$B88,base[Método],Extrato!M$3)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>SUM(C88:AO88)</f>
        <v>3078.7298999999989</v>
      </c>
    </row>
    <row r="89" spans="2:42" ht="15" customHeight="1">
      <c r="B89" s="33">
        <v>46079</v>
      </c>
      <c r="C89" s="2">
        <f t="shared" si="3"/>
        <v>3078.7298999999989</v>
      </c>
      <c r="D89" s="2">
        <f>SUMIFS(base[L/P Líquido],base[Data],Extrato!$B89,base[Método],Extrato!D$3)</f>
        <v>0</v>
      </c>
      <c r="E89" s="2">
        <f>SUMIFS(base[L/P Líquido],base[Data],Extrato!$B89,base[Método],Extrato!E$3,base[Exchange],"Fulltbet")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SUMIF(BetFlow!B:B,B89,BetFlow!J:J)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SUMIFS(base[L/P Líquido],base[Data],Extrato!$B89,base[Método],Extrato!M$3)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>SUM(C89:AO89)</f>
        <v>2907.8313499999986</v>
      </c>
    </row>
    <row r="90" spans="2:42" ht="15" customHeight="1">
      <c r="B90" s="33">
        <v>46080</v>
      </c>
      <c r="C90" s="2">
        <f t="shared" si="3"/>
        <v>2907.8313499999986</v>
      </c>
      <c r="D90" s="2">
        <f>SUMIFS(base[L/P Líquido],base[Data],Extrato!$B90,base[Método],Extrato!D$3)</f>
        <v>34.44</v>
      </c>
      <c r="E90" s="2">
        <f>SUMIFS(base[L/P Líquido],base[Data],Extrato!$B90,base[Método],Extrato!E$3,base[Exchange],"Fulltbet")</f>
        <v>51.65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220.79</v>
      </c>
      <c r="I90" s="2">
        <f>SUMIF(BetFlow!B:B,B90,BetFlow!J:J)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SUMIFS(base[L/P Líquido],base[Data],Extrato!$B90,base[Método],Extrato!M$3)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>SUM(C90:AO90)</f>
        <v>3214.7113499999987</v>
      </c>
    </row>
    <row r="91" spans="2:42" ht="15" customHeight="1">
      <c r="B91" s="33">
        <v>46081</v>
      </c>
      <c r="C91" s="2">
        <f t="shared" si="3"/>
        <v>3214.7113499999987</v>
      </c>
      <c r="D91" s="2">
        <f>SUMIFS(base[L/P Líquido],base[Data],Extrato!$B91,base[Método],Extrato!D$3)</f>
        <v>-124.87</v>
      </c>
      <c r="E91" s="2">
        <f>SUMIFS(base[L/P Líquido],base[Data],Extrato!$B91,base[Método],Extrato!E$3,base[Exchange],"Fulltbet")</f>
        <v>59.18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-100.50999999999999</v>
      </c>
      <c r="I91" s="2">
        <f>SUMIF(BetFlow!B:B,B91,BetFlow!J:J)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-136.01999999999998</v>
      </c>
      <c r="L91" s="2">
        <f>SUMIFS(base[L/P Líquido],base[Data],Extrato!$B91,base[Método],Extrato!L$3)</f>
        <v>0</v>
      </c>
      <c r="M91" s="2">
        <f>SUMIFS(base[L/P Líquido],base[Data],Extrato!$B91,base[Método],Extrato!M$3)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>SUM(C91:AO91)</f>
        <v>2912.4913499999989</v>
      </c>
    </row>
    <row r="92" spans="2:42" ht="15" customHeight="1">
      <c r="B92" s="33">
        <v>46082</v>
      </c>
      <c r="C92" s="2">
        <f t="shared" si="3"/>
        <v>2912.4913499999989</v>
      </c>
      <c r="D92" s="2">
        <f>SUMIFS(base[L/P Líquido],base[Data],Extrato!$B92,base[Método],Extrato!D$3)</f>
        <v>-186.39000000000001</v>
      </c>
      <c r="E92" s="2">
        <f>SUMIFS(base[L/P Líquido],base[Data],Extrato!$B92,base[Método],Extrato!E$3,base[Exchange],"Fulltbet")</f>
        <v>-1.04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-18.260000000000005</v>
      </c>
      <c r="I92" s="2">
        <f>SUMIF(BetFlow!B:B,B92,BetFlow!J:J)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27.36</v>
      </c>
      <c r="L92" s="2">
        <f>SUMIFS(base[L/P Líquido],base[Data],Extrato!$B92,base[Método],Extrato!L$3)</f>
        <v>0</v>
      </c>
      <c r="M92" s="2">
        <f>SUMIFS(base[L/P Líquido],base[Data],Extrato!$B92,base[Método],Extrato!M$3)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>SUM(C92:AO92)</f>
        <v>2984.141349999999</v>
      </c>
    </row>
    <row r="93" spans="2:42" ht="15" customHeight="1">
      <c r="B93" s="33">
        <v>46083</v>
      </c>
      <c r="C93" s="2">
        <f t="shared" si="3"/>
        <v>2984.141349999999</v>
      </c>
      <c r="D93" s="2">
        <f>SUMIFS(base[L/P Líquido],base[Data],Extrato!$B93,base[Método],Extrato!D$3)</f>
        <v>0</v>
      </c>
      <c r="E93" s="2">
        <f>SUMIFS(base[L/P Líquido],base[Data],Extrato!$B93,base[Método],Extrato!E$3,base[Exchange],"Fulltbet")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SUMIF(BetFlow!B:B,B93,BetFlow!J:J)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-134.9</v>
      </c>
      <c r="L93" s="2">
        <f>SUMIFS(base[L/P Líquido],base[Data],Extrato!$B93,base[Método],Extrato!L$3)</f>
        <v>0</v>
      </c>
      <c r="M93" s="2">
        <f>SUMIFS(base[L/P Líquido],base[Data],Extrato!$B93,base[Método],Extrato!M$3)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>SUM(C93:AO93)</f>
        <v>2686.7913499999991</v>
      </c>
    </row>
    <row r="94" spans="2:42" ht="15" customHeight="1">
      <c r="B94" s="33">
        <v>46084</v>
      </c>
      <c r="C94" s="2">
        <f t="shared" si="3"/>
        <v>2686.7913499999991</v>
      </c>
      <c r="D94" s="2">
        <f>SUMIFS(base[L/P Líquido],base[Data],Extrato!$B94,base[Método],Extrato!D$3)</f>
        <v>-206.58</v>
      </c>
      <c r="E94" s="2">
        <f>SUMIFS(base[L/P Líquido],base[Data],Extrato!$B94,base[Método],Extrato!E$3,base[Exchange],"Fulltbet")</f>
        <v>26.04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-231.29000000000002</v>
      </c>
      <c r="I94" s="2">
        <f>SUMIF(BetFlow!B:B,B94,BetFlow!J:J)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-161.33000000000001</v>
      </c>
      <c r="L94" s="2">
        <f>SUMIFS(base[L/P Líquido],base[Data],Extrato!$B94,base[Método],Extrato!L$3)</f>
        <v>0</v>
      </c>
      <c r="M94" s="2">
        <f>SUMIFS(base[L/P Líquido],base[Data],Extrato!$B94,base[Método],Extrato!M$3)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>SUM(C94:AO94)</f>
        <v>2113.6313499999992</v>
      </c>
    </row>
    <row r="95" spans="2:42" ht="15" customHeight="1">
      <c r="B95" s="33">
        <v>46085</v>
      </c>
      <c r="C95" s="2">
        <f t="shared" si="3"/>
        <v>2113.6313499999992</v>
      </c>
      <c r="D95" s="2">
        <f>SUMIFS(base[L/P Líquido],base[Data],Extrato!$B95,base[Método],Extrato!D$3)</f>
        <v>0</v>
      </c>
      <c r="E95" s="2">
        <f>SUMIFS(base[L/P Líquido],base[Data],Extrato!$B95,base[Método],Extrato!E$3,base[Exchange],"Fulltbet")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145.43</v>
      </c>
      <c r="I95" s="2">
        <f>SUMIF(BetFlow!B:B,B95,BetFlow!J:J)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SUMIFS(base[L/P Líquido],base[Data],Extrato!$B95,base[Método],Extrato!M$3)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42.83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>SUM(C95:AO95)</f>
        <v>2340.5913499999988</v>
      </c>
    </row>
    <row r="96" spans="2:42" ht="15" customHeight="1">
      <c r="B96" s="33">
        <v>46086</v>
      </c>
      <c r="C96" s="2">
        <f t="shared" si="3"/>
        <v>2340.5913499999988</v>
      </c>
      <c r="D96" s="2">
        <f>SUMIFS(base[L/P Líquido],base[Data],Extrato!$B96,base[Método],Extrato!D$3)</f>
        <v>0</v>
      </c>
      <c r="E96" s="2">
        <f>SUMIFS(base[L/P Líquido],base[Data],Extrato!$B96,base[Método],Extrato!E$3,base[Exchange],"Fulltbet")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SUMIF(BetFlow!B:B,B96,BetFlow!J:J)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SUMIFS(base[L/P Líquido],base[Data],Extrato!$B96,base[Método],Extrato!M$3)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>SUM(C96:AO96)</f>
        <v>2340.5913499999988</v>
      </c>
    </row>
    <row r="97" spans="2:42" ht="15" customHeight="1">
      <c r="B97" s="33">
        <v>46087</v>
      </c>
      <c r="C97" s="2">
        <f t="shared" si="3"/>
        <v>2340.5913499999988</v>
      </c>
      <c r="D97" s="2">
        <f>SUMIFS(base[L/P Líquido],base[Data],Extrato!$B97,base[Método],Extrato!D$3)</f>
        <v>0</v>
      </c>
      <c r="E97" s="2">
        <f>SUMIFS(base[L/P Líquido],base[Data],Extrato!$B97,base[Método],Extrato!E$3,base[Exchange],"Fulltbet")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76.73</v>
      </c>
      <c r="I97" s="2">
        <f>SUMIF(BetFlow!B:B,B97,BetFlow!J:J)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17.34</v>
      </c>
      <c r="L97" s="2">
        <f>SUMIFS(base[L/P Líquido],base[Data],Extrato!$B97,base[Método],Extrato!L$3)</f>
        <v>0</v>
      </c>
      <c r="M97" s="2">
        <f>SUMIFS(base[L/P Líquido],base[Data],Extrato!$B97,base[Método],Extrato!M$3)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>SUM(C97:AO97)</f>
        <v>2104.6913499999991</v>
      </c>
    </row>
    <row r="98" spans="2:42" ht="15" customHeight="1">
      <c r="B98" s="33">
        <v>46088</v>
      </c>
      <c r="C98" s="2">
        <f t="shared" si="3"/>
        <v>2104.6913499999991</v>
      </c>
      <c r="D98" s="2">
        <f>SUMIFS(base[L/P Líquido],base[Data],Extrato!$B98,base[Método],Extrato!D$3)</f>
        <v>0</v>
      </c>
      <c r="E98" s="2">
        <f>SUMIFS(base[L/P Líquido],base[Data],Extrato!$B98,base[Método],Extrato!E$3,base[Exchange],"Fulltbet")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54.309999999999988</v>
      </c>
      <c r="I98" s="2">
        <f>SUMIF(BetFlow!B:B,B98,BetFlow!J:J)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14.53</v>
      </c>
      <c r="L98" s="2">
        <f>SUMIFS(base[L/P Líquido],base[Data],Extrato!$B98,base[Método],Extrato!L$3)</f>
        <v>0</v>
      </c>
      <c r="M98" s="2">
        <f>SUMIFS(base[L/P Líquido],base[Data],Extrato!$B98,base[Método],Extrato!M$3)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84.03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>SUM(C98:AO98)</f>
        <v>2257.5613499999995</v>
      </c>
    </row>
    <row r="99" spans="2:42" ht="15" customHeight="1">
      <c r="B99" s="33">
        <v>46089</v>
      </c>
      <c r="C99" s="2">
        <f t="shared" si="3"/>
        <v>2257.5613499999995</v>
      </c>
      <c r="D99" s="2">
        <f>SUMIFS(base[L/P Líquido],base[Data],Extrato!$B99,base[Método],Extrato!D$3)</f>
        <v>44.77</v>
      </c>
      <c r="E99" s="2">
        <f>SUMIFS(base[L/P Líquido],base[Data],Extrato!$B99,base[Método],Extrato!E$3,base[Exchange],"Fulltbet")</f>
        <v>24.92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228.89</v>
      </c>
      <c r="I99" s="2">
        <f>SUMIF(BetFlow!B:B,B99,BetFlow!J:J)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15.92</v>
      </c>
      <c r="L99" s="2">
        <f>SUMIFS(base[L/P Líquido],base[Data],Extrato!$B99,base[Método],Extrato!L$3)</f>
        <v>0</v>
      </c>
      <c r="M99" s="2">
        <f>SUMIFS(base[L/P Líquido],base[Data],Extrato!$B99,base[Método],Extrato!M$3)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>SUM(C99:AO99)</f>
        <v>2572.0513499999993</v>
      </c>
    </row>
    <row r="100" spans="2:42" ht="15" customHeight="1">
      <c r="B100" s="33">
        <v>46090</v>
      </c>
      <c r="C100" s="2">
        <f t="shared" si="3"/>
        <v>2572.0513499999993</v>
      </c>
      <c r="D100" s="2">
        <f>SUMIFS(base[L/P Líquido],base[Data],Extrato!$B100,base[Método],Extrato!D$3)</f>
        <v>0</v>
      </c>
      <c r="E100" s="2">
        <f>SUMIFS(base[L/P Líquido],base[Data],Extrato!$B100,base[Método],Extrato!E$3,base[Exchange],"Fulltbet")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SUMIF(BetFlow!B:B,B100,BetFlow!J:J)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18.23</v>
      </c>
      <c r="L100" s="2">
        <f>SUMIFS(base[L/P Líquido],base[Data],Extrato!$B100,base[Método],Extrato!L$3)</f>
        <v>0</v>
      </c>
      <c r="M100" s="2">
        <f>SUMIFS(base[L/P Líquido],base[Data],Extrato!$B100,base[Método],Extrato!M$3)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>SUM(C100:AO100)</f>
        <v>2590.2813499999993</v>
      </c>
    </row>
    <row r="101" spans="2:42" ht="15" customHeight="1">
      <c r="B101" s="33">
        <v>46091</v>
      </c>
      <c r="C101" s="2">
        <f t="shared" si="3"/>
        <v>2590.2813499999993</v>
      </c>
      <c r="D101" s="2">
        <f>SUMIFS(base[L/P Líquido],base[Data],Extrato!$B101,base[Método],Extrato!D$3)</f>
        <v>0</v>
      </c>
      <c r="E101" s="2">
        <f>SUMIFS(base[L/P Líquido],base[Data],Extrato!$B101,base[Método],Extrato!E$3,base[Exchange],"Fulltbet")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-39.009999999999991</v>
      </c>
      <c r="I101" s="2">
        <f>SUMIF(BetFlow!B:B,B101,BetFlow!J:J)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65.3</v>
      </c>
      <c r="L101" s="2">
        <f>SUMIFS(base[L/P Líquido],base[Data],Extrato!$B101,base[Método],Extrato!L$3)</f>
        <v>0</v>
      </c>
      <c r="M101" s="2">
        <f>SUMIFS(base[L/P Líquido],base[Data],Extrato!$B101,base[Método],Extrato!M$3)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-34.739999999999995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>SUM(C101:AO101)</f>
        <v>2584.0213499999995</v>
      </c>
    </row>
    <row r="102" spans="2:42" ht="15" customHeight="1">
      <c r="B102" s="33">
        <v>46092</v>
      </c>
      <c r="C102" s="2">
        <f t="shared" si="3"/>
        <v>2584.0213499999995</v>
      </c>
      <c r="D102" s="2">
        <f>SUMIFS(base[L/P Líquido],base[Data],Extrato!$B102,base[Método],Extrato!D$3)</f>
        <v>0</v>
      </c>
      <c r="E102" s="2">
        <f>SUMIFS(base[L/P Líquido],base[Data],Extrato!$B102,base[Método],Extrato!E$3,base[Exchange],"Fulltbet")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200.58999999999997</v>
      </c>
      <c r="I102" s="2">
        <f>SUMIF(BetFlow!B:B,B102,BetFlow!J:J)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73.92</v>
      </c>
      <c r="L102" s="2">
        <f>SUMIFS(base[L/P Líquido],base[Data],Extrato!$B102,base[Método],Extrato!L$3)</f>
        <v>0</v>
      </c>
      <c r="M102" s="2">
        <f>SUMIFS(base[L/P Líquido],base[Data],Extrato!$B102,base[Método],Extrato!M$3)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>SUM(C102:AO102)</f>
        <v>2493.5113499999998</v>
      </c>
    </row>
    <row r="103" spans="2:42" ht="15" customHeight="1">
      <c r="B103" s="33">
        <v>46093</v>
      </c>
      <c r="C103" s="2">
        <f t="shared" si="3"/>
        <v>2493.5113499999998</v>
      </c>
      <c r="D103" s="2">
        <f>SUMIFS(base[L/P Líquido],base[Data],Extrato!$B103,base[Método],Extrato!D$3)</f>
        <v>0</v>
      </c>
      <c r="E103" s="2">
        <f>SUMIFS(base[L/P Líquido],base[Data],Extrato!$B103,base[Método],Extrato!E$3,base[Exchange],"Fulltbet")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SUMIF(BetFlow!B:B,B103,BetFlow!J:J)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36.380000000000003</v>
      </c>
      <c r="L103" s="2">
        <f>SUMIFS(base[L/P Líquido],base[Data],Extrato!$B103,base[Método],Extrato!L$3)</f>
        <v>0</v>
      </c>
      <c r="M103" s="2">
        <f>SUMIFS(base[L/P Líquido],base[Data],Extrato!$B103,base[Método],Extrato!M$3)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51.16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>SUM(C103:AO103)</f>
        <v>2617.7713499999995</v>
      </c>
    </row>
    <row r="104" spans="2:42" ht="15" customHeight="1">
      <c r="B104" s="33">
        <v>46094</v>
      </c>
      <c r="C104" s="2">
        <f t="shared" si="3"/>
        <v>2617.7713499999995</v>
      </c>
      <c r="D104" s="2">
        <f>SUMIFS(base[L/P Líquido],base[Data],Extrato!$B104,base[Método],Extrato!D$3)</f>
        <v>0</v>
      </c>
      <c r="E104" s="2">
        <f>SUMIFS(base[L/P Líquido],base[Data],Extrato!$B104,base[Método],Extrato!E$3,base[Exchange],"Fulltbet")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-285</v>
      </c>
      <c r="I104" s="2">
        <f>SUMIF(BetFlow!B:B,B104,BetFlow!J:J)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SUMIFS(base[L/P Líquido],base[Data],Extrato!$B104,base[Método],Extrato!M$3)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>SUM(C104:AO104)</f>
        <v>2374.8713499999994</v>
      </c>
    </row>
    <row r="105" spans="2:42" ht="15" customHeight="1">
      <c r="B105" s="33">
        <v>46095</v>
      </c>
      <c r="C105" s="2">
        <f t="shared" si="3"/>
        <v>2374.8713499999994</v>
      </c>
      <c r="D105" s="2">
        <f>SUMIFS(base[L/P Líquido],base[Data],Extrato!$B105,base[Método],Extrato!D$3)</f>
        <v>0</v>
      </c>
      <c r="E105" s="2">
        <f>SUMIFS(base[L/P Líquido],base[Data],Extrato!$B105,base[Método],Extrato!E$3,base[Exchange],"Fulltbet")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368.85999999999996</v>
      </c>
      <c r="I105" s="2">
        <f>SUMIF(BetFlow!B:B,B105,BetFlow!J:J)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37.08</v>
      </c>
      <c r="L105" s="2">
        <f>SUMIFS(base[L/P Líquido],base[Data],Extrato!$B105,base[Método],Extrato!L$3)</f>
        <v>0</v>
      </c>
      <c r="M105" s="2">
        <f>SUMIFS(base[L/P Líquido],base[Data],Extrato!$B105,base[Método],Extrato!M$3)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33.67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>SUM(C105:AO105)</f>
        <v>2858.7413499999998</v>
      </c>
    </row>
    <row r="106" spans="2:42" ht="15" customHeight="1">
      <c r="B106" s="33">
        <v>46096</v>
      </c>
      <c r="C106" s="2">
        <f t="shared" si="3"/>
        <v>2858.7413499999998</v>
      </c>
      <c r="D106" s="2">
        <f>SUMIFS(base[L/P Líquido],base[Data],Extrato!$B106,base[Método],Extrato!D$3)</f>
        <v>0</v>
      </c>
      <c r="E106" s="2">
        <f>SUMIFS(base[L/P Líquido],base[Data],Extrato!$B106,base[Método],Extrato!E$3,base[Exchange],"Fulltbet")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-38.49</v>
      </c>
      <c r="I106" s="2">
        <f>SUMIF(BetFlow!B:B,B106,BetFlow!J:J)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13.65</v>
      </c>
      <c r="L106" s="2">
        <f>SUMIFS(base[L/P Líquido],base[Data],Extrato!$B106,base[Método],Extrato!L$3)</f>
        <v>0</v>
      </c>
      <c r="M106" s="2">
        <f>SUMIFS(base[L/P Líquido],base[Data],Extrato!$B106,base[Método],Extrato!M$3)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-405.26</v>
      </c>
      <c r="W106" s="2">
        <f>SUMIFS(base[L/P Líquido],base[Data],Extrato!$B106,base[Método],Extrato!W$3)</f>
        <v>6.1199999999999992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>SUM(C106:AO106)</f>
        <v>2434.7513499999995</v>
      </c>
    </row>
    <row r="107" spans="2:42" ht="15" customHeight="1">
      <c r="B107" s="33">
        <v>46097</v>
      </c>
      <c r="C107" s="2">
        <f t="shared" si="3"/>
        <v>2434.7513499999995</v>
      </c>
      <c r="D107" s="2">
        <f>SUMIFS(base[L/P Líquido],base[Data],Extrato!$B107,base[Método],Extrato!D$3)</f>
        <v>0</v>
      </c>
      <c r="E107" s="2">
        <f>SUMIFS(base[L/P Líquido],base[Data],Extrato!$B107,base[Método],Extrato!E$3,base[Exchange],"Fulltbet")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73.34</v>
      </c>
      <c r="I107" s="2">
        <f>SUMIF(BetFlow!B:B,B107,BetFlow!J:J)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SUMIFS(base[L/P Líquido],base[Data],Extrato!$B107,base[Método],Extrato!M$3)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>SUM(C107:AO107)</f>
        <v>2508.0913499999997</v>
      </c>
    </row>
    <row r="108" spans="2:42" ht="15" customHeight="1">
      <c r="B108" s="33">
        <v>46098</v>
      </c>
      <c r="C108" s="2">
        <f t="shared" si="3"/>
        <v>2508.0913499999997</v>
      </c>
      <c r="D108" s="2">
        <f>SUMIFS(base[L/P Líquido],base[Data],Extrato!$B108,base[Método],Extrato!D$3)</f>
        <v>0</v>
      </c>
      <c r="E108" s="2">
        <f>SUMIFS(base[L/P Líquido],base[Data],Extrato!$B108,base[Método],Extrato!E$3,base[Exchange],"Fulltbet")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-132.84</v>
      </c>
      <c r="I108" s="2">
        <f>SUMIF(BetFlow!B:B,B108,BetFlow!J:J)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39.150000000000006</v>
      </c>
      <c r="L108" s="2">
        <f>SUMIFS(base[L/P Líquido],base[Data],Extrato!$B108,base[Método],Extrato!L$3)</f>
        <v>0</v>
      </c>
      <c r="M108" s="2">
        <f>SUMIFS(base[L/P Líquido],base[Data],Extrato!$B108,base[Método],Extrato!M$3)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>SUM(C108:AO108)</f>
        <v>2449.5313499999997</v>
      </c>
    </row>
    <row r="109" spans="2:42" ht="15" customHeight="1">
      <c r="B109" s="33">
        <v>46099</v>
      </c>
      <c r="C109" s="2">
        <f t="shared" si="3"/>
        <v>2449.5313499999997</v>
      </c>
      <c r="D109" s="2">
        <f>SUMIFS(base[L/P Líquido],base[Data],Extrato!$B109,base[Método],Extrato!D$3)</f>
        <v>0</v>
      </c>
      <c r="E109" s="2">
        <f>SUMIFS(base[L/P Líquido],base[Data],Extrato!$B109,base[Método],Extrato!E$3,base[Exchange],"Fulltbet")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-8.4699999999999989</v>
      </c>
      <c r="I109" s="2">
        <f>SUMIF(BetFlow!B:B,B109,BetFlow!J:J)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44.01</v>
      </c>
      <c r="L109" s="2">
        <f>SUMIFS(base[L/P Líquido],base[Data],Extrato!$B109,base[Método],Extrato!L$3)</f>
        <v>0</v>
      </c>
      <c r="M109" s="2">
        <f>SUMIFS(base[L/P Líquido],base[Data],Extrato!$B109,base[Método],Extrato!M$3)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26.36</v>
      </c>
      <c r="W109" s="2">
        <f>SUMIFS(base[L/P Líquido],base[Data],Extrato!$B109,base[Método],Extrato!W$3)</f>
        <v>4.9000000000000004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>SUM(C109:AO109)</f>
        <v>2516.3213500000002</v>
      </c>
    </row>
    <row r="110" spans="2:42" ht="15" customHeight="1">
      <c r="B110" s="33">
        <v>46100</v>
      </c>
      <c r="C110" s="2">
        <f t="shared" si="3"/>
        <v>2516.3213500000002</v>
      </c>
      <c r="D110" s="2">
        <f>SUMIFS(base[L/P Líquido],base[Data],Extrato!$B110,base[Método],Extrato!D$3)</f>
        <v>0</v>
      </c>
      <c r="E110" s="2">
        <f>SUMIFS(base[L/P Líquido],base[Data],Extrato!$B110,base[Método],Extrato!E$3,base[Exchange],"Fulltbet")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36.550000000000011</v>
      </c>
      <c r="I110" s="2">
        <f>SUMIF(BetFlow!B:B,B110,BetFlow!J:J)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SUMIFS(base[L/P Líquido],base[Data],Extrato!$B110,base[Método],Extrato!M$3)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>SUM(C110:AO110)</f>
        <v>2552.8713500000003</v>
      </c>
    </row>
    <row r="111" spans="2:42" ht="15" customHeight="1">
      <c r="B111" s="33">
        <v>46101</v>
      </c>
      <c r="C111" s="2">
        <f t="shared" si="3"/>
        <v>2552.8713500000003</v>
      </c>
      <c r="D111" s="2">
        <f>SUMIFS(base[L/P Líquido],base[Data],Extrato!$B111,base[Método],Extrato!D$3)</f>
        <v>0</v>
      </c>
      <c r="E111" s="2">
        <f>SUMIFS(base[L/P Líquido],base[Data],Extrato!$B111,base[Método],Extrato!E$3,base[Exchange],"Fulltbet")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270.35000000000002</v>
      </c>
      <c r="I111" s="2">
        <f>SUMIF(BetFlow!B:B,B111,BetFlow!J:J)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35.340000000000003</v>
      </c>
      <c r="L111" s="2">
        <f>SUMIFS(base[L/P Líquido],base[Data],Extrato!$B111,base[Método],Extrato!L$3)</f>
        <v>0</v>
      </c>
      <c r="M111" s="2">
        <f>SUMIFS(base[L/P Líquido],base[Data],Extrato!$B111,base[Método],Extrato!M$3)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15.08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>SUM(C111:AO111)</f>
        <v>2873.6313500000001</v>
      </c>
    </row>
    <row r="112" spans="2:42" ht="15" customHeight="1">
      <c r="B112" s="33">
        <v>46102</v>
      </c>
      <c r="C112" s="2">
        <f t="shared" si="3"/>
        <v>2873.6313500000001</v>
      </c>
      <c r="D112" s="2">
        <f>SUMIFS(base[L/P Líquido],base[Data],Extrato!$B112,base[Método],Extrato!D$3)</f>
        <v>0</v>
      </c>
      <c r="E112" s="2">
        <f>SUMIFS(base[L/P Líquido],base[Data],Extrato!$B112,base[Método],Extrato!E$3,base[Exchange],"Fulltbet")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211</v>
      </c>
      <c r="I112" s="2">
        <f>SUMIF(BetFlow!B:B,B112,BetFlow!J:J)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20.5</v>
      </c>
      <c r="L112" s="2">
        <f>SUMIFS(base[L/P Líquido],base[Data],Extrato!$B112,base[Método],Extrato!L$3)</f>
        <v>0</v>
      </c>
      <c r="M112" s="2">
        <f>SUMIFS(base[L/P Líquido],base[Data],Extrato!$B112,base[Método],Extrato!M$3)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53.989999999999995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>SUM(C112:AO112)</f>
        <v>3242.5713500000002</v>
      </c>
    </row>
    <row r="113" spans="2:42" ht="15" customHeight="1">
      <c r="B113" s="33">
        <v>46103</v>
      </c>
      <c r="C113" s="2">
        <f t="shared" si="3"/>
        <v>3242.5713500000002</v>
      </c>
      <c r="D113" s="2">
        <f>SUMIFS(base[L/P Líquido],base[Data],Extrato!$B113,base[Método],Extrato!D$3)</f>
        <v>0</v>
      </c>
      <c r="E113" s="2">
        <f>SUMIFS(base[L/P Líquido],base[Data],Extrato!$B113,base[Método],Extrato!E$3,base[Exchange],"Fulltbet")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112.76</v>
      </c>
      <c r="I113" s="2">
        <f>SUMIF(BetFlow!B:B,B113,BetFlow!J:J)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105.52000000000001</v>
      </c>
      <c r="L113" s="2">
        <f>SUMIFS(base[L/P Líquido],base[Data],Extrato!$B113,base[Método],Extrato!L$3)</f>
        <v>0</v>
      </c>
      <c r="M113" s="2">
        <f>SUMIFS(base[L/P Líquido],base[Data],Extrato!$B113,base[Método],Extrato!M$3)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-299.93</v>
      </c>
      <c r="W113" s="2">
        <f>SUMIFS(base[L/P Líquido],base[Data],Extrato!$B113,base[Método],Extrato!W$3)</f>
        <v>2.44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>SUM(C113:AO113)</f>
        <v>3286.6413500000008</v>
      </c>
    </row>
    <row r="114" spans="2:42" ht="15" customHeight="1">
      <c r="B114" s="33">
        <v>46104</v>
      </c>
      <c r="C114" s="2">
        <f t="shared" ref="C114:C122" si="4">AP113</f>
        <v>3286.6413500000008</v>
      </c>
      <c r="D114" s="2">
        <f>SUMIFS(base[L/P Líquido],base[Data],Extrato!$B114,base[Método],Extrato!D$3)</f>
        <v>0</v>
      </c>
      <c r="E114" s="2">
        <f>SUMIFS(base[L/P Líquido],base[Data],Extrato!$B114,base[Método],Extrato!E$3,base[Exchange],"Fulltbet")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SUMIF(BetFlow!B:B,B114,BetFlow!J:J)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SUMIFS(base[L/P Líquido],base[Data],Extrato!$B114,base[Método],Extrato!M$3)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>SUM(C114:AO114)</f>
        <v>3286.6413500000008</v>
      </c>
    </row>
    <row r="115" spans="2:42" ht="15" customHeight="1">
      <c r="B115" s="33">
        <v>46105</v>
      </c>
      <c r="C115" s="2">
        <f t="shared" si="4"/>
        <v>3286.6413500000008</v>
      </c>
      <c r="D115" s="2">
        <f>SUMIFS(base[L/P Líquido],base[Data],Extrato!$B115,base[Método],Extrato!D$3)</f>
        <v>0</v>
      </c>
      <c r="E115" s="2">
        <f>SUMIFS(base[L/P Líquido],base[Data],Extrato!$B115,base[Método],Extrato!E$3,base[Exchange],"Fulltbet")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SUMIF(BetFlow!B:B,B115,BetFlow!J:J)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SUMIFS(base[L/P Líquido],base[Data],Extrato!$B115,base[Método],Extrato!M$3)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>SUM(C115:AO115)</f>
        <v>3286.6413500000008</v>
      </c>
    </row>
    <row r="116" spans="2:42" ht="15" customHeight="1">
      <c r="B116" s="33">
        <v>46106</v>
      </c>
      <c r="C116" s="2">
        <f t="shared" si="4"/>
        <v>3286.6413500000008</v>
      </c>
      <c r="D116" s="2">
        <f>SUMIFS(base[L/P Líquido],base[Data],Extrato!$B116,base[Método],Extrato!D$3)</f>
        <v>0</v>
      </c>
      <c r="E116" s="2">
        <f>SUMIFS(base[L/P Líquido],base[Data],Extrato!$B116,base[Método],Extrato!E$3,base[Exchange],"Fulltbet")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SUMIF(BetFlow!B:B,B116,BetFlow!J:J)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SUMIFS(base[L/P Líquido],base[Data],Extrato!$B116,base[Método],Extrato!M$3)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>SUM(C116:AO116)</f>
        <v>3286.6413500000008</v>
      </c>
    </row>
    <row r="117" spans="2:42" ht="15" customHeight="1">
      <c r="B117" s="33">
        <v>46107</v>
      </c>
      <c r="C117" s="2">
        <f t="shared" si="4"/>
        <v>3286.6413500000008</v>
      </c>
      <c r="D117" s="2">
        <f>SUMIFS(base[L/P Líquido],base[Data],Extrato!$B117,base[Método],Extrato!D$3)</f>
        <v>0</v>
      </c>
      <c r="E117" s="2">
        <f>SUMIFS(base[L/P Líquido],base[Data],Extrato!$B117,base[Método],Extrato!E$3,base[Exchange],"Fulltbet")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SUMIF(BetFlow!B:B,B117,BetFlow!J:J)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SUMIFS(base[L/P Líquido],base[Data],Extrato!$B117,base[Método],Extrato!M$3)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>SUM(C117:AO117)</f>
        <v>3286.6413500000008</v>
      </c>
    </row>
    <row r="118" spans="2:42" ht="15" customHeight="1">
      <c r="B118" s="33">
        <v>46108</v>
      </c>
      <c r="C118" s="2">
        <f t="shared" si="4"/>
        <v>3286.6413500000008</v>
      </c>
      <c r="D118" s="2">
        <f>SUMIFS(base[L/P Líquido],base[Data],Extrato!$B118,base[Método],Extrato!D$3)</f>
        <v>0</v>
      </c>
      <c r="E118" s="2">
        <f>SUMIFS(base[L/P Líquido],base[Data],Extrato!$B118,base[Método],Extrato!E$3,base[Exchange],"Fulltbet")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SUMIF(BetFlow!B:B,B118,BetFlow!J:J)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SUMIFS(base[L/P Líquido],base[Data],Extrato!$B118,base[Método],Extrato!M$3)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>SUM(C118:AO118)</f>
        <v>3286.6413500000008</v>
      </c>
    </row>
    <row r="119" spans="2:42" ht="15" customHeight="1">
      <c r="B119" s="33">
        <v>46109</v>
      </c>
      <c r="C119" s="2">
        <f t="shared" si="4"/>
        <v>3286.6413500000008</v>
      </c>
      <c r="D119" s="2">
        <f>SUMIFS(base[L/P Líquido],base[Data],Extrato!$B119,base[Método],Extrato!D$3)</f>
        <v>0</v>
      </c>
      <c r="E119" s="2">
        <f>SUMIFS(base[L/P Líquido],base[Data],Extrato!$B119,base[Método],Extrato!E$3,base[Exchange],"Fulltbet")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SUMIF(BetFlow!B:B,B119,BetFlow!J:J)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19.100000000000001</v>
      </c>
      <c r="L119" s="2">
        <f>SUMIFS(base[L/P Líquido],base[Data],Extrato!$B119,base[Método],Extrato!L$3)</f>
        <v>0</v>
      </c>
      <c r="M119" s="2">
        <f>SUMIFS(base[L/P Líquido],base[Data],Extrato!$B119,base[Método],Extrato!M$3)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>SUM(C119:AO119)</f>
        <v>3305.7413500000007</v>
      </c>
    </row>
    <row r="120" spans="2:42" ht="15" customHeight="1">
      <c r="B120" s="33">
        <v>46110</v>
      </c>
      <c r="C120" s="2">
        <f t="shared" si="4"/>
        <v>3305.7413500000007</v>
      </c>
      <c r="D120" s="2">
        <f>SUMIFS(base[L/P Líquido],base[Data],Extrato!$B120,base[Método],Extrato!D$3)</f>
        <v>0</v>
      </c>
      <c r="E120" s="2">
        <f>SUMIFS(base[L/P Líquido],base[Data],Extrato!$B120,base[Método],Extrato!E$3,base[Exchange],"Fulltbet")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SUMIF(BetFlow!B:B,B120,BetFlow!J:J)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SUMIFS(base[L/P Líquido],base[Data],Extrato!$B120,base[Método],Extrato!M$3)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>SUM(C120:AO120)</f>
        <v>3305.7413500000007</v>
      </c>
    </row>
    <row r="121" spans="2:42" ht="15" customHeight="1">
      <c r="B121" s="33">
        <v>46111</v>
      </c>
      <c r="C121" s="2">
        <f t="shared" si="4"/>
        <v>3305.7413500000007</v>
      </c>
      <c r="D121" s="2">
        <f>SUMIFS(base[L/P Líquido],base[Data],Extrato!$B121,base[Método],Extrato!D$3)</f>
        <v>0</v>
      </c>
      <c r="E121" s="2">
        <f>SUMIFS(base[L/P Líquido],base[Data],Extrato!$B121,base[Método],Extrato!E$3,base[Exchange],"Fulltbet")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SUMIF(BetFlow!B:B,B121,BetFlow!J:J)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SUMIFS(base[L/P Líquido],base[Data],Extrato!$B121,base[Método],Extrato!M$3)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>SUM(C121:AO121)</f>
        <v>3305.7413500000007</v>
      </c>
    </row>
    <row r="122" spans="2:42" ht="15" customHeight="1">
      <c r="B122" s="33">
        <v>46112</v>
      </c>
      <c r="C122" s="2">
        <f t="shared" si="4"/>
        <v>3305.7413500000007</v>
      </c>
      <c r="D122" s="2">
        <f>SUMIFS(base[L/P Líquido],base[Data],Extrato!$B122,base[Método],Extrato!D$3)</f>
        <v>0</v>
      </c>
      <c r="E122" s="2">
        <f>SUMIFS(base[L/P Líquido],base[Data],Extrato!$B122,base[Método],Extrato!E$3,base[Exchange],"Fulltbet")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-95</v>
      </c>
      <c r="I122" s="2">
        <f>SUMIF(BetFlow!B:B,B122,BetFlow!J:J)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SUMIFS(base[L/P Líquido],base[Data],Extrato!$B122,base[Método],Extrato!M$3)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>SUM(C122:AO122)</f>
        <v>3210.7413500000007</v>
      </c>
    </row>
    <row r="123" spans="2:42" ht="15" customHeight="1">
      <c r="B123" s="33">
        <v>46113</v>
      </c>
      <c r="C123" s="2">
        <f t="shared" ref="C123:C154" si="5">AP122</f>
        <v>3210.7413500000007</v>
      </c>
      <c r="D123" s="2">
        <f>SUMIFS(base[L/P Líquido],base[Data],Extrato!$B123,base[Método],Extrato!D$3)</f>
        <v>0</v>
      </c>
      <c r="E123" s="2">
        <f>SUMIFS(base[L/P Líquido],base[Data],Extrato!$B123,base[Método],Extrato!E$3,base[Exchange],"Fulltbet")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9.3100000000000023</v>
      </c>
      <c r="I123" s="2">
        <f>SUMIF(BetFlow!B:B,B123,BetFlow!J:J)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SUMIFS(base[L/P Líquido],base[Data],Extrato!$B123,base[Método],Extrato!M$3)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4.7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>SUM(C123:AO123)</f>
        <v>3574.7513500000005</v>
      </c>
    </row>
    <row r="124" spans="2:42" ht="15" customHeight="1">
      <c r="B124" s="33">
        <v>46114</v>
      </c>
      <c r="C124" s="2">
        <f t="shared" si="5"/>
        <v>3574.7513500000005</v>
      </c>
      <c r="D124" s="2">
        <f>SUMIFS(base[L/P Líquido],base[Data],Extrato!$B124,base[Método],Extrato!D$3)</f>
        <v>55.71</v>
      </c>
      <c r="E124" s="2">
        <f>SUMIFS(base[L/P Líquido],base[Data],Extrato!$B124,base[Método],Extrato!E$3,base[Exchange],"Fulltbet")</f>
        <v>0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163.32</v>
      </c>
      <c r="I124" s="2">
        <f>SUMIF(BetFlow!B:B,B124,BetFlow!J:J)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31.83</v>
      </c>
      <c r="L124" s="2">
        <f>SUMIFS(base[L/P Líquido],base[Data],Extrato!$B124,base[Método],Extrato!L$3)</f>
        <v>0</v>
      </c>
      <c r="M124" s="2">
        <f>SUMIFS(base[L/P Líquido],base[Data],Extrato!$B124,base[Método],Extrato!M$3)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>SUM(C124:AO124)</f>
        <v>3825.6113500000006</v>
      </c>
    </row>
    <row r="125" spans="2:42" ht="15" customHeight="1">
      <c r="B125" s="33">
        <v>46115</v>
      </c>
      <c r="C125" s="2">
        <f t="shared" si="5"/>
        <v>3825.6113500000006</v>
      </c>
      <c r="D125" s="2">
        <f>SUMIFS(base[L/P Líquido],base[Data],Extrato!$B125,base[Método],Extrato!D$3)</f>
        <v>0</v>
      </c>
      <c r="E125" s="2">
        <f>SUMIFS(base[L/P Líquido],base[Data],Extrato!$B125,base[Método],Extrato!E$3,base[Exchange],"Fulltbet")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68.48</v>
      </c>
      <c r="I125" s="2">
        <f>SUMIF(BetFlow!B:B,B125,BetFlow!J:J)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29.5</v>
      </c>
      <c r="L125" s="2">
        <f>SUMIFS(base[L/P Líquido],base[Data],Extrato!$B125,base[Método],Extrato!L$3)</f>
        <v>0</v>
      </c>
      <c r="M125" s="2">
        <f>SUMIFS(base[L/P Líquido],base[Data],Extrato!$B125,base[Método],Extrato!M$3)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>SUM(C125:AO125)</f>
        <v>3953.7113500000005</v>
      </c>
    </row>
    <row r="126" spans="2:42" ht="15" customHeight="1">
      <c r="B126" s="33">
        <v>46116</v>
      </c>
      <c r="C126" s="2">
        <f t="shared" si="5"/>
        <v>3953.7113500000005</v>
      </c>
      <c r="D126" s="2">
        <f>SUMIFS(base[L/P Líquido],base[Data],Extrato!$B126,base[Método],Extrato!D$3)</f>
        <v>0</v>
      </c>
      <c r="E126" s="2">
        <f>SUMIFS(base[L/P Líquido],base[Data],Extrato!$B126,base[Método],Extrato!E$3,base[Exchange],"Fulltbet")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-257.5</v>
      </c>
      <c r="I126" s="2">
        <f>SUMIF(BetFlow!B:B,B126,BetFlow!J:J)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112.49</v>
      </c>
      <c r="L126" s="2">
        <f>SUMIFS(base[L/P Líquido],base[Data],Extrato!$B126,base[Método],Extrato!L$3)</f>
        <v>0</v>
      </c>
      <c r="M126" s="2">
        <f>SUMIFS(base[L/P Líquido],base[Data],Extrato!$B126,base[Método],Extrato!M$3)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>SUM(C126:AO126)</f>
        <v>3808.6913500000001</v>
      </c>
    </row>
    <row r="127" spans="2:42" ht="15" customHeight="1">
      <c r="B127" s="33">
        <v>46117</v>
      </c>
      <c r="C127" s="2">
        <f t="shared" si="5"/>
        <v>3808.6913500000001</v>
      </c>
      <c r="D127" s="2">
        <f>SUMIFS(base[L/P Líquido],base[Data],Extrato!$B127,base[Método],Extrato!D$3)</f>
        <v>69.92</v>
      </c>
      <c r="E127" s="2">
        <f>SUMIFS(base[L/P Líquido],base[Data],Extrato!$B127,base[Método],Extrato!E$3,base[Exchange],"Fulltbet")</f>
        <v>39.159999999999997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87.85</v>
      </c>
      <c r="I127" s="2">
        <f>SUMIF(BetFlow!B:B,B127,BetFlow!J:J)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SUMIFS(base[L/P Líquido],base[Data],Extrato!$B127,base[Método],Extrato!M$3)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>SUM(C127:AO127)</f>
        <v>4005.6113499999997</v>
      </c>
    </row>
    <row r="128" spans="2:42" ht="15" customHeight="1">
      <c r="B128" s="33">
        <v>46118</v>
      </c>
      <c r="C128" s="2">
        <f t="shared" si="5"/>
        <v>4005.6113499999997</v>
      </c>
      <c r="D128" s="2">
        <f>SUMIFS(base[L/P Líquido],base[Data],Extrato!$B128,base[Método],Extrato!D$3)</f>
        <v>0</v>
      </c>
      <c r="E128" s="2">
        <f>SUMIFS(base[L/P Líquido],base[Data],Extrato!$B128,base[Método],Extrato!E$3,base[Exchange],"Fulltbet")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-315</v>
      </c>
      <c r="I128" s="2">
        <f>SUMIF(BetFlow!B:B,B128,BetFlow!J:J)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SUMIFS(base[L/P Líquido],base[Data],Extrato!$B128,base[Método],Extrato!M$3)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>SUM(C128:AO128)</f>
        <v>3709.1613499999994</v>
      </c>
    </row>
    <row r="129" spans="2:42" ht="15" customHeight="1">
      <c r="B129" s="33">
        <v>46119</v>
      </c>
      <c r="C129" s="2">
        <f t="shared" si="5"/>
        <v>3709.1613499999994</v>
      </c>
      <c r="D129" s="2">
        <f>SUMIFS(base[L/P Líquido],base[Data],Extrato!$B129,base[Método],Extrato!D$3)</f>
        <v>0</v>
      </c>
      <c r="E129" s="2">
        <f>SUMIFS(base[L/P Líquido],base[Data],Extrato!$B129,base[Método],Extrato!E$3,base[Exchange],"Fulltbet")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-18.5</v>
      </c>
      <c r="I129" s="2">
        <f>SUMIF(BetFlow!B:B,B129,BetFlow!J:J)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SUMIFS(base[L/P Líquido],base[Data],Extrato!$B129,base[Método],Extrato!M$3)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40.81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>SUM(C129:AO129)</f>
        <v>3765.3213499999993</v>
      </c>
    </row>
    <row r="130" spans="2:42" ht="15" customHeight="1">
      <c r="B130" s="33">
        <v>46120</v>
      </c>
      <c r="C130" s="2">
        <f t="shared" si="5"/>
        <v>3765.3213499999993</v>
      </c>
      <c r="D130" s="2">
        <f>SUMIFS(base[L/P Líquido],base[Data],Extrato!$B130,base[Método],Extrato!D$3)</f>
        <v>0</v>
      </c>
      <c r="E130" s="2">
        <f>SUMIFS(base[L/P Líquido],base[Data],Extrato!$B130,base[Método],Extrato!E$3,base[Exchange],"Fulltbet")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-89.47</v>
      </c>
      <c r="I130" s="2">
        <f>SUMIF(BetFlow!B:B,B130,BetFlow!J:J)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SUMIFS(base[L/P Líquido],base[Data],Extrato!$B130,base[Método],Extrato!M$3)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33.83</v>
      </c>
      <c r="W130" s="2">
        <f>SUMIFS(base[L/P Líquido],base[Data],Extrato!$B130,base[Método],Extrato!W$3)</f>
        <v>4.18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>SUM(C130:AO130)</f>
        <v>3741.8413499999988</v>
      </c>
    </row>
    <row r="131" spans="2:42" ht="15" customHeight="1">
      <c r="B131" s="33">
        <v>46121</v>
      </c>
      <c r="C131" s="2">
        <f t="shared" si="5"/>
        <v>3741.8413499999988</v>
      </c>
      <c r="D131" s="2">
        <f>SUMIFS(base[L/P Líquido],base[Data],Extrato!$B131,base[Método],Extrato!D$3)</f>
        <v>0</v>
      </c>
      <c r="E131" s="2">
        <f>SUMIFS(base[L/P Líquido],base[Data],Extrato!$B131,base[Método],Extrato!E$3,base[Exchange],"Fulltbet")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SUMIF(BetFlow!B:B,B131,BetFlow!J:J)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SUMIFS(base[L/P Líquido],base[Data],Extrato!$B131,base[Método],Extrato!M$3)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51.73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>SUM(C131:AO131)</f>
        <v>3793.5713499999988</v>
      </c>
    </row>
    <row r="132" spans="2:42" ht="15" customHeight="1">
      <c r="B132" s="33">
        <v>46122</v>
      </c>
      <c r="C132" s="2">
        <f t="shared" si="5"/>
        <v>3793.5713499999988</v>
      </c>
      <c r="D132" s="2">
        <f>SUMIFS(base[L/P Líquido],base[Data],Extrato!$B132,base[Método],Extrato!D$3)</f>
        <v>0</v>
      </c>
      <c r="E132" s="2">
        <f>SUMIFS(base[L/P Líquido],base[Data],Extrato!$B132,base[Método],Extrato!E$3,base[Exchange],"Fulltbet")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-81.639999999999986</v>
      </c>
      <c r="I132" s="2">
        <f>SUMIF(BetFlow!B:B,B132,BetFlow!J:J)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35.26</v>
      </c>
      <c r="L132" s="2">
        <f>SUMIFS(base[L/P Líquido],base[Data],Extrato!$B132,base[Método],Extrato!L$3)</f>
        <v>0</v>
      </c>
      <c r="M132" s="2">
        <f>SUMIFS(base[L/P Líquido],base[Data],Extrato!$B132,base[Método],Extrato!M$3)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>SUM(C132:AO132)</f>
        <v>3727.0013499999986</v>
      </c>
    </row>
    <row r="133" spans="2:42" ht="15" customHeight="1">
      <c r="B133" s="33">
        <v>46123</v>
      </c>
      <c r="C133" s="2">
        <f t="shared" si="5"/>
        <v>3727.0013499999986</v>
      </c>
      <c r="D133" s="2">
        <f>SUMIFS(base[L/P Líquido],base[Data],Extrato!$B133,base[Método],Extrato!D$3)</f>
        <v>0</v>
      </c>
      <c r="E133" s="2">
        <f>SUMIFS(base[L/P Líquido],base[Data],Extrato!$B133,base[Método],Extrato!E$3,base[Exchange],"Fulltbet")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-121.79999999999997</v>
      </c>
      <c r="I133" s="2">
        <f>SUMIF(BetFlow!B:B,B133,BetFlow!J:J)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-701.6400000000001</v>
      </c>
      <c r="L133" s="2">
        <f>SUMIFS(base[L/P Líquido],base[Data],Extrato!$B133,base[Método],Extrato!L$3)</f>
        <v>0</v>
      </c>
      <c r="M133" s="2">
        <f>SUMIFS(base[L/P Líquido],base[Data],Extrato!$B133,base[Método],Extrato!M$3)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>SUM(C133:AO133)</f>
        <v>2975.181349999998</v>
      </c>
    </row>
    <row r="134" spans="2:42" ht="15" customHeight="1">
      <c r="B134" s="33">
        <v>46124</v>
      </c>
      <c r="C134" s="2">
        <f t="shared" si="5"/>
        <v>2975.181349999998</v>
      </c>
      <c r="D134" s="2">
        <f>SUMIFS(base[L/P Líquido],base[Data],Extrato!$B134,base[Método],Extrato!D$3)</f>
        <v>0</v>
      </c>
      <c r="E134" s="2">
        <f>SUMIFS(base[L/P Líquido],base[Data],Extrato!$B134,base[Método],Extrato!E$3,base[Exchange],"Fulltbet")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-339.93</v>
      </c>
      <c r="I134" s="2">
        <f>SUMIF(BetFlow!B:B,B134,BetFlow!J:J)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17.59</v>
      </c>
      <c r="L134" s="2">
        <f>SUMIFS(base[L/P Líquido],base[Data],Extrato!$B134,base[Método],Extrato!L$3)</f>
        <v>0</v>
      </c>
      <c r="M134" s="2">
        <f>SUMIFS(base[L/P Líquido],base[Data],Extrato!$B134,base[Método],Extrato!M$3)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>SUM(C134:AO134)</f>
        <v>2802.8613499999988</v>
      </c>
    </row>
    <row r="135" spans="2:42" ht="15" customHeight="1">
      <c r="B135" s="33">
        <v>46125</v>
      </c>
      <c r="C135" s="2">
        <f t="shared" si="5"/>
        <v>2802.8613499999988</v>
      </c>
      <c r="D135" s="2">
        <f>SUMIFS(base[L/P Líquido],base[Data],Extrato!$B135,base[Método],Extrato!D$3)</f>
        <v>-350</v>
      </c>
      <c r="E135" s="2">
        <f>SUMIFS(base[L/P Líquido],base[Data],Extrato!$B135,base[Método],Extrato!E$3,base[Exchange],"Fulltbet")</f>
        <v>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SUMIF(BetFlow!B:B,B135,BetFlow!J:J)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SUMIFS(base[L/P Líquido],base[Data],Extrato!$B135,base[Método],Extrato!M$3)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>SUM(C135:AO135)</f>
        <v>2452.8613499999988</v>
      </c>
    </row>
    <row r="136" spans="2:42" ht="15" customHeight="1">
      <c r="B136" s="33">
        <v>46126</v>
      </c>
      <c r="C136" s="2">
        <f t="shared" si="5"/>
        <v>2452.8613499999988</v>
      </c>
      <c r="D136" s="2">
        <f>SUMIFS(base[L/P Líquido],base[Data],Extrato!$B136,base[Método],Extrato!D$3)</f>
        <v>0</v>
      </c>
      <c r="E136" s="2">
        <f>SUMIFS(base[L/P Líquido],base[Data],Extrato!$B136,base[Método],Extrato!E$3,base[Exchange],"Fulltbet")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SUMIF(BetFlow!B:B,B136,BetFlow!J:J)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SUMIFS(base[L/P Líquido],base[Data],Extrato!$B136,base[Método],Extrato!M$3)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20.079999999999998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>SUM(C136:AO136)</f>
        <v>2487.411349999998</v>
      </c>
    </row>
    <row r="137" spans="2:42" ht="15" customHeight="1">
      <c r="B137" s="33">
        <v>46127</v>
      </c>
      <c r="C137" s="2">
        <f t="shared" si="5"/>
        <v>2487.411349999998</v>
      </c>
      <c r="D137" s="2">
        <f>SUMIFS(base[L/P Líquido],base[Data],Extrato!$B137,base[Método],Extrato!D$3)</f>
        <v>0</v>
      </c>
      <c r="E137" s="2">
        <f>SUMIFS(base[L/P Líquido],base[Data],Extrato!$B137,base[Método],Extrato!E$3,base[Exchange],"Fulltbet")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SUMIF(BetFlow!B:B,B137,BetFlow!J:J)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SUMIFS(base[L/P Líquido],base[Data],Extrato!$B137,base[Método],Extrato!M$3)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>SUM(C137:AO137)</f>
        <v>2508.2313499999982</v>
      </c>
    </row>
    <row r="138" spans="2:42" ht="15" customHeight="1">
      <c r="B138" s="33">
        <v>46128</v>
      </c>
      <c r="C138" s="2">
        <f t="shared" si="5"/>
        <v>2508.2313499999982</v>
      </c>
      <c r="D138" s="2">
        <f>SUMIFS(base[L/P Líquido],base[Data],Extrato!$B138,base[Método],Extrato!D$3)</f>
        <v>0</v>
      </c>
      <c r="E138" s="2">
        <f>SUMIFS(base[L/P Líquido],base[Data],Extrato!$B138,base[Método],Extrato!E$3,base[Exchange],"Fulltbet")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SUMIF(BetFlow!B:B,B138,BetFlow!J:J)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SUMIFS(base[L/P Líquido],base[Data],Extrato!$B138,base[Método],Extrato!M$3)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>SUM(C138:AO138)</f>
        <v>2587.6313499999983</v>
      </c>
    </row>
    <row r="139" spans="2:42" ht="15" customHeight="1">
      <c r="B139" s="33">
        <v>46129</v>
      </c>
      <c r="C139" s="2">
        <f t="shared" si="5"/>
        <v>2587.6313499999983</v>
      </c>
      <c r="D139" s="2">
        <f>SUMIFS(base[L/P Líquido],base[Data],Extrato!$B139,base[Método],Extrato!D$3)</f>
        <v>55.21</v>
      </c>
      <c r="E139" s="2">
        <f>SUMIFS(base[L/P Líquido],base[Data],Extrato!$B139,base[Método],Extrato!E$3,base[Exchange],"Fulltbet")</f>
        <v>64.249849999999995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SUMIF(BetFlow!B:B,B139,BetFlow!J:J)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SUMIFS(base[L/P Líquido],base[Data],Extrato!$B139,base[Método],Extrato!M$3)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83.37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>SUM(C139:AO139)</f>
        <v>2779.1210499999984</v>
      </c>
    </row>
    <row r="140" spans="2:42" ht="15" customHeight="1">
      <c r="B140" s="33">
        <v>46130</v>
      </c>
      <c r="C140" s="2">
        <f t="shared" si="5"/>
        <v>2779.1210499999984</v>
      </c>
      <c r="D140" s="2">
        <f>SUMIFS(base[L/P Líquido],base[Data],Extrato!$B140,base[Método],Extrato!D$3)</f>
        <v>0</v>
      </c>
      <c r="E140" s="2">
        <f>SUMIFS(base[L/P Líquido],base[Data],Extrato!$B140,base[Método],Extrato!E$3,base[Exchange],"Fulltbet")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SUMIF(BetFlow!B:B,B140,BetFlow!J:J)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SUMIFS(base[L/P Líquido],base[Data],Extrato!$B140,base[Método],Extrato!M$3)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>SUM(C140:AO140)</f>
        <v>3113.9610499999985</v>
      </c>
    </row>
    <row r="141" spans="2:42" ht="15" customHeight="1">
      <c r="B141" s="33">
        <v>46131</v>
      </c>
      <c r="C141" s="2">
        <f t="shared" si="5"/>
        <v>3113.9610499999985</v>
      </c>
      <c r="D141" s="2">
        <f>SUMIFS(base[L/P Líquido],base[Data],Extrato!$B141,base[Método],Extrato!D$3)</f>
        <v>177.16</v>
      </c>
      <c r="E141" s="2">
        <f>SUMIFS(base[L/P Líquido],base[Data],Extrato!$B141,base[Método],Extrato!E$3,base[Exchange],"Fulltbet")</f>
        <v>0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SUMIF(BetFlow!B:B,B141,BetFlow!J:J)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20.62</v>
      </c>
      <c r="L141" s="2">
        <f>SUMIFS(base[L/P Líquido],base[Data],Extrato!$B141,base[Método],Extrato!L$3)</f>
        <v>0</v>
      </c>
      <c r="M141" s="2">
        <f>SUMIFS(base[L/P Líquido],base[Data],Extrato!$B141,base[Método],Extrato!M$3)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33.61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>SUM(C141:AO141)</f>
        <v>3249.9110499999983</v>
      </c>
    </row>
    <row r="142" spans="2:42" ht="15" customHeight="1">
      <c r="B142" s="33">
        <v>46132</v>
      </c>
      <c r="C142" s="2">
        <f t="shared" si="5"/>
        <v>3249.9110499999983</v>
      </c>
      <c r="D142" s="2">
        <f>SUMIFS(base[L/P Líquido],base[Data],Extrato!$B142,base[Método],Extrato!D$3)</f>
        <v>0</v>
      </c>
      <c r="E142" s="2">
        <f>SUMIFS(base[L/P Líquido],base[Data],Extrato!$B142,base[Método],Extrato!E$3,base[Exchange],"Fulltbet")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SUMIF(BetFlow!B:B,B142,BetFlow!J:J)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SUMIFS(base[L/P Líquido],base[Data],Extrato!$B142,base[Método],Extrato!M$3)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31.040000000000003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>SUM(C142:AO142)</f>
        <v>3195.5910499999982</v>
      </c>
    </row>
    <row r="143" spans="2:42" ht="15" customHeight="1">
      <c r="B143" s="33">
        <v>46133</v>
      </c>
      <c r="C143" s="2">
        <f t="shared" si="5"/>
        <v>3195.5910499999982</v>
      </c>
      <c r="D143" s="2">
        <f>SUMIFS(base[L/P Líquido],base[Data],Extrato!$B143,base[Método],Extrato!D$3)</f>
        <v>0</v>
      </c>
      <c r="E143" s="2">
        <f>SUMIFS(base[L/P Líquido],base[Data],Extrato!$B143,base[Método],Extrato!E$3,base[Exchange],"Fulltbet")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SUMIF(BetFlow!B:B,B143,BetFlow!J:J)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SUMIFS(base[L/P Líquido],base[Data],Extrato!$B143,base[Método],Extrato!M$3)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14.809999999999999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>SUM(C143:AO143)</f>
        <v>3395.2790499999978</v>
      </c>
    </row>
    <row r="144" spans="2:42" ht="15" customHeight="1">
      <c r="B144" s="33">
        <v>46134</v>
      </c>
      <c r="C144" s="2">
        <f t="shared" si="5"/>
        <v>3395.2790499999978</v>
      </c>
      <c r="D144" s="2">
        <f>SUMIFS(base[L/P Líquido],base[Data],Extrato!$B144,base[Método],Extrato!D$3)</f>
        <v>88.070099999999996</v>
      </c>
      <c r="E144" s="2">
        <f>SUMIFS(base[L/P Líquido],base[Data],Extrato!$B144,base[Método],Extrato!E$3,base[Exchange],"Fulltbet")</f>
        <v>54.900000000000006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SUMIF(BetFlow!B:B,B144,BetFlow!J:J)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26.07</v>
      </c>
      <c r="L144" s="2">
        <f>SUMIFS(base[L/P Líquido],base[Data],Extrato!$B144,base[Método],Extrato!L$3)</f>
        <v>0</v>
      </c>
      <c r="M144" s="2">
        <f>SUMIFS(base[L/P Líquido],base[Data],Extrato!$B144,base[Método],Extrato!M$3)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-504.96</v>
      </c>
      <c r="W144" s="2">
        <f>SUMIFS(base[L/P Líquido],base[Data],Extrato!$B144,base[Método],Extrato!W$3)</f>
        <v>-68.23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>SUM(C144:AO144)</f>
        <v>2794.9376999999981</v>
      </c>
    </row>
    <row r="145" spans="2:76" ht="15" customHeight="1">
      <c r="B145" s="33">
        <v>46135</v>
      </c>
      <c r="C145" s="2">
        <f t="shared" si="5"/>
        <v>2794.9376999999981</v>
      </c>
      <c r="D145" s="2">
        <f>SUMIFS(base[L/P Líquido],base[Data],Extrato!$B145,base[Método],Extrato!D$3)</f>
        <v>0</v>
      </c>
      <c r="E145" s="2">
        <f>SUMIFS(base[L/P Líquido],base[Data],Extrato!$B145,base[Método],Extrato!E$3,base[Exchange],"Fulltbet")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SUMIF(BetFlow!B:B,B145,BetFlow!J:J)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SUMIFS(base[L/P Líquido],base[Data],Extrato!$B145,base[Método],Extrato!M$3)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>SUM(C145:AO145)</f>
        <v>2807.3576999999982</v>
      </c>
    </row>
    <row r="146" spans="2:76" ht="15" customHeight="1">
      <c r="B146" s="33">
        <v>46136</v>
      </c>
      <c r="C146" s="2">
        <f t="shared" si="5"/>
        <v>2807.3576999999982</v>
      </c>
      <c r="D146" s="2">
        <f>SUMIFS(base[L/P Líquido],base[Data],Extrato!$B146,base[Método],Extrato!D$3)</f>
        <v>125.85</v>
      </c>
      <c r="E146" s="2">
        <f>SUMIFS(base[L/P Líquido],base[Data],Extrato!$B146,base[Método],Extrato!E$3,base[Exchange],"Fulltbet")</f>
        <v>41.71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SUMIF(BetFlow!B:B,B146,BetFlow!J:J)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SUMIFS(base[L/P Líquido],base[Data],Extrato!$B146,base[Método],Extrato!M$3)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>SUM(C146:AO146)</f>
        <v>2747.3176999999982</v>
      </c>
    </row>
    <row r="147" spans="2:76" ht="15" customHeight="1">
      <c r="B147" s="33">
        <v>46137</v>
      </c>
      <c r="C147" s="2">
        <f t="shared" si="5"/>
        <v>2747.3176999999982</v>
      </c>
      <c r="D147" s="2">
        <f>SUMIFS(base[L/P Líquido],base[Data],Extrato!$B147,base[Método],Extrato!D$3)</f>
        <v>52.23</v>
      </c>
      <c r="E147" s="2">
        <f>SUMIFS(base[L/P Líquido],base[Data],Extrato!$B147,base[Método],Extrato!E$3,base[Exchange],"Fulltbet")</f>
        <v>125.96940000000001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SUMIF(BetFlow!B:B,B147,BetFlow!J:J)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SUMIFS(base[L/P Líquido],base[Data],Extrato!$B147,base[Método],Extrato!M$3)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50.62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>SUM(C147:AO147)</f>
        <v>2964.3217499999982</v>
      </c>
    </row>
    <row r="148" spans="2:76" ht="15" customHeight="1">
      <c r="B148" s="33">
        <v>46138</v>
      </c>
      <c r="C148" s="2">
        <f t="shared" si="5"/>
        <v>2964.3217499999982</v>
      </c>
      <c r="D148" s="2">
        <f>SUMIFS(base[L/P Líquido],base[Data],Extrato!$B148,base[Método],Extrato!D$3)</f>
        <v>121.9</v>
      </c>
      <c r="E148" s="2">
        <f>SUMIFS(base[L/P Líquido],base[Data],Extrato!$B148,base[Método],Extrato!E$3,base[Exchange],"Fulltbet")</f>
        <v>55.153149999999997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SUMIF(BetFlow!B:B,B148,BetFlow!J:J)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SUMIFS(base[L/P Líquido],base[Data],Extrato!$B148,base[Método],Extrato!M$3)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39.200000000000003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>SUM(C148:AO148)</f>
        <v>3189.7064499999988</v>
      </c>
    </row>
    <row r="149" spans="2:76" ht="15" customHeight="1">
      <c r="B149" s="33">
        <v>46139</v>
      </c>
      <c r="C149" s="2">
        <f t="shared" si="5"/>
        <v>3189.7064499999988</v>
      </c>
      <c r="D149" s="2">
        <f>SUMIFS(base[L/P Líquido],base[Data],Extrato!$B149,base[Método],Extrato!D$3)</f>
        <v>0</v>
      </c>
      <c r="E149" s="2">
        <f>SUMIFS(base[L/P Líquido],base[Data],Extrato!$B149,base[Método],Extrato!E$3,base[Exchange],"Fulltbet")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SUMIF(BetFlow!B:B,B149,BetFlow!J:J)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SUMIFS(base[L/P Líquido],base[Data],Extrato!$B149,base[Método],Extrato!M$3)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>SUM(C149:AO149)</f>
        <v>3191.1379499999989</v>
      </c>
    </row>
    <row r="150" spans="2:76" ht="15" customHeight="1">
      <c r="B150" s="33">
        <v>46140</v>
      </c>
      <c r="C150" s="2">
        <f t="shared" si="5"/>
        <v>3191.1379499999989</v>
      </c>
      <c r="D150" s="2">
        <f>SUMIFS(base[L/P Líquido],base[Data],Extrato!$B150,base[Método],Extrato!D$3)</f>
        <v>0</v>
      </c>
      <c r="E150" s="2">
        <f>SUMIFS(base[L/P Líquido],base[Data],Extrato!$B150,base[Método],Extrato!E$3,base[Exchange],"Fulltbet")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SUMIF(BetFlow!B:B,B150,BetFlow!J:J)</f>
        <v>-13.26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SUMIFS(base[L/P Líquido],base[Data],Extrato!$B150,base[Método],Extrato!M$3)</f>
        <v>0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20.95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>SUM(C150:AO150)</f>
        <v>3179.9179499999987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6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>
      <c r="B151" s="33">
        <v>46141</v>
      </c>
      <c r="C151" s="2">
        <f t="shared" si="5"/>
        <v>3179.9179499999987</v>
      </c>
      <c r="D151" s="2">
        <f>SUMIFS(base[L/P Líquido],base[Data],Extrato!$B151,base[Método],Extrato!D$3)</f>
        <v>0</v>
      </c>
      <c r="E151" s="2">
        <f>SUMIFS(base[L/P Líquido],base[Data],Extrato!$B151,base[Método],Extrato!E$3,base[Exchange],"Fulltbet")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SUMIF(BetFlow!B:B,B151,BetFlow!J:J)</f>
        <v>21.328399999999998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22.472299999999997</v>
      </c>
      <c r="L151" s="2">
        <f>SUMIFS(base[L/P Líquido],base[Data],Extrato!$B151,base[Método],Extrato!L$3)</f>
        <v>0</v>
      </c>
      <c r="M151" s="2">
        <f>SUMIFS(base[L/P Líquido],base[Data],Extrato!$B151,base[Método],Extrato!M$3)</f>
        <v>0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>SUM(C151:AO151)</f>
        <v>3238.9915499999988</v>
      </c>
      <c r="AR151" s="2">
        <f t="shared" ref="AR151:AR162" si="7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6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>
      <c r="B152" s="33">
        <v>46142</v>
      </c>
      <c r="C152" s="2">
        <f t="shared" si="5"/>
        <v>3238.9915499999988</v>
      </c>
      <c r="D152" s="2">
        <f>SUMIFS(base[L/P Líquido],base[Data],Extrato!$B152,base[Método],Extrato!D$3)</f>
        <v>0</v>
      </c>
      <c r="E152" s="2">
        <f>SUMIFS(base[L/P Líquido],base[Data],Extrato!$B152,base[Método],Extrato!E$3,base[Exchange],"Fulltbet")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SUMIF(BetFlow!B:B,B152,BetFlow!J:J)</f>
        <v>-19.944799999999997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SUMIFS(base[L/P Líquido],base[Data],Extrato!$B152,base[Método],Extrato!M$3)</f>
        <v>0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>SUM(C152:AO152)</f>
        <v>3874.0367499999984</v>
      </c>
      <c r="AR152" s="2">
        <f t="shared" si="7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6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>
      <c r="B153" s="33">
        <v>46143</v>
      </c>
      <c r="C153" s="2">
        <f t="shared" si="5"/>
        <v>3874.0367499999984</v>
      </c>
      <c r="D153" s="2">
        <f>SUMIFS(base[L/P Líquido],base[Data],Extrato!$B153,base[Método],Extrato!D$3)</f>
        <v>0</v>
      </c>
      <c r="E153" s="2">
        <f>SUMIFS(base[L/P Líquido],base[Data],Extrato!$B153,base[Método],Extrato!E$3,base[Exchange],"Fulltbet")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-267.02</v>
      </c>
      <c r="I153" s="2">
        <f>SUMIF(BetFlow!B:B,B153,BetFlow!J:J)</f>
        <v>1.4301999999999992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SUMIFS(base[L/P Líquido],base[Data],Extrato!$B153,base[Método],Extrato!M$3)</f>
        <v>0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>SUM(C153:AO153)</f>
        <v>3678.6169499999983</v>
      </c>
      <c r="AR153" s="2">
        <f t="shared" si="7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6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>
      <c r="B154" s="33">
        <v>46144</v>
      </c>
      <c r="C154" s="2">
        <f t="shared" si="5"/>
        <v>3678.6169499999983</v>
      </c>
      <c r="D154" s="2">
        <f>SUMIFS(base[L/P Líquido],base[Data],Extrato!$B154,base[Método],Extrato!D$3)</f>
        <v>-435.01</v>
      </c>
      <c r="E154" s="2">
        <f>SUMIFS(base[L/P Líquido],base[Data],Extrato!$B154,base[Método],Extrato!E$3,base[Exchange],"Fulltbet")</f>
        <v>253.52159999999998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-230.47</v>
      </c>
      <c r="I154" s="2">
        <f>SUMIF(BetFlow!B:B,B154,BetFlow!J:J)</f>
        <v>530.72630000000004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69.489999999999995</v>
      </c>
      <c r="L154" s="2">
        <f>SUMIFS(base[L/P Líquido],base[Data],Extrato!$B154,base[Método],Extrato!L$3)</f>
        <v>0</v>
      </c>
      <c r="M154" s="2">
        <f>SUMIFS(base[L/P Líquido],base[Data],Extrato!$B154,base[Método],Extrato!M$3)</f>
        <v>0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60.31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>SUM(C154:AO154)</f>
        <v>3889.0680999999981</v>
      </c>
      <c r="AR154" s="2">
        <f t="shared" si="7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6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>
      <c r="B155" s="33">
        <v>46145</v>
      </c>
      <c r="C155" s="2">
        <f t="shared" ref="C155:C183" si="8">AP154</f>
        <v>3889.0680999999981</v>
      </c>
      <c r="D155" s="2">
        <f>SUMIFS(base[L/P Líquido],base[Data],Extrato!$B155,base[Método],Extrato!D$3)</f>
        <v>-296.73</v>
      </c>
      <c r="E155" s="2">
        <f>SUMIFS(base[L/P Líquido],base[Data],Extrato!$B155,base[Método],Extrato!E$3,base[Exchange],"Fulltbet")</f>
        <v>59.239999999999995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78.09</v>
      </c>
      <c r="I155" s="2">
        <f>SUMIF(BetFlow!B:B,B155,BetFlow!J:J)</f>
        <v>-82.76149999999997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102.92</v>
      </c>
      <c r="L155" s="2">
        <f>SUMIFS(base[L/P Líquido],base[Data],Extrato!$B155,base[Método],Extrato!L$3)</f>
        <v>0</v>
      </c>
      <c r="M155" s="2">
        <f>SUMIFS(base[L/P Líquido],base[Data],Extrato!$B155,base[Método],Extrato!M$3)</f>
        <v>0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>SUM(C155:AO155)</f>
        <v>3705.926599999998</v>
      </c>
      <c r="AR155" s="2">
        <f t="shared" si="7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6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>
      <c r="B156" s="33">
        <v>46146</v>
      </c>
      <c r="C156" s="2">
        <f t="shared" si="8"/>
        <v>3705.926599999998</v>
      </c>
      <c r="D156" s="2">
        <f>SUMIFS(base[L/P Líquido],base[Data],Extrato!$B156,base[Método],Extrato!D$3)</f>
        <v>53.37</v>
      </c>
      <c r="E156" s="2">
        <f>SUMIFS(base[L/P Líquido],base[Data],Extrato!$B156,base[Método],Extrato!E$3,base[Exchange],"Fulltbet")</f>
        <v>0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49.05</v>
      </c>
      <c r="I156" s="2">
        <f>SUMIF(BetFlow!B:B,B156,BetFlow!J:J)</f>
        <v>-25.305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SUMIFS(base[L/P Líquido],base[Data],Extrato!$B156,base[Método],Extrato!M$3)</f>
        <v>0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>SUM(C156:AO156)</f>
        <v>3802.3315999999982</v>
      </c>
      <c r="AR156" s="2">
        <f t="shared" si="7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6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>
      <c r="B157" s="33">
        <v>46147</v>
      </c>
      <c r="C157" s="2">
        <f t="shared" si="8"/>
        <v>3802.3315999999982</v>
      </c>
      <c r="D157" s="2">
        <f>SUMIFS(base[L/P Líquido],base[Data],Extrato!$B157,base[Método],Extrato!D$3)</f>
        <v>0</v>
      </c>
      <c r="E157" s="2">
        <f>SUMIFS(base[L/P Líquido],base[Data],Extrato!$B157,base[Método],Extrato!E$3,base[Exchange],"Fulltbet")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SUMIF(BetFlow!B:B,B157,BetFlow!J:J)</f>
        <v>-39.90100000000001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SUMIFS(base[L/P Líquido],base[Data],Extrato!$B157,base[Método],Extrato!M$3)</f>
        <v>0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>SUM(C157:AO157)</f>
        <v>3754.7605999999987</v>
      </c>
      <c r="AR157" s="2">
        <f t="shared" si="7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6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>
      <c r="B158" s="33">
        <v>46148</v>
      </c>
      <c r="C158" s="2">
        <f t="shared" si="8"/>
        <v>3754.7605999999987</v>
      </c>
      <c r="D158" s="2">
        <f>SUMIFS(base[L/P Líquido],base[Data],Extrato!$B158,base[Método],Extrato!D$3)</f>
        <v>0</v>
      </c>
      <c r="E158" s="2">
        <f>SUMIFS(base[L/P Líquido],base[Data],Extrato!$B158,base[Método],Extrato!E$3,base[Exchange],"Fulltbet")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SUMIF(BetFlow!B:B,B158,BetFlow!J:J)</f>
        <v>-120.0586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SUMIFS(base[L/P Líquido],base[Data],Extrato!$B158,base[Método],Extrato!M$3)</f>
        <v>0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>SUM(C158:AO158)</f>
        <v>3627.4719999999988</v>
      </c>
      <c r="AR158" s="2">
        <f t="shared" si="7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6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>
      <c r="B159" s="33">
        <v>46149</v>
      </c>
      <c r="C159" s="2">
        <f t="shared" si="8"/>
        <v>3627.4719999999988</v>
      </c>
      <c r="D159" s="2">
        <f>SUMIFS(base[L/P Líquido],base[Data],Extrato!$B159,base[Método],Extrato!D$3)</f>
        <v>0</v>
      </c>
      <c r="E159" s="2">
        <f>SUMIFS(base[L/P Líquido],base[Data],Extrato!$B159,base[Método],Extrato!E$3,base[Exchange],"Fulltbet")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SUMIF(BetFlow!B:B,B159,BetFlow!J:J)</f>
        <v>-55.155999999999999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SUMIFS(base[L/P Líquido],base[Data],Extrato!$B159,base[Método],Extrato!M$3)</f>
        <v>0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>SUM(C159:AO159)</f>
        <v>3633.9859999999985</v>
      </c>
      <c r="AR159" s="2">
        <f t="shared" si="7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6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>
      <c r="B160" s="33">
        <v>46150</v>
      </c>
      <c r="C160" s="2">
        <f t="shared" si="8"/>
        <v>3633.9859999999985</v>
      </c>
      <c r="D160" s="2">
        <f>SUMIFS(base[L/P Líquido],base[Data],Extrato!$B160,base[Método],Extrato!D$3)</f>
        <v>76.686499999999995</v>
      </c>
      <c r="E160" s="2">
        <f>SUMIFS(base[L/P Líquido],base[Data],Extrato!$B160,base[Método],Extrato!E$3,base[Exchange],"Fulltbet")</f>
        <v>93.27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-222.97</v>
      </c>
      <c r="I160" s="2">
        <f>SUMIF(BetFlow!B:B,B160,BetFlow!J:J)</f>
        <v>-99.767999999999986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SUMIFS(base[L/P Líquido],base[Data],Extrato!$B160,base[Método],Extrato!M$3)</f>
        <v>0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>SUM(C160:AO160)</f>
        <v>3506.2368499999984</v>
      </c>
      <c r="AR160" s="2">
        <f t="shared" si="7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6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>
      <c r="B161" s="33">
        <v>46151</v>
      </c>
      <c r="C161" s="2">
        <f t="shared" si="8"/>
        <v>3506.2368499999984</v>
      </c>
      <c r="D161" s="2">
        <f>SUMIFS(base[L/P Líquido],base[Data],Extrato!$B161,base[Método],Extrato!D$3)</f>
        <v>0</v>
      </c>
      <c r="E161" s="2">
        <f>SUMIFS(base[L/P Líquido],base[Data],Extrato!$B161,base[Método],Extrato!E$3,base[Exchange],"Fulltbet")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-95.78000000000003</v>
      </c>
      <c r="I161" s="2">
        <f>SUMIF(BetFlow!B:B,B161,BetFlow!J:J)</f>
        <v>9.8780000000000001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SUMIFS(base[L/P Líquido],base[Data],Extrato!$B161,base[Método],Extrato!M$3)</f>
        <v>0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73.360000000000014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>SUM(C161:AO161)</f>
        <v>3279.2249499999984</v>
      </c>
      <c r="AR161" s="2">
        <f t="shared" si="7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6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>
      <c r="B162" s="33">
        <v>46152</v>
      </c>
      <c r="C162" s="2">
        <f t="shared" si="8"/>
        <v>3279.2249499999984</v>
      </c>
      <c r="D162" s="2">
        <f>SUMIFS(base[L/P Líquido],base[Data],Extrato!$B162,base[Método],Extrato!D$3)</f>
        <v>0</v>
      </c>
      <c r="E162" s="2">
        <f>SUMIFS(base[L/P Líquido],base[Data],Extrato!$B162,base[Método],Extrato!E$3,base[Exchange],"Fulltbet")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105.46</v>
      </c>
      <c r="I162" s="2">
        <f>SUMIF(BetFlow!B:B,B162,BetFlow!J:J)</f>
        <v>88.642300000000006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SUMIFS(base[L/P Líquido],base[Data],Extrato!$B162,base[Método],Extrato!M$3)</f>
        <v>0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>SUM(C162:AO162)</f>
        <v>3532.1572499999988</v>
      </c>
      <c r="AR162" s="2">
        <f t="shared" si="7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6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>
      <c r="B163" s="33">
        <v>46153</v>
      </c>
      <c r="C163" s="2">
        <f t="shared" si="8"/>
        <v>3532.1572499999988</v>
      </c>
      <c r="D163" s="2">
        <f>SUMIFS(base[L/P Líquido],base[Data],Extrato!$B163,base[Método],Extrato!D$3)</f>
        <v>0</v>
      </c>
      <c r="E163" s="2">
        <f>SUMIFS(base[L/P Líquido],base[Data],Extrato!$B163,base[Método],Extrato!E$3,base[Exchange],"Fulltbet")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157.91</v>
      </c>
      <c r="I163" s="2">
        <f>SUMIF(BetFlow!B:B,B163,BetFlow!J:J)</f>
        <v>36.135999999999996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SUMIFS(base[L/P Líquido],base[Data],Extrato!$B163,base[Método],Extrato!M$3)</f>
        <v>0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>SUM(C163:AO163)</f>
        <v>3819.9765999999986</v>
      </c>
      <c r="AR163" s="2">
        <f t="shared" ref="AR163:AR183" si="9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6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>
      <c r="B164" s="33">
        <v>46154</v>
      </c>
      <c r="C164" s="2">
        <f t="shared" si="8"/>
        <v>3819.9765999999986</v>
      </c>
      <c r="D164" s="2">
        <f>SUMIFS(base[L/P Líquido],base[Data],Extrato!$B164,base[Método],Extrato!D$3)</f>
        <v>94.92</v>
      </c>
      <c r="E164" s="2">
        <f>SUMIFS(base[L/P Líquido],base[Data],Extrato!$B164,base[Método],Extrato!E$3,base[Exchange],"Fulltbet")</f>
        <v>0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159.91000000000003</v>
      </c>
      <c r="I164" s="2">
        <f>SUMIF(BetFlow!B:B,B164,BetFlow!J:J)</f>
        <v>62.505399999999995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52.524999999999999</v>
      </c>
      <c r="L164" s="2">
        <f>SUMIFS(base[L/P Líquido],base[Data],Extrato!$B164,base[Método],Extrato!L$3)</f>
        <v>0</v>
      </c>
      <c r="M164" s="2">
        <f>SUMIFS(base[L/P Líquido],base[Data],Extrato!$B164,base[Método],Extrato!M$3)</f>
        <v>0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>SUM(C164:AO164)</f>
        <v>4240.5810999999985</v>
      </c>
      <c r="AR164" s="2">
        <f t="shared" si="9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6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>
      <c r="B165" s="33">
        <v>46155</v>
      </c>
      <c r="C165" s="2">
        <f t="shared" si="8"/>
        <v>4240.5810999999985</v>
      </c>
      <c r="D165" s="2">
        <f>SUMIFS(base[L/P Líquido],base[Data],Extrato!$B165,base[Método],Extrato!D$3)</f>
        <v>69.790000000000006</v>
      </c>
      <c r="E165" s="2">
        <f>SUMIFS(base[L/P Líquido],base[Data],Extrato!$B165,base[Método],Extrato!E$3,base[Exchange],"Fulltbet")</f>
        <v>25.03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134.06</v>
      </c>
      <c r="I165" s="2">
        <f>SUMIF(BetFlow!B:B,B165,BetFlow!J:J)</f>
        <v>109.3447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-380.04</v>
      </c>
      <c r="L165" s="2">
        <f>SUMIFS(base[L/P Líquido],base[Data],Extrato!$B165,base[Método],Extrato!L$3)</f>
        <v>0</v>
      </c>
      <c r="M165" s="2">
        <f>SUMIFS(base[L/P Líquido],base[Data],Extrato!$B165,base[Método],Extrato!M$3)</f>
        <v>0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>SUM(C165:AO165)</f>
        <v>4294.1957999999986</v>
      </c>
      <c r="AR165" s="2">
        <f t="shared" si="9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6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>
      <c r="B166" s="33">
        <v>46156</v>
      </c>
      <c r="C166" s="2">
        <f t="shared" si="8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Líquido],base[Data],Extrato!$B166,base[Método],Extrato!E$3,base[Exchange],"Fulltbet")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SUMIF(BetFlow!B:B,B166,BetFlow!J:J)</f>
        <v>36.234399999999994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SUMIFS(base[L/P Líquido],base[Data],Extrato!$B166,base[Método],Extrato!M$3)</f>
        <v>0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>SUM(C166:AO166)</f>
        <v>4309.1450999999997</v>
      </c>
      <c r="AR166" s="2">
        <f t="shared" si="9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6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>
      <c r="B167" s="33">
        <v>46157</v>
      </c>
      <c r="C167" s="2">
        <f t="shared" si="8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Líquido],base[Data],Extrato!$B167,base[Método],Extrato!E$3,base[Exchange],"Fulltbet")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-115</v>
      </c>
      <c r="I167" s="2">
        <f>SUMIF(BetFlow!B:B,B167,BetFlow!J:J)</f>
        <v>13.645000000000003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SUMIFS(base[L/P Líquido],base[Data],Extrato!$B167,base[Método],Extrato!M$3)</f>
        <v>0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>SUM(C167:AO167)</f>
        <v>4230.8833000000013</v>
      </c>
      <c r="AR167" s="2">
        <f t="shared" si="9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6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>
      <c r="B168" s="33">
        <v>46158</v>
      </c>
      <c r="C168" s="2">
        <f t="shared" si="8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Líquido],base[Data],Extrato!$B168,base[Método],Extrato!E$3,base[Exchange],"Fulltbet")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67.63</v>
      </c>
      <c r="I168" s="2">
        <f>SUMIF(BetFlow!B:B,B168,BetFlow!J:J)</f>
        <v>208.12859999999992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SUMIFS(base[L/P Líquido],base[Data],Extrato!$B168,base[Método],Extrato!M$3)</f>
        <v>0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68.87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>SUM(C168:AO168)</f>
        <v>4716.4505500000014</v>
      </c>
      <c r="AR168" s="2">
        <f t="shared" si="9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6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>
      <c r="B169" s="33">
        <v>46159</v>
      </c>
      <c r="C169" s="2">
        <f t="shared" si="8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Líquido],base[Data],Extrato!$B169,base[Método],Extrato!E$3,base[Exchange],"Fulltbet")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-383.63</v>
      </c>
      <c r="I169" s="2">
        <f>SUMIF(BetFlow!B:B,B169,BetFlow!J:J)</f>
        <v>-12.677599999999995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SUMIFS(base[L/P Líquido],base[Data],Extrato!$B169,base[Método],Extrato!M$3)</f>
        <v>0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>SUM(C169:AO169)</f>
        <v>4466.5666500000007</v>
      </c>
      <c r="AR169" s="2">
        <f t="shared" si="9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6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>
      <c r="B170" s="33">
        <v>46160</v>
      </c>
      <c r="C170" s="2">
        <f t="shared" si="8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Líquido],base[Data],Extrato!$B170,base[Método],Extrato!E$3,base[Exchange],"Fulltbet")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64.83</v>
      </c>
      <c r="I170" s="2">
        <f>SUMIF(BetFlow!B:B,B170,BetFlow!J:J)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SUMIFS(base[L/P Líquido],base[Data],Extrato!$B170,base[Método],Extrato!M$3)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>SUM(C170:AO170)</f>
        <v>4515.78665</v>
      </c>
      <c r="AR170" s="2">
        <f t="shared" si="9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6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>
      <c r="B171" s="33">
        <v>46161</v>
      </c>
      <c r="C171" s="2">
        <f t="shared" si="8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Líquido],base[Data],Extrato!$B171,base[Método],Extrato!E$3,base[Exchange],"Fulltbet")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SUMIF(BetFlow!B:B,B171,BetFlow!J:J)</f>
        <v>70.116900000000001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SUMIFS(base[L/P Líquido],base[Data],Extrato!$B171,base[Método],Extrato!M$3)</f>
        <v>0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>SUM(C171:AO171)</f>
        <v>4683.1695</v>
      </c>
      <c r="AQ171" s="2"/>
      <c r="AR171" s="2">
        <f t="shared" si="9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6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>
      <c r="B172" s="33">
        <v>46162</v>
      </c>
      <c r="C172" s="2">
        <f t="shared" si="8"/>
        <v>4683.1695</v>
      </c>
      <c r="D172" s="2">
        <f>SUMIFS(base[L/P Líquido],base[Data],Extrato!$B172,base[Método],Extrato!D$3)</f>
        <v>-390.02</v>
      </c>
      <c r="E172" s="2">
        <f>SUMIFS(base[L/P Líquido],base[Data],Extrato!$B172,base[Método],Extrato!E$3,base[Exchange],"Fulltbet")</f>
        <v>-379.99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-157.51999999999998</v>
      </c>
      <c r="I172" s="2">
        <f>SUMIF(BetFlow!B:B,B172,BetFlow!J:J)</f>
        <v>23.1357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SUMIFS(base[L/P Líquido],base[Data],Extrato!$B172,base[Método],Extrato!M$3)</f>
        <v>0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>SUM(C172:AO172)</f>
        <v>3777.7985499999995</v>
      </c>
      <c r="AQ172" s="2"/>
      <c r="AR172" s="2">
        <f t="shared" si="9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6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>
      <c r="B173" s="33">
        <v>46163</v>
      </c>
      <c r="C173" s="2">
        <f t="shared" si="8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Líquido],base[Data],Extrato!$B173,base[Método],Extrato!E$3,base[Exchange],"Fulltbet")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-131.04999999999998</v>
      </c>
      <c r="I173" s="2">
        <f>SUMIF(BetFlow!B:B,B173,BetFlow!J:J)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SUMIFS(base[L/P Líquido],base[Data],Extrato!$B173,base[Método],Extrato!M$3)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39.07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>SUM(C173:AO173)</f>
        <v>3719.04855</v>
      </c>
      <c r="AR173" s="2">
        <f t="shared" si="9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6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>
      <c r="B174" s="33">
        <v>46164</v>
      </c>
      <c r="C174" s="2">
        <f t="shared" si="8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Líquido],base[Data],Extrato!$B174,base[Método],Extrato!E$3,base[Exchange],"Fulltbet")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-115</v>
      </c>
      <c r="I174" s="2">
        <f>SUMIF(BetFlow!B:B,B174,BetFlow!J:J)</f>
        <v>-75.53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SUMIFS(base[L/P Líquido],base[Data],Extrato!$B174,base[Método],Extrato!M$3)</f>
        <v>0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>SUM(C174:AO174)</f>
        <v>3119.4085499999997</v>
      </c>
      <c r="AR174" s="2">
        <f t="shared" si="9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6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>
      <c r="B175" s="33">
        <v>46165</v>
      </c>
      <c r="C175" s="2">
        <f t="shared" si="8"/>
        <v>3119.4085499999997</v>
      </c>
      <c r="D175" s="2">
        <f>SUMIFS(base[L/P Líquido],base[Data],Extrato!$B175,base[Método],Extrato!D$3)</f>
        <v>198.93539999999999</v>
      </c>
      <c r="E175" s="2">
        <f>SUMIFS(base[L/P Líquido],base[Data],Extrato!$B175,base[Método],Extrato!E$3,base[Exchange],"Fulltbet")</f>
        <v>44.96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-228.08</v>
      </c>
      <c r="I175" s="2">
        <f>SUMIF(BetFlow!B:B,B175,BetFlow!J:J)</f>
        <v>5.8918999999999961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SUMIFS(base[L/P Líquido],base[Data],Extrato!$B175,base[Método],Extrato!M$3)</f>
        <v>0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74.760000000000005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>SUM(C175:AO175)</f>
        <v>3330.9360999999999</v>
      </c>
      <c r="AR175" s="2">
        <f t="shared" si="9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6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>
      <c r="B176" s="33">
        <v>46166</v>
      </c>
      <c r="C176" s="2">
        <f t="shared" si="8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Líquido],base[Data],Extrato!$B176,base[Método],Extrato!E$3,base[Exchange],"Fulltbet")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255.69</v>
      </c>
      <c r="I176" s="2">
        <f>SUMIF(BetFlow!B:B,B176,BetFlow!J:J)</f>
        <v>-26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SUMIFS(base[L/P Líquido],base[Data],Extrato!$B176,base[Método],Extrato!M$3)</f>
        <v>0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>SUM(C176:AO176)</f>
        <v>3486.0251499999999</v>
      </c>
      <c r="AR176" s="2">
        <f t="shared" si="9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6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>
      <c r="B177" s="33">
        <v>46167</v>
      </c>
      <c r="C177" s="2">
        <f t="shared" si="8"/>
        <v>3486.0251499999999</v>
      </c>
      <c r="D177" s="2">
        <f>SUMIFS(base[L/P Líquido],base[Data],Extrato!$B177,base[Método],Extrato!D$3)</f>
        <v>142.81</v>
      </c>
      <c r="E177" s="2">
        <f>SUMIFS(base[L/P Líquido],base[Data],Extrato!$B177,base[Método],Extrato!E$3,base[Exchange],"Fulltbet")</f>
        <v>0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SUMIF(BetFlow!B:B,B177,BetFlow!J:J)</f>
        <v>-12.600000000000001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SUMIFS(base[L/P Líquido],base[Data],Extrato!$B177,base[Método],Extrato!M$3)</f>
        <v>0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>SUM(C177:AO177)</f>
        <v>3576.3451499999996</v>
      </c>
      <c r="AR177" s="2">
        <f t="shared" si="9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6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>
      <c r="B178" s="33">
        <v>46168</v>
      </c>
      <c r="C178" s="2">
        <f t="shared" si="8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Líquido],base[Data],Extrato!$B178,base[Método],Extrato!E$3,base[Exchange],"Fulltbet")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SUMIF(BetFlow!B:B,B178,BetFlow!J:J)+12.81</f>
        <v>-2.41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SUMIFS(base[L/P Líquido],base[Data],Extrato!$B178,base[Método],Extrato!M$3)</f>
        <v>0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34.56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>SUM(C178:AO178)</f>
        <v>3612.5451499999995</v>
      </c>
      <c r="AR178" s="2">
        <f t="shared" si="9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6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>
      <c r="B179" s="33">
        <v>46169</v>
      </c>
      <c r="C179" s="2">
        <f t="shared" si="8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Líquido],base[Data],Extrato!$B179,base[Método],Extrato!E$3,base[Exchange],"Fulltbet")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SUMIF(BetFlow!B:B,B179,BetFlow!J:J)-12.81</f>
        <v>-22.39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SUMIFS(base[L/P Líquido],base[Data],Extrato!$B179,base[Método],Extrato!M$3)</f>
        <v>0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>SUM(C179:AO179)</f>
        <v>3590.1551499999996</v>
      </c>
      <c r="AR179" s="2">
        <f t="shared" si="9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6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>
      <c r="B180" s="33">
        <v>46170</v>
      </c>
      <c r="C180" s="2">
        <f t="shared" si="8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Líquido],base[Data],Extrato!$B180,base[Método],Extrato!E$3,base[Exchange],"Fulltbet")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SUMIF(BetFlow!B:B,B180,BetFlow!J:J)</f>
        <v>20.678800000000006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SUMIFS(base[L/P Líquido],base[Data],Extrato!$B180,base[Método],Extrato!M$3)</f>
        <v>0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>SUM(C180:AO180)</f>
        <v>3666.8439499999999</v>
      </c>
      <c r="AR180" s="2">
        <f t="shared" si="9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6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>
      <c r="B181" s="33">
        <v>46171</v>
      </c>
      <c r="C181" s="2">
        <f t="shared" si="8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Líquido],base[Data],Extrato!$B181,base[Método],Extrato!E$3,base[Exchange],"Fulltbet")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SUMIF(BetFlow!B:B,B181,BetFlow!J:J)</f>
        <v>11.397000000000002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SUMIFS(base[L/P Líquido],base[Data],Extrato!$B181,base[Método],Extrato!M$3)</f>
        <v>0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>SUM(C181:AO181)</f>
        <v>3661.87095</v>
      </c>
      <c r="AR181" s="2">
        <f t="shared" si="9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6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>
      <c r="B182" s="33">
        <v>46172</v>
      </c>
      <c r="C182" s="2">
        <f t="shared" si="8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Líquido],base[Data],Extrato!$B182,base[Método],Extrato!E$3,base[Exchange],"Fulltbet")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SUMIF(BetFlow!B:B,B182,BetFlow!J:J)</f>
        <v>25.180000000000042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SUMIFS(base[L/P Líquido],base[Data],Extrato!$B182,base[Método],Extrato!M$3)</f>
        <v>0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>SUM(C182:AO182)</f>
        <v>3889.0261999999998</v>
      </c>
      <c r="AR182" s="2">
        <f t="shared" si="9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0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>
      <c r="B183" s="33">
        <v>46173</v>
      </c>
      <c r="C183" s="2">
        <f t="shared" si="8"/>
        <v>3889.0261999999998</v>
      </c>
      <c r="D183" s="2">
        <f>SUMIFS(base[L/P Líquido],base[Data],Extrato!$B183,base[Método],Extrato!D$3)</f>
        <v>58.53</v>
      </c>
      <c r="E183" s="2">
        <f>SUMIFS(base[L/P Líquido],base[Data],Extrato!$B183,base[Método],Extrato!E$3,base[Exchange],"Fulltbet")</f>
        <v>166.63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SUMIF(BetFlow!B:B,B183,BetFlow!J:J)</f>
        <v>22.463999999999999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SUMIFS(base[L/P Líquido],base[Data],Extrato!$B183,base[Método],Extrato!M$3)</f>
        <v>0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12.2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>SUM(C183:AO183)</f>
        <v>4217.2601999999997</v>
      </c>
      <c r="AR183" s="2">
        <f t="shared" si="9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0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>
      <c r="B184" s="33">
        <v>46174</v>
      </c>
      <c r="C184" s="2">
        <f t="shared" ref="C184:C185" si="11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Líquido],base[Data],Extrato!$B184,base[Método],Extrato!E$3,base[Exchange],"Fulltbet")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SUMIF(BetFlow!B:B,B184,BetFlow!J:J)</f>
        <v>39.218900000000005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SUMIFS(base[L/P Líquido],base[Data],Extrato!$B184,base[Método],Extrato!M$3)</f>
        <v>0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>SUM(C184:AO184)</f>
        <v>4258.7290999999996</v>
      </c>
      <c r="AR184" s="2">
        <f t="shared" ref="AR184:AR185" si="12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0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>
      <c r="B185" s="33">
        <v>46175</v>
      </c>
      <c r="C185" s="2">
        <f t="shared" si="11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Líquido],base[Data],Extrato!$B185,base[Método],Extrato!E$3,base[Exchange],"Fulltbet")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SUMIF(BetFlow!B:B,B185,BetFlow!J:J)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SUMIFS(base[L/P Líquido],base[Data],Extrato!$B185,base[Método],Extrato!M$3)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38.200000000000003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>SUM(C185:AO185)</f>
        <v>4296.6990999999989</v>
      </c>
      <c r="AR185" s="2">
        <f t="shared" si="12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0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>
      <c r="B186" s="33">
        <v>46176</v>
      </c>
      <c r="C186" s="2">
        <f t="shared" ref="C186:C190" si="13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Líquido],base[Data],Extrato!$B186,base[Método],Extrato!E$3,base[Exchange],"Fulltbet")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SUMIF(BetFlow!B:B,B186,BetFlow!J:J)</f>
        <v>23.6174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SUMIFS(base[L/P Líquido],base[Data],Extrato!$B186,base[Método],Extrato!M$3)</f>
        <v>0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>SUM(C186:AO186)</f>
        <v>4320.316499999999</v>
      </c>
      <c r="AR186" s="2">
        <f t="shared" ref="AR186:AR190" si="14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0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>
      <c r="B187" s="33">
        <v>46177</v>
      </c>
      <c r="C187" s="2">
        <f t="shared" si="13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Líquido],base[Data],Extrato!$B187,base[Método],Extrato!E$3,base[Exchange],"Fulltbet")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SUMIF(BetFlow!B:B,B187,BetFlow!J:J)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SUMIFS(base[L/P Líquido],base[Data],Extrato!$B187,base[Método],Extrato!M$3)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38.200000000000003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>SUM(C187:AO187)</f>
        <v>4358.2964999999986</v>
      </c>
      <c r="AR187" s="2">
        <f t="shared" si="14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0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>
      <c r="B188" s="33">
        <v>46178</v>
      </c>
      <c r="C188" s="2">
        <f t="shared" si="13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Líquido],base[Data],Extrato!$B188,base[Método],Extrato!E$3,base[Exchange],"Fulltbet")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SUMIF(BetFlow!B:B,B188,BetFlow!J:J)-4.64</f>
        <v>-15.899999999999999</v>
      </c>
      <c r="J188" s="2">
        <f>SUMIFS(base[L/P Líquido],base[Data],Extrato!$B188,base[Método],Extrato!J$3)</f>
        <v>0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SUMIFS(base[L/P Líquido],base[Data],Extrato!$B188,base[Método],Extrato!M$3)</f>
        <v>0</v>
      </c>
      <c r="N188" s="2">
        <f>SUMIFS(base[L/P Líquido],base[Data],Extrato!$B188,base[Método],Extrato!N$3)</f>
        <v>12.32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>SUM(C188:AO188)</f>
        <v>4232.9664999999986</v>
      </c>
      <c r="AR188" s="2">
        <f t="shared" si="14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0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>
      <c r="B189" s="33">
        <v>46179</v>
      </c>
      <c r="C189" s="2">
        <f t="shared" si="13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Líquido],base[Data],Extrato!$B189,base[Método],Extrato!E$3,base[Exchange],"Fulltbet")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SUMIF(BetFlow!B:B,B189,BetFlow!J:J)</f>
        <v>44.793299999999988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SUMIFS(base[L/P Líquido],base[Data],Extrato!$B189,base[Método],Extrato!M$3)</f>
        <v>0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40.340000000000003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>SUM(C189:AO189)</f>
        <v>4312.8997999999992</v>
      </c>
      <c r="AR189" s="2">
        <f t="shared" si="14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0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>
      <c r="B190" s="33">
        <v>46180</v>
      </c>
      <c r="C190" s="2">
        <f t="shared" si="13"/>
        <v>4312.8997999999992</v>
      </c>
      <c r="D190" s="2">
        <f>SUMIFS(base[L/P Líquido],base[Data],Extrato!$B190,base[Método],Extrato!D$3)</f>
        <v>68.22</v>
      </c>
      <c r="E190" s="2">
        <f>SUMIFS(base[L/P Líquido],base[Data],Extrato!$B190,base[Método],Extrato!E$3,base[Exchange],"Fulltbet")</f>
        <v>0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SUMIF(BetFlow!B:B,B190,BetFlow!J:J)+4.64</f>
        <v>-14.93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SUMIFS(base[L/P Líquido],base[Data],Extrato!$B190,base[Método],Extrato!M$3)</f>
        <v>0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-99.99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>SUM(C190:AO190)</f>
        <v>4258.9397999999992</v>
      </c>
      <c r="AR190" s="2">
        <f t="shared" si="14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0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>
      <c r="B191" s="33">
        <v>46181</v>
      </c>
      <c r="C191" s="2">
        <f t="shared" ref="C191" si="15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Líquido],base[Data],Extrato!$B191,base[Método],Extrato!E$3,base[Exchange],"Fulltbet")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SUMIF(BetFlow!B:B,B191,BetFlow!J:J)</f>
        <v>0</v>
      </c>
      <c r="J191" s="2">
        <f>SUMIFS(base[L/P Líquido],base[Data],Extrato!$B191,base[Método],Extrato!J$3)</f>
        <v>0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SUMIFS(base[L/P Líquido],base[Data],Extrato!$B191,base[Método],Extrato!M$3)</f>
        <v>0</v>
      </c>
      <c r="N191" s="2">
        <f>SUMIFS(base[L/P Líquido],base[Data],Extrato!$B191,base[Método],Extrato!N$3)</f>
        <v>16.16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30.28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>SUM(C191:AO191)</f>
        <v>4300.1197999999995</v>
      </c>
      <c r="AR191" s="2">
        <f t="shared" ref="AR191" si="16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0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>
      <c r="B192" s="33">
        <v>46182</v>
      </c>
      <c r="C192" s="2">
        <f t="shared" ref="C192:C194" si="17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Líquido],base[Data],Extrato!$B192,base[Método],Extrato!E$3,base[Exchange],"Fulltbet")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SUMIF(BetFlow!B:B,B192,BetFlow!J:J)</f>
        <v>-2.61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SUMIFS(base[L/P Líquido],base[Data],Extrato!$B192,base[Método],Extrato!M$3)</f>
        <v>0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53.53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>SUM(C192:AO192)</f>
        <v>4166.6597999999994</v>
      </c>
      <c r="AR192" s="2">
        <f t="shared" ref="AR192:AR194" si="18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0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>
      <c r="B193" s="33">
        <v>46183</v>
      </c>
      <c r="C193" s="2">
        <f t="shared" si="17"/>
        <v>4166.6597999999994</v>
      </c>
      <c r="D193" s="2">
        <f>SUMIFS(base[L/P Líquido],base[Data],Extrato!$B193,base[Método],Extrato!D$3)</f>
        <v>89.77</v>
      </c>
      <c r="E193" s="2">
        <f>SUMIFS(base[L/P Líquido],base[Data],Extrato!$B193,base[Método],Extrato!E$3,base[Exchange],"Fulltbet")</f>
        <v>0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37.722499999999997</v>
      </c>
      <c r="H193" s="2">
        <f>SUMIFS(base[L/P Líquido],base[Data],Extrato!$B193,base[Método],Extrato!H$3)</f>
        <v>0</v>
      </c>
      <c r="I193" s="2">
        <f>SUMIF(BetFlow!B:B,B193,BetFlow!J:J)</f>
        <v>2.9224000000000006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SUMIFS(base[L/P Líquido],base[Data],Extrato!$B193,base[Método],Extrato!M$3)</f>
        <v>0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-41.08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>SUM(C193:AO193)</f>
        <v>4284.2786000000006</v>
      </c>
      <c r="AR193" s="2">
        <f t="shared" si="18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0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>
      <c r="B194" s="33">
        <v>46184</v>
      </c>
      <c r="C194" s="2">
        <f t="shared" si="17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Líquido],base[Data],Extrato!$B194,base[Método],Extrato!E$3,base[Exchange],"Fulltbet")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SUMIF(BetFlow!B:B,B194,BetFlow!J:J)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SUMIFS(base[L/P Líquido],base[Data],Extrato!$B194,base[Método],Extrato!M$3)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22.51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76.400000000000006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>SUM(C194:AO194)</f>
        <v>4437.2085999999999</v>
      </c>
      <c r="AR194" s="2">
        <f t="shared" si="18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0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>
      <c r="B195" s="33">
        <v>46185</v>
      </c>
      <c r="C195" s="2">
        <f t="shared" ref="C195:C196" si="19">AP194</f>
        <v>4437.2085999999999</v>
      </c>
      <c r="D195" s="2">
        <f>SUMIFS(base[L/P Líquido],base[Data],Extrato!$B195,base[Método],Extrato!D$3)</f>
        <v>0</v>
      </c>
      <c r="E195" s="2">
        <f>SUMIFS(base[L/P Líquido],base[Data],Extrato!$B195,base[Método],Extrato!E$3,base[Exchange],"Fulltbet")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SUMIF(BetFlow!B:B,B195,BetFlow!J:J)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35.130000000000003</v>
      </c>
      <c r="L195" s="2">
        <f>SUMIFS(base[L/P Líquido],base[Data],Extrato!$B195,base[Método],Extrato!L$3)</f>
        <v>0</v>
      </c>
      <c r="M195" s="2">
        <f>SUMIFS(base[L/P Líquido],base[Data],Extrato!$B195,base[Método],Extrato!M$3)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65.710000000000008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152.80000000000001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>SUM(C195:AO195)</f>
        <v>5594.4468500000012</v>
      </c>
      <c r="AR195" s="2">
        <f t="shared" ref="AR195:AR196" si="20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0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>
      <c r="B196" s="33">
        <v>46186</v>
      </c>
      <c r="C196" s="2">
        <f t="shared" si="19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Líquido],base[Data],Extrato!$B196,base[Método],Extrato!E$3,base[Exchange],"Fulltbet")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54.8</v>
      </c>
      <c r="H196" s="2">
        <f>SUMIFS(base[L/P Líquido],base[Data],Extrato!$B196,base[Método],Extrato!H$3)</f>
        <v>0</v>
      </c>
      <c r="I196" s="2">
        <f>SUMIF(BetFlow!B:B,B196,BetFlow!J:J)</f>
        <v>0</v>
      </c>
      <c r="J196" s="2">
        <f>SUMIFS(base[L/P Líquido],base[Data],Extrato!$B196,base[Método],Extrato!J$3)</f>
        <v>0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SUMIFS(base[L/P Líquido],base[Data],Extrato!$B196,base[Método],Extrato!M$3)</f>
        <v>0</v>
      </c>
      <c r="N196" s="2">
        <f>SUMIFS(base[L/P Líquido],base[Data],Extrato!$B196,base[Método],Extrato!N$3)</f>
        <v>36.39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0.27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8.17</v>
      </c>
      <c r="AB196" s="2">
        <f>SUMIFS(base[L/P Líquido],base[Data],Extrato!$B196,base[Método],Extrato!AB$3)</f>
        <v>76.400000000000006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>SUM(C196:AO196)</f>
        <v>5599.5968500000017</v>
      </c>
      <c r="AR196" s="2">
        <f t="shared" si="20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0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>
      <c r="B197" s="33">
        <v>46187</v>
      </c>
      <c r="C197" s="2">
        <f t="shared" ref="C197" si="21">AP196</f>
        <v>5599.5968500000017</v>
      </c>
      <c r="D197" s="2">
        <f>SUMIFS(base[L/P Líquido],base[Data],Extrato!$B197,base[Método],Extrato!D$3)</f>
        <v>68.22</v>
      </c>
      <c r="E197" s="2">
        <f>SUMIFS(base[L/P Líquido],base[Data],Extrato!$B197,base[Método],Extrato!E$3,base[Exchange],"Fulltbet")</f>
        <v>102.8141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84.89</v>
      </c>
      <c r="H197" s="2">
        <f>SUMIFS(base[L/P Líquido],base[Data],Extrato!$B197,base[Método],Extrato!H$3)</f>
        <v>0</v>
      </c>
      <c r="I197" s="2">
        <f>SUMIF(BetFlow!B:B,B197,BetFlow!J:J)</f>
        <v>-7.1499999999999995</v>
      </c>
      <c r="J197" s="2">
        <f>SUMIFS(base[L/P Líquido],base[Data],Extrato!$B197,base[Método],Extrato!J$3)</f>
        <v>0</v>
      </c>
      <c r="K197" s="2">
        <f>SUMIFS(base[L/P Líquido],base[Data],Extrato!$B197,base[Método],Extrato!K$3)</f>
        <v>62.69</v>
      </c>
      <c r="L197" s="2">
        <f>SUMIFS(base[L/P Líquido],base[Data],Extrato!$B197,base[Método],Extrato!L$3)</f>
        <v>0</v>
      </c>
      <c r="M197" s="2">
        <f>SUMIFS(base[L/P Líquido],base[Data],Extrato!$B197,base[Método],Extrato!M$3)</f>
        <v>0</v>
      </c>
      <c r="N197" s="2">
        <f>SUMIFS(base[L/P Líquido],base[Data],Extrato!$B197,base[Método],Extrato!N$3)</f>
        <v>50.55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86.68</v>
      </c>
      <c r="AB197" s="2">
        <f>SUMIFS(base[L/P Líquido],base[Data],Extrato!$B197,base[Método],Extrato!AB$3)</f>
        <v>-27.399999999999991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>SUM(C197:AO197)</f>
        <v>6014.2096500000016</v>
      </c>
      <c r="AR197" s="2">
        <f t="shared" ref="AR197" si="22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0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>
      <c r="B198" s="33">
        <v>46188</v>
      </c>
      <c r="C198" s="2">
        <f t="shared" ref="C198:C199" si="23">AP197</f>
        <v>6014.2096500000016</v>
      </c>
      <c r="D198" s="2">
        <f>SUMIFS(base[L/P Líquido],base[Data],Extrato!$B198,base[Método],Extrato!D$3)</f>
        <v>68.22</v>
      </c>
      <c r="E198" s="2">
        <f>SUMIFS(base[L/P Líquido],base[Data],Extrato!$B198,base[Método],Extrato!E$3,base[Exchange],"Fulltbet")</f>
        <v>9.3000000000000007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SUMIF(BetFlow!B:B,B198,BetFlow!J:J)</f>
        <v>-5.16</v>
      </c>
      <c r="J198" s="2">
        <f>SUMIFS(base[L/P Líquido],base[Data],Extrato!$B198,base[Método],Extrato!J$3)</f>
        <v>0</v>
      </c>
      <c r="K198" s="2">
        <f>SUMIFS(base[L/P Líquido],base[Data],Extrato!$B198,base[Método],Extrato!K$3)</f>
        <v>29.33</v>
      </c>
      <c r="L198" s="2">
        <f>SUMIFS(base[L/P Líquido],base[Data],Extrato!$B198,base[Método],Extrato!L$3)</f>
        <v>0</v>
      </c>
      <c r="M198" s="2">
        <f>SUMIFS(base[L/P Líquido],base[Data],Extrato!$B198,base[Método],Extrato!M$3)</f>
        <v>0</v>
      </c>
      <c r="N198" s="2">
        <f>SUMIFS(base[L/P Líquido],base[Data],Extrato!$B198,base[Método],Extrato!N$3)</f>
        <v>54.969799999999992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36.159999999999997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35.7361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8.42</v>
      </c>
      <c r="AB198" s="2">
        <f>SUMIFS(base[L/P Líquido],base[Data],Extrato!$B198,base[Método],Extrato!AB$3)</f>
        <v>71.000000000000014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>SUM(C198:AO198)</f>
        <v>5917.1655500000015</v>
      </c>
      <c r="AR198" s="2">
        <f t="shared" ref="AR198:AR199" si="24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0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>
      <c r="B199" s="844">
        <v>46189</v>
      </c>
      <c r="C199" s="845">
        <f t="shared" si="23"/>
        <v>5917.1655500000015</v>
      </c>
      <c r="D199" s="845">
        <f>SUMIFS(base[L/P Líquido],base[Data],Extrato!$B199,base[Método],Extrato!D$3)</f>
        <v>-476.84000000000003</v>
      </c>
      <c r="E199" s="2">
        <f>SUMIFS(base[L/P Líquido],base[Data],Extrato!$B199,base[Método],Extrato!E$3,base[Exchange],"Fulltbet")</f>
        <v>24.65</v>
      </c>
      <c r="F199" s="845">
        <f>SUMIFS(base[L/P Líquido],base[Data],Extrato!$B199,base[Método],Extrato!F$3)</f>
        <v>1.53</v>
      </c>
      <c r="G199" s="845">
        <f>SUMIFS(base[L/P Líquido],base[Data],Extrato!$B199,base[Método],Extrato!G$3)</f>
        <v>0</v>
      </c>
      <c r="H199" s="845">
        <f>SUMIFS(base[L/P Líquido],base[Data],Extrato!$B199,base[Método],Extrato!H$3)</f>
        <v>0</v>
      </c>
      <c r="I199" s="845">
        <f>SUMIF(BetFlow!B:B,B199,BetFlow!J:J)</f>
        <v>0</v>
      </c>
      <c r="J199" s="845">
        <f>SUMIFS(base[L/P Líquido],base[Data],Extrato!$B199,base[Método],Extrato!J$3)</f>
        <v>0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SUMIFS(base[L/P Líquido],base[Data],Extrato!$B199,base[Método],Extrato!M$3)</f>
        <v>0</v>
      </c>
      <c r="N199" s="845">
        <f>SUMIFS(base[L/P Líquido],base[Data],Extrato!$B199,base[Método],Extrato!N$3)</f>
        <v>59.992000000000004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0</v>
      </c>
      <c r="Y199" s="845">
        <f>SUMIFS(base[L/P Líquido],base[Data],Extrato!$B199,base[Método],Extrato!Y$3)</f>
        <v>32.135749999999994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0</v>
      </c>
      <c r="AB199" s="845">
        <f>SUMIFS(base[L/P Líquido],base[Data],Extrato!$B199,base[Método],Extrato!AB$3)</f>
        <v>-409.11999999999995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>SUM(C199:AO199)</f>
        <v>4929.6533000000018</v>
      </c>
      <c r="AQ199" s="846"/>
      <c r="AR199" s="845">
        <f t="shared" si="24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0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>
      <c r="B200" s="844">
        <v>46190</v>
      </c>
      <c r="C200" s="845">
        <f t="shared" ref="C200" si="25">AP199</f>
        <v>4929.6533000000018</v>
      </c>
      <c r="D200" s="845">
        <f>SUMIFS(base[L/P Líquido],base[Data],Extrato!$B200,base[Método],Extrato!D$3)</f>
        <v>0</v>
      </c>
      <c r="E200" s="2">
        <f>SUMIFS(base[L/P Líquido],base[Data],Extrato!$B200,base[Método],Extrato!E$3,base[Exchange],"Fulltbet")</f>
        <v>76.05</v>
      </c>
      <c r="F200" s="845">
        <f>SUMIFS(base[L/P Líquido],base[Data],Extrato!$B200,base[Método],Extrato!F$3)</f>
        <v>0</v>
      </c>
      <c r="G200" s="845">
        <f>SUMIFS(base[L/P Líquido],base[Data],Extrato!$B200,base[Método],Extrato!G$3)</f>
        <v>0</v>
      </c>
      <c r="H200" s="845">
        <f>SUMIFS(base[L/P Líquido],base[Data],Extrato!$B200,base[Método],Extrato!H$3)</f>
        <v>0</v>
      </c>
      <c r="I200" s="845">
        <f>SUMIF(BetFlow!B:B,B200,BetFlow!J:J)</f>
        <v>0</v>
      </c>
      <c r="J200" s="845">
        <f>SUMIFS(base[L/P Líquido],base[Data],Extrato!$B200,base[Método],Extrato!J$3)</f>
        <v>0</v>
      </c>
      <c r="K200" s="845">
        <f>SUMIFS(base[L/P Líquido],base[Data],Extrato!$B200,base[Método],Extrato!K$3)</f>
        <v>33.21</v>
      </c>
      <c r="L200" s="845">
        <f>SUMIFS(base[L/P Líquido],base[Data],Extrato!$B200,base[Método],Extrato!L$3)</f>
        <v>0</v>
      </c>
      <c r="M200" s="845">
        <f>SUMIFS(base[L/P Líquido],base[Data],Extrato!$B200,base[Método],Extrato!M$3,base[Exchange],"Fulltbet")</f>
        <v>0</v>
      </c>
      <c r="N200" s="845">
        <f>SUMIFS(base[L/P Líquido],base[Data],Extrato!$B200,base[Método],Extrato!N$3,base[Exchange],"Fulltbet")</f>
        <v>22.23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</v>
      </c>
      <c r="Y200" s="845">
        <f>SUMIFS(base[L/P Líquido],base[Data],Extrato!$B200,base[Método],Extrato!Y$3)</f>
        <v>0.2</v>
      </c>
      <c r="Z200" s="845">
        <f>SUMIFS(base[L/P Líquido],base[Data],Extrato!$B200,base[Método],Extrato!Z$3)</f>
        <v>0</v>
      </c>
      <c r="AA200" s="845">
        <f>SUMIFS(base[L/P Líquido],base[Data],Extrato!$B200,base[Método],Extrato!AA$3)</f>
        <v>32.949999999999996</v>
      </c>
      <c r="AB200" s="845">
        <f>SUMIFS(base[L/P Líquido],base[Data],Extrato!$B200,base[Método],Extrato!AB$3)</f>
        <v>-238.92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>SUM(C200:AO200)</f>
        <v>4855.3733000000011</v>
      </c>
      <c r="AQ200" s="846"/>
      <c r="AR200" s="845">
        <f t="shared" ref="AR200" si="26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0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>
      <c r="B201" s="844">
        <v>46191</v>
      </c>
      <c r="C201" s="845">
        <f t="shared" ref="C201:C204" si="27">AP200</f>
        <v>4855.3733000000011</v>
      </c>
      <c r="D201" s="845">
        <f>SUMIFS(base[L/P Líquido],base[Data],Extrato!$B201,base[Método],Extrato!D$3)</f>
        <v>63.67</v>
      </c>
      <c r="E201" s="2">
        <f>SUMIFS(base[L/P Líquido],base[Data],Extrato!$B201,base[Método],Extrato!E$3,base[Exchange],"Fulltbet")</f>
        <v>70.775049999999993</v>
      </c>
      <c r="F201" s="845">
        <f>SUMIFS(base[L/P Líquido],base[Data],Extrato!$B201,base[Método],Extrato!F$3)</f>
        <v>10.65</v>
      </c>
      <c r="G201" s="845">
        <f>SUMIFS(base[L/P Líquido],base[Data],Extrato!$B201,base[Método],Extrato!G$3)</f>
        <v>0</v>
      </c>
      <c r="H201" s="845">
        <f>SUMIFS(base[L/P Líquido],base[Data],Extrato!$B201,base[Método],Extrato!H$3)</f>
        <v>0</v>
      </c>
      <c r="I201" s="845">
        <f>SUMIF(BetFlow!B:B,B201,BetFlow!J:J)</f>
        <v>-29.589999999999996</v>
      </c>
      <c r="J201" s="845">
        <f>SUMIFS(base[L/P Líquido],base[Data],Extrato!$B201,base[Método],Extrato!J$3)</f>
        <v>0</v>
      </c>
      <c r="K201" s="845">
        <f>SUMIFS(base[L/P Líquido],base[Data],Extrato!$B201,base[Método],Extrato!K$3)</f>
        <v>0</v>
      </c>
      <c r="L201" s="845">
        <f>SUMIFS(base[L/P Líquido],base[Data],Extrato!$B201,base[Método],Extrato!L$3)</f>
        <v>0</v>
      </c>
      <c r="M201" s="845">
        <f>SUMIFS(base[L/P Líquido],base[Data],Extrato!$B201,base[Método],Extrato!M$3,base[Exchange],"Fulltbet")</f>
        <v>0</v>
      </c>
      <c r="N201" s="845">
        <f>SUMIFS(base[L/P Líquido],base[Data],Extrato!$B201,base[Método],Extrato!N$3,base[Exchange],"Fulltbet")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20.100000000000001</v>
      </c>
      <c r="W201" s="845">
        <f>SUMIFS(base[L/P Líquido],base[Data],Extrato!$B201,base[Método],Extrato!W$3)</f>
        <v>0</v>
      </c>
      <c r="X201" s="845">
        <f>SUMIFS(base[L/P Líquido],base[Data],Extrato!$B201,base[Método],Extrato!X$3)</f>
        <v>0</v>
      </c>
      <c r="Y201" s="845">
        <f>SUMIFS(base[L/P Líquido],base[Data],Extrato!$B201,base[Método],Extrato!Y$3,base[Exchange],"Fulltbet")</f>
        <v>70.010000000000005</v>
      </c>
      <c r="Z201" s="845">
        <f>SUMIFS(base[L/P Líquido],base[Data],Extrato!$B201,base[Método],Extrato!Z$3,base[Exchange],"Fulltbet")</f>
        <v>0</v>
      </c>
      <c r="AA201" s="845">
        <f>SUMIFS(base[L/P Líquido],base[Data],Extrato!$B201,base[Método],Extrato!AA$3,base[Exchange],"Fulltbet")</f>
        <v>-14.82</v>
      </c>
      <c r="AB201" s="845">
        <f>SUMIFS(base[L/P Líquido],base[Data],Extrato!$B201,base[Método],Extrato!AB$3)</f>
        <v>-5.3999999999999915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>SUM(C201:AO201)</f>
        <v>5138.9581500000022</v>
      </c>
      <c r="AQ201" s="846"/>
      <c r="AR201" s="845">
        <f t="shared" ref="AR201:AR204" si="28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0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>
      <c r="B202" s="33">
        <v>46192</v>
      </c>
      <c r="C202" s="2">
        <f t="shared" si="27"/>
        <v>5138.9581500000022</v>
      </c>
      <c r="D202" s="2">
        <f>SUMIFS(base[L/P Líquido],base[Data],Extrato!$B202,base[Método],Extrato!D$3)</f>
        <v>-244.94000000000003</v>
      </c>
      <c r="E202" s="2">
        <f>SUMIFS(base[L/P Líquido],base[Data],Extrato!$B202,base[Método],Extrato!E$3,base[Exchange],"Fulltbet")</f>
        <v>71.759999999999991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Líquido],base[Data],Extrato!$B202,base[Método],Extrato!G$3)</f>
        <v>0</v>
      </c>
      <c r="H202" s="2">
        <f>SUMIFS(base[L/P Líquido],base[Data],Extrato!$B202,base[Método],Extrato!H$3)</f>
        <v>0</v>
      </c>
      <c r="I202" s="2">
        <f>SUMIF(BetFlow!B:B,B202,BetFlow!J:J)</f>
        <v>0</v>
      </c>
      <c r="J202" s="2">
        <f>SUMIFS(base[L/P Líquido],base[Data],Extrato!$B202,base[Método],Extrato!J$3)</f>
        <v>0</v>
      </c>
      <c r="K202" s="2">
        <f>SUMIFS(base[L/P Líquido],base[Data],Extrato!$B202,base[Método],Extrato!K$3)</f>
        <v>0</v>
      </c>
      <c r="L202" s="2">
        <f>SUMIFS(base[L/P Líquido],base[Data],Extrato!$B202,base[Método],Extrato!L$3)</f>
        <v>0</v>
      </c>
      <c r="M202" s="2">
        <f>SUMIFS(base[L/P Líquido],base[Data],Extrato!$B202,base[Método],Extrato!M$3,base[Exchange],"Fulltbet")</f>
        <v>0</v>
      </c>
      <c r="N202" s="2">
        <f>SUMIFS(base[L/P Líquido],base[Data],Extrato!$B202,base[Método],Extrato!N$3,base[Exchange],"Fulltbet")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0</v>
      </c>
      <c r="Y202" s="2">
        <f>SUMIFS(base[L/P Líquido],base[Data],Extrato!$B202,base[Método],Extrato!Y$3,base[Exchange],"Fulltbet")</f>
        <v>66.86</v>
      </c>
      <c r="Z202" s="2">
        <f>SUMIFS(base[L/P Líquido],base[Data],Extrato!$B202,base[Método],Extrato!Z$3,base[Exchange],"Fulltbet")</f>
        <v>0</v>
      </c>
      <c r="AA202" s="2">
        <f>SUMIFS(base[L/P Líquido],base[Data],Extrato!$B202,base[Método],Extrato!AA$3,base[Exchange],"Fulltbet")</f>
        <v>-0.92</v>
      </c>
      <c r="AB202" s="2">
        <f>SUMIFS(base[L/P Líquido],base[Data],Extrato!$B202,base[Método],Extrato!AB$3)</f>
        <v>-239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>SUM(C202:AO202)</f>
        <v>4949.9200000000019</v>
      </c>
      <c r="AR202" s="2">
        <f t="shared" si="28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0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>
      <c r="B203" s="33">
        <v>46193</v>
      </c>
      <c r="C203" s="2">
        <f t="shared" si="27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Líquido],base[Data],Extrato!$B203,base[Método],Extrato!E$3,base[Exchange],"Fulltbet")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Líquido],base[Data],Extrato!$B203,base[Método],Extrato!G$3)</f>
        <v>0</v>
      </c>
      <c r="H203" s="2">
        <f>SUMIFS(base[L/P Líquido],base[Data],Extrato!$B203,base[Método],Extrato!H$3)</f>
        <v>0</v>
      </c>
      <c r="I203" s="2">
        <f>SUMIF(BetFlow!B:B,B203,BetFlow!J:J)</f>
        <v>0</v>
      </c>
      <c r="J203" s="2">
        <f>SUMIFS(base[L/P Líquido],base[Data],Extrato!$B203,base[Método],Extrato!J$3)</f>
        <v>0</v>
      </c>
      <c r="K203" s="2">
        <f>SUMIFS(base[L/P Líquido],base[Data],Extrato!$B203,base[Método],Extrato!K$3)</f>
        <v>0</v>
      </c>
      <c r="L203" s="2">
        <f>SUMIFS(base[L/P Líquido],base[Data],Extrato!$B203,base[Método],Extrato!L$3)</f>
        <v>0</v>
      </c>
      <c r="M203" s="2">
        <f>SUMIFS(base[L/P Líquido],base[Data],Extrato!$B203,base[Método],Extrato!M$3,base[Exchange],"Fulltbet")</f>
        <v>0</v>
      </c>
      <c r="N203" s="2">
        <f>SUMIFS(base[L/P Líquido],base[Data],Extrato!$B203,base[Método],Extrato!N$3,base[Exchange],"Fulltbet")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19.099999999999998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0</v>
      </c>
      <c r="Y203" s="2">
        <f>SUMIFS(base[L/P Líquido],base[Data],Extrato!$B203,base[Método],Extrato!Y$3,base[Exchange],"Fulltbet")</f>
        <v>39.97</v>
      </c>
      <c r="Z203" s="2">
        <f>SUMIFS(base[L/P Líquido],base[Data],Extrato!$B203,base[Método],Extrato!Z$3,base[Exchange],"Fulltbet")</f>
        <v>0</v>
      </c>
      <c r="AA203" s="2">
        <f>SUMIFS(base[L/P Líquido],base[Data],Extrato!$B203,base[Método],Extrato!AA$3,base[Exchange],"Fulltbet")</f>
        <v>-13.480000000000006</v>
      </c>
      <c r="AB203" s="2">
        <f>SUMIFS(base[L/P Líquido],base[Data],Extrato!$B203,base[Método],Extrato!AB$3)</f>
        <v>-123.47999999999999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>SUM(C203:AO203)</f>
        <v>4993.1787500000037</v>
      </c>
      <c r="AR203" s="2">
        <f t="shared" si="28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0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>
      <c r="B204" s="33">
        <v>46194</v>
      </c>
      <c r="C204" s="2">
        <f t="shared" si="27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Líquido],base[Data],Extrato!$B204,base[Método],Extrato!E$3,base[Exchange],"Fulltbet")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-72.8</v>
      </c>
      <c r="H204" s="2">
        <f>SUMIFS(base[L/P Líquido],base[Data],Extrato!$B204,base[Método],Extrato!H$3)</f>
        <v>0</v>
      </c>
      <c r="I204" s="2">
        <f>SUMIF(BetFlow!B:B,B204,BetFlow!J:J)</f>
        <v>0</v>
      </c>
      <c r="J204" s="2">
        <f>SUMIFS(base[L/P Líquido],base[Data],Extrato!$B204,base[Método],Extrato!J$3)</f>
        <v>0</v>
      </c>
      <c r="K204" s="2">
        <f>SUMIFS(base[L/P Líquido],base[Data],Extrato!$B204,base[Método],Extrato!K$3)</f>
        <v>0</v>
      </c>
      <c r="L204" s="2">
        <f>SUMIFS(base[L/P Líquido],base[Data],Extrato!$B204,base[Método],Extrato!L$3)</f>
        <v>0</v>
      </c>
      <c r="M204" s="2">
        <f>SUMIFS(base[L/P Líquido],base[Data],Extrato!$B204,base[Método],Extrato!M$3,base[Exchange],"Fulltbet")</f>
        <v>0</v>
      </c>
      <c r="N204" s="2">
        <f>SUMIFS(base[L/P Líquido],base[Data],Extrato!$B204,base[Método],Extrato!N$3,base[Exchange],"Fulltbet")</f>
        <v>-77.77000000000001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0</v>
      </c>
      <c r="AA204" s="2">
        <f>SUMIFS(base[L/P Líquido],base[Data],Extrato!$B204,base[Método],Extrato!AA$3,base[Exchange],"Fulltbet")</f>
        <v>-348.03</v>
      </c>
      <c r="AB204" s="2">
        <f>SUMIFS(base[L/P Líquido],base[Data],Extrato!$B204,base[Método],Extrato!AB$3)</f>
        <v>-438.85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>SUM(C204:AO204)</f>
        <v>4673.8187500000031</v>
      </c>
      <c r="AR204" s="2">
        <f t="shared" si="28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0"/>
        <v>1170.3044073268488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>
      <c r="B205" s="33">
        <v>46195</v>
      </c>
      <c r="C205" s="2">
        <f t="shared" ref="C205:C206" si="29">AP204</f>
        <v>4673.8187500000031</v>
      </c>
      <c r="D205" s="2">
        <f>SUMIFS(base[L/P Líquido],base[Data],Extrato!$B205,base[Método],Extrato!D$3,base[Exchange],"Fulltbet")</f>
        <v>0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Líquido],base[Data],Extrato!$B205,base[Método],Extrato!G$3,base[Exchange],"Fulltbet")</f>
        <v>-46.370000000000005</v>
      </c>
      <c r="H205" s="2">
        <f>SUMIFS(base[L/P Líquido],base[Data],Extrato!$B205,base[Método],Extrato!H$3)</f>
        <v>0</v>
      </c>
      <c r="I205" s="2">
        <f>SUMIF(BetFlow!B:B,B205,BetFlow!J:J)</f>
        <v>0</v>
      </c>
      <c r="J205" s="2">
        <f>SUMIFS(base[L/P Líquido],base[Data],Extrato!$B205,base[Método],Extrato!J$3)</f>
        <v>0</v>
      </c>
      <c r="K205" s="2">
        <f>SUMIFS(base[L/P Líquido],base[Data],Extrato!$B205,base[Método],Extrato!K$3)</f>
        <v>40.22</v>
      </c>
      <c r="L205" s="2">
        <f>SUMIFS(base[L/P Líquido],base[Data],Extrato!$B205,base[Método],Extrato!L$3,base[Exchange],"Fulltbet")</f>
        <v>0</v>
      </c>
      <c r="M205" s="2">
        <f>SUMIFS(base[L/P Líquido],base[Data],Extrato!$B205,base[Método],Extrato!M$3,base[Exchange],"Fulltbet")</f>
        <v>0</v>
      </c>
      <c r="N205" s="2">
        <f>SUMIFS(base[L/P Líquido],base[Data],Extrato!$B205,base[Método],Extrato!N$3,base[Exchange],"Fulltbet")</f>
        <v>16.25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Líquido],base[Data],Extrato!$B205,base[Método],Extrato!V$3,base[Exchange],"Fulltbet")</f>
        <v>15.92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23.5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>SUM(C205:AO205)</f>
        <v>4735.1989500000036</v>
      </c>
      <c r="AR205" s="2">
        <f t="shared" ref="AR205:AR206" si="30">BK204</f>
        <v>1170.3044073268488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0"/>
        <v>1218.9044073268487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>
      <c r="B206" s="33">
        <v>46196</v>
      </c>
      <c r="C206" s="2">
        <f t="shared" si="29"/>
        <v>4735.1989500000036</v>
      </c>
      <c r="D206" s="2">
        <f>SUMIFS(base[L/P Líquido],base[Data],Extrato!$B206,base[Método],Extrato!D$3,base[Exchange],"Fulltbet")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Líquido],base[Data],Extrato!$B206,base[Método],Extrato!G$3)</f>
        <v>0</v>
      </c>
      <c r="H206" s="2">
        <f>SUMIFS(base[L/P Líquido],base[Data],Extrato!$B206,base[Método],Extrato!H$3)</f>
        <v>0</v>
      </c>
      <c r="I206" s="2">
        <f>SUMIF(BetFlow!B:B,B206,BetFlow!J:J)</f>
        <v>0</v>
      </c>
      <c r="J206" s="2">
        <f>SUMIFS(base[L/P Líquido],base[Data],Extrato!$B206,base[Método],Extrato!J$3)</f>
        <v>0</v>
      </c>
      <c r="K206" s="2">
        <f>SUMIFS(base[L/P Líquido],base[Data],Extrato!$B206,base[Método],Extrato!K$3)</f>
        <v>0</v>
      </c>
      <c r="L206" s="2">
        <f>SUMIFS(base[L/P Líquido],base[Data],Extrato!$B206,base[Método],Extrato!L$3,base[Exchange],"Fulltbet")</f>
        <v>0</v>
      </c>
      <c r="M206" s="2">
        <f>SUMIFS(base[L/P Líquido],base[Data],Extrato!$B206,base[Método],Extrato!M$3,base[Exchange],"Fulltbet")</f>
        <v>0</v>
      </c>
      <c r="N206" s="2">
        <f>SUMIFS(base[L/P Líquido],base[Data],Extrato!$B206,base[Método],Extrato!N$3,base[Exchange],"Fulltbet")</f>
        <v>37.340000000000003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0</v>
      </c>
      <c r="AA206" s="2">
        <f>SUMIFS(base[L/P Líquido],base[Data],Extrato!$B206,base[Método],Extrato!AA$3,base[Exchange],"Fulltbet")</f>
        <v>34.46555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>SUM(C206:AO206)</f>
        <v>4838.8989500000034</v>
      </c>
      <c r="AR206" s="2">
        <f t="shared" si="30"/>
        <v>1218.9044073268487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0"/>
        <v>1346.2744073268489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1">SUM(BM206:BW206)</f>
        <v>326.7</v>
      </c>
    </row>
    <row r="207" spans="2:76" ht="15" customHeight="1">
      <c r="B207" s="33">
        <v>46197</v>
      </c>
      <c r="C207" s="2">
        <f t="shared" ref="C207" si="32">AP206</f>
        <v>4838.8989500000034</v>
      </c>
      <c r="D207" s="2">
        <f>SUMIFS(base[L/P Líquido],base[Data],Extrato!$B207,base[Método],Extrato!D$3,base[Exchange],"Fulltbet")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Líquido],base[Data],Extrato!$B207,base[Método],Extrato!G$3)</f>
        <v>0</v>
      </c>
      <c r="H207" s="2">
        <f>SUMIFS(base[L/P Líquido],base[Data],Extrato!$B207,base[Método],Extrato!H$3)</f>
        <v>0</v>
      </c>
      <c r="I207" s="2">
        <f>SUMIF(BetFlow!B:B,B207,BetFlow!J:J)</f>
        <v>0</v>
      </c>
      <c r="J207" s="2">
        <f>SUMIFS(base[L/P Líquido],base[Data],Extrato!$B207,base[Método],Extrato!J$3)</f>
        <v>0</v>
      </c>
      <c r="K207" s="2">
        <f>SUMIFS(base[L/P Líquido],base[Data],Extrato!$B207,base[Método],Extrato!K$3)</f>
        <v>0</v>
      </c>
      <c r="L207" s="2">
        <f>SUMIFS(base[L/P Líquido],base[Data],Extrato!$B207,base[Método],Extrato!L$3,base[Exchange],"Fulltbet")</f>
        <v>0</v>
      </c>
      <c r="M207" s="2">
        <f>SUMIFS(base[L/P Líquido],base[Data],Extrato!$B207,base[Método],Extrato!M$3,base[Exchange],"Fulltbet")</f>
        <v>0</v>
      </c>
      <c r="N207" s="2">
        <f>SUMIFS(base[L/P Líquido],base[Data],Extrato!$B207,base[Método],Extrato!N$3,base[Exchange],"Fulltbet")</f>
        <v>11.370000000000001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0</v>
      </c>
      <c r="AA207" s="2">
        <f>SUMIFS(base[L/P Líquido],base[Data],Extrato!$B207,base[Método],Extrato!AA$3,base[Exchange],"Fulltbet")</f>
        <v>-147.78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>SUM(C207:AO207)</f>
        <v>4787.3189500000035</v>
      </c>
      <c r="AR207" s="2">
        <f t="shared" ref="AR207" si="33">BK206</f>
        <v>1346.2744073268489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0"/>
        <v>1508.8844073268488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1"/>
        <v>376.08</v>
      </c>
    </row>
    <row r="208" spans="2:76" ht="15" customHeight="1">
      <c r="B208" s="33">
        <v>46198</v>
      </c>
      <c r="C208" s="2">
        <f t="shared" ref="C208" si="34">AP207</f>
        <v>4787.3189500000035</v>
      </c>
      <c r="D208" s="2">
        <f>SUMIFS(base[L/P Líquido],base[Data],Extrato!$B208,base[Método],Extrato!D$3,base[Exchange],"Fulltbet")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Líquido],base[Data],Extrato!$B208,base[Método],Extrato!G$3)</f>
        <v>0</v>
      </c>
      <c r="H208" s="2">
        <f>SUMIFS(base[L/P Líquido],base[Data],Extrato!$B208,base[Método],Extrato!H$3)</f>
        <v>0</v>
      </c>
      <c r="I208" s="2">
        <f>SUMIF(BetFlow!B:B,B208,BetFlow!J:J)</f>
        <v>0</v>
      </c>
      <c r="J208" s="2">
        <f>SUMIFS(base[L/P Líquido],base[Data],Extrato!$B208,base[Método],Extrato!J$3)</f>
        <v>0</v>
      </c>
      <c r="K208" s="2">
        <f>SUMIFS(base[L/P Líquido],base[Data],Extrato!$B208,base[Método],Extrato!K$3)</f>
        <v>0</v>
      </c>
      <c r="L208" s="2">
        <f>SUMIFS(base[L/P Líquido],base[Data],Extrato!$B208,base[Método],Extrato!L$3,base[Exchange],"Fulltbet")</f>
        <v>0</v>
      </c>
      <c r="M208" s="2">
        <f>SUMIFS(base[L/P Líquido],base[Data],Extrato!$B208,base[Método],Extrato!M$3,base[Exchange],"Fulltbet")</f>
        <v>0</v>
      </c>
      <c r="N208" s="2">
        <f>SUMIFS(base[L/P Líquido],base[Data],Extrato!$B208,base[Método],Extrato!N$3,base[Exchange],"Fulltbet")</f>
        <v>49.89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-81.8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>SUM(C208:AO208)</f>
        <v>4804.1989500000036</v>
      </c>
      <c r="AR208" s="2">
        <f t="shared" ref="AR208" si="35">BK207</f>
        <v>1508.8844073268488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0"/>
        <v>1508.8844073268488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1"/>
        <v>376.08</v>
      </c>
    </row>
    <row r="209" spans="2:76" ht="15" customHeight="1">
      <c r="B209" s="33">
        <v>46199</v>
      </c>
      <c r="C209" s="2">
        <f t="shared" ref="C209:C211" si="36">AP208</f>
        <v>4804.1989500000036</v>
      </c>
      <c r="D209" s="2">
        <f>SUMIFS(base[L/P Líquido],base[Data],Extrato!$B209,base[Método],Extrato!D$3,base[Exchange],"Fulltbet")</f>
        <v>-399.37</v>
      </c>
      <c r="E209" s="2">
        <f>SUMIFS(base[L/P Líquido],base[Data],Extrato!$B209,base[Método],Extrato!E$3,base[Exchange],"Fulltbet")</f>
        <v>0</v>
      </c>
      <c r="F209" s="2">
        <f>SUMIFS(base[L/P Líquido],base[Data],Extrato!$B209,base[Método],Extrato!F$3)</f>
        <v>2.6</v>
      </c>
      <c r="G209" s="2">
        <f>SUMIFS(base[L/P Líquido],base[Data],Extrato!$B209,base[Método],Extrato!G$3)</f>
        <v>27.28</v>
      </c>
      <c r="H209" s="2">
        <f>SUMIFS(base[L/P Líquido],base[Data],Extrato!$B209,base[Método],Extrato!H$3)</f>
        <v>0</v>
      </c>
      <c r="I209" s="2">
        <f>SUMIF(BetFlow!B:B,B209,BetFlow!J:J)</f>
        <v>-6.28</v>
      </c>
      <c r="J209" s="2">
        <f>SUMIFS(base[L/P Líquido],base[Data],Extrato!$B209,base[Método],Extrato!J$3)</f>
        <v>0</v>
      </c>
      <c r="K209" s="2">
        <f>SUMIFS(base[L/P Líquido],base[Data],Extrato!$B209,base[Método],Extrato!K$3)</f>
        <v>0</v>
      </c>
      <c r="L209" s="2">
        <f>SUMIFS(base[L/P Líquido],base[Data],Extrato!$B209,base[Método],Extrato!L$3,base[Exchange],"Fulltbet")</f>
        <v>0</v>
      </c>
      <c r="M209" s="2">
        <f>SUMIFS(base[L/P Líquido],base[Data],Extrato!$B209,base[Método],Extrato!M$3,base[Exchange],"Fulltbet")</f>
        <v>0</v>
      </c>
      <c r="N209" s="2">
        <f>SUMIFS(base[L/P Líquido],base[Data],Extrato!$B209,base[Método],Extrato!N$3,base[Exchange],"Fulltbet")</f>
        <v>50.83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0</v>
      </c>
      <c r="AA209" s="2">
        <f>SUMIFS(base[L/P Líquido],base[Data],Extrato!$B209,base[Método],Extrato!AA$3,base[Exchange],"Fulltbet")</f>
        <v>5.51</v>
      </c>
      <c r="AB209" s="2">
        <f>SUMIFS(base[L/P Líquido],base[Data],Extrato!$B209,base[Método],Extrato!AB$3)</f>
        <v>78.2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>SUM(C209:AO209)</f>
        <v>4385.8689500000037</v>
      </c>
      <c r="AR209" s="2">
        <f t="shared" ref="AR209:AR211" si="37">BK208</f>
        <v>1508.8844073268488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0"/>
        <v>1402.9927873268487</v>
      </c>
      <c r="BM209" s="2">
        <f t="shared" ref="BM209:BM211" si="38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1"/>
        <v>376.08</v>
      </c>
    </row>
    <row r="210" spans="2:76" ht="15" customHeight="1">
      <c r="B210" s="33">
        <v>46200</v>
      </c>
      <c r="C210" s="2">
        <f t="shared" si="36"/>
        <v>4385.8689500000037</v>
      </c>
      <c r="D210" s="2">
        <f>SUMIFS(base[L/P Líquido],base[Data],Extrato!$B210,base[Método],Extrato!D$3,base[Exchange],"Fulltbet")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Líquido],base[Data],Extrato!$B210,base[Método],Extrato!G$3)</f>
        <v>0</v>
      </c>
      <c r="H210" s="2">
        <f>SUMIFS(base[L/P Líquido],base[Data],Extrato!$B210,base[Método],Extrato!H$3)</f>
        <v>0</v>
      </c>
      <c r="I210" s="2">
        <f>SUMIF(BetFlow!B:B,B210,BetFlow!J:J)</f>
        <v>0</v>
      </c>
      <c r="J210" s="2">
        <f>SUMIFS(base[L/P Líquido],base[Data],Extrato!$B210,base[Método],Extrato!J$3)</f>
        <v>0</v>
      </c>
      <c r="K210" s="2">
        <f>SUMIFS(base[L/P Líquido],base[Data],Extrato!$B210,base[Método],Extrato!K$3)</f>
        <v>0</v>
      </c>
      <c r="L210" s="2">
        <f>SUMIFS(base[L/P Líquido],base[Data],Extrato!$B210,base[Método],Extrato!L$3,base[Exchange],"Fulltbet")</f>
        <v>0</v>
      </c>
      <c r="M210" s="2">
        <f>SUMIFS(base[L/P Líquido],base[Data],Extrato!$B210,base[Método],Extrato!M$3,base[Exchange],"Fulltbet")</f>
        <v>0</v>
      </c>
      <c r="N210" s="2">
        <f>SUMIFS(base[L/P Líquido],base[Data],Extrato!$B210,base[Método],Extrato!N$3,base[Exchange],"Fulltbet")</f>
        <v>127.11999999999999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0</v>
      </c>
      <c r="AA210" s="2">
        <f>SUMIFS(base[L/P Líquido],base[Data],Extrato!$B210,base[Método],Extrato!AA$3,base[Exchange],"Fulltbet")</f>
        <v>196.53000000000003</v>
      </c>
      <c r="AB210" s="2">
        <f>SUMIFS(base[L/P Líquido],base[Data],Extrato!$B210,base[Método],Extrato!AB$3)</f>
        <v>39.28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>SUM(C210:AO210)</f>
        <v>4767.8989500000034</v>
      </c>
      <c r="AR210" s="2">
        <f t="shared" si="37"/>
        <v>1402.9927873268487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0"/>
        <v>1370.6627873268485</v>
      </c>
      <c r="BM210" s="2">
        <f t="shared" si="38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1"/>
        <v>376.08</v>
      </c>
    </row>
    <row r="211" spans="2:76" ht="15" customHeight="1">
      <c r="B211" s="33">
        <v>46201</v>
      </c>
      <c r="C211" s="2">
        <f t="shared" si="36"/>
        <v>4767.8989500000034</v>
      </c>
      <c r="D211" s="2">
        <f>SUMIFS(base[L/P Líquido],base[Data],Extrato!$B211,base[Método],Extrato!D$3,base[Exchange],"Fulltbet")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Líquido],base[Data],Extrato!$B211,base[Método],Extrato!G$3)</f>
        <v>16.43</v>
      </c>
      <c r="H211" s="2">
        <f>SUMIFS(base[L/P Líquido],base[Data],Extrato!$B211,base[Método],Extrato!H$3)</f>
        <v>0</v>
      </c>
      <c r="I211" s="2">
        <f>SUMIF(BetFlow!B:B,B211,BetFlow!J:J)</f>
        <v>0</v>
      </c>
      <c r="J211" s="2">
        <f>SUMIFS(base[L/P Líquido],base[Data],Extrato!$B211,base[Método],Extrato!J$3)</f>
        <v>0</v>
      </c>
      <c r="K211" s="2">
        <f>SUMIFS(base[L/P Líquido],base[Data],Extrato!$B211,base[Método],Extrato!K$3)</f>
        <v>0</v>
      </c>
      <c r="L211" s="2">
        <f>SUMIFS(base[L/P Líquido],base[Data],Extrato!$B211,base[Método],Extrato!L$3,base[Exchange],"Fulltbet")</f>
        <v>0</v>
      </c>
      <c r="M211" s="2">
        <f>SUMIFS(base[L/P Líquido],base[Data],Extrato!$B211,base[Método],Extrato!M$3,base[Exchange],"Fulltbet")</f>
        <v>0</v>
      </c>
      <c r="N211" s="2">
        <f>SUMIFS(base[L/P Líquido],base[Data],Extrato!$B211,base[Método],Extrato!N$3,base[Exchange],"Fulltbet")</f>
        <v>-393.7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0</v>
      </c>
      <c r="AA211" s="2">
        <f>SUMIFS(base[L/P Líquido],base[Data],Extrato!$B211,base[Método],Extrato!AA$3,base[Exchange],"Fulltbet")</f>
        <v>-117.30999999999999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>SUM(C211:AO211)</f>
        <v>3989.8389500000044</v>
      </c>
      <c r="AR211" s="2">
        <f t="shared" si="37"/>
        <v>1370.6627873268485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0"/>
        <v>939.62278732684854</v>
      </c>
      <c r="BM211" s="2">
        <f t="shared" si="38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1"/>
        <v>400.51</v>
      </c>
    </row>
    <row r="212" spans="2:76" ht="15" customHeight="1">
      <c r="B212" s="33">
        <v>46202</v>
      </c>
      <c r="C212" s="2">
        <f t="shared" ref="C212" si="39">AP211</f>
        <v>3989.8389500000044</v>
      </c>
      <c r="D212" s="2">
        <f>SUMIFS(base[L/P Líquido],base[Data],Extrato!$B212,base[Método],Extrato!D$3,base[Exchange],"Fulltbet")</f>
        <v>79.58</v>
      </c>
      <c r="E212" s="2">
        <f>SUMIFS(base[L/P Líquido],base[Data],Extrato!$B212,base[Método],Extrato!E$3,base[Exchange],"Fulltbet")</f>
        <v>0</v>
      </c>
      <c r="F212" s="2">
        <f>SUMIFS(base[L/P Líquido],base[Data],Extrato!$B212,base[Método],Extrato!F$3)</f>
        <v>0</v>
      </c>
      <c r="G212" s="2">
        <f>SUMIFS(base[L/P Líquido],base[Data],Extrato!$B212,base[Método],Extrato!G$3)</f>
        <v>0</v>
      </c>
      <c r="H212" s="2">
        <f>SUMIFS(base[L/P Líquido],base[Data],Extrato!$B212,base[Método],Extrato!H$3)</f>
        <v>0</v>
      </c>
      <c r="I212" s="2">
        <f>SUMIF(BetFlow!B:B,B212,BetFlow!J:J)</f>
        <v>0</v>
      </c>
      <c r="J212" s="2">
        <f>SUMIFS(base[L/P Líquido],base[Data],Extrato!$B212,base[Método],Extrato!J$3)</f>
        <v>0</v>
      </c>
      <c r="K212" s="2">
        <f>SUMIFS(base[L/P Líquido],base[Data],Extrato!$B212,base[Método],Extrato!K$3)</f>
        <v>22.64</v>
      </c>
      <c r="L212" s="2">
        <f>SUMIFS(base[L/P Líquido],base[Data],Extrato!$B212,base[Método],Extrato!L$3,base[Exchange],"Fulltbet")</f>
        <v>0</v>
      </c>
      <c r="M212" s="2">
        <f>SUMIFS(base[L/P Líquido],base[Data],Extrato!$B212,base[Método],Extrato!M$3,base[Exchange],"Fulltbet")</f>
        <v>0</v>
      </c>
      <c r="N212" s="2">
        <f>SUMIFS(base[L/P Líquido],base[Data],Extrato!$B212,base[Método],Extrato!N$3,base[Exchange],"Fulltbet")</f>
        <v>72.44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0</v>
      </c>
      <c r="AA212" s="2">
        <f>SUMIFS(base[L/P Líquido],base[Data],Extrato!$B212,base[Método],Extrato!AA$3,base[Exchange],"Fulltbet")</f>
        <v>20.54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>SUM(C212:AO212)</f>
        <v>4185.0389500000038</v>
      </c>
      <c r="AR212" s="2">
        <f t="shared" ref="AR212" si="40">BK211</f>
        <v>939.62278732684854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0"/>
        <v>969.24278732684854</v>
      </c>
      <c r="BM212" s="2">
        <f t="shared" ref="BM212" si="41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1"/>
        <v>400.51</v>
      </c>
    </row>
    <row r="213" spans="2:76" ht="15" customHeight="1">
      <c r="B213" s="33">
        <v>46203</v>
      </c>
      <c r="C213" s="2">
        <f t="shared" ref="C213" si="42">AP212</f>
        <v>4185.0389500000038</v>
      </c>
      <c r="D213" s="2">
        <f>SUMIFS(base[L/P Líquido],base[Data],Extrato!$B213,base[Método],Extrato!D$3,base[Exchange],"Fulltbet")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Líquido],base[Data],Extrato!$B213,base[Método],Extrato!G$3)</f>
        <v>0</v>
      </c>
      <c r="H213" s="2">
        <f>SUMIFS(base[L/P Líquido],base[Data],Extrato!$B213,base[Método],Extrato!H$3)</f>
        <v>0</v>
      </c>
      <c r="I213" s="2">
        <f>SUMIF(BetFlow!B:B,B213,BetFlow!J:J)</f>
        <v>0</v>
      </c>
      <c r="J213" s="2">
        <f>SUMIFS(base[L/P Líquido],base[Data],Extrato!$B213,base[Método],Extrato!J$3)</f>
        <v>0</v>
      </c>
      <c r="K213" s="2">
        <f>SUMIFS(base[L/P Líquido],base[Data],Extrato!$B213,base[Método],Extrato!K$3)</f>
        <v>0</v>
      </c>
      <c r="L213" s="2">
        <f>SUMIFS(base[L/P Líquido],base[Data],Extrato!$B213,base[Método],Extrato!L$3,base[Exchange],"Fulltbet")</f>
        <v>0</v>
      </c>
      <c r="M213" s="2">
        <f>SUMIFS(base[L/P Líquido],base[Data],Extrato!$B213,base[Método],Extrato!M$3,base[Exchange],"Fulltbet")</f>
        <v>0</v>
      </c>
      <c r="N213" s="2">
        <f>SUMIFS(base[L/P Líquido],base[Data],Extrato!$B213,base[Método],Extrato!N$3,base[Exchange],"Fulltbet")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>SUM(C213:AO213)</f>
        <v>4287.4989500000047</v>
      </c>
      <c r="AR213" s="2">
        <f t="shared" ref="AR213" si="43">BK212</f>
        <v>969.24278732684854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0"/>
        <v>969.24278732684854</v>
      </c>
      <c r="BM213" s="2">
        <f t="shared" ref="BM213" si="44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1"/>
        <v>400.51</v>
      </c>
    </row>
    <row r="214" spans="2:76" ht="15" customHeight="1">
      <c r="B214" s="33">
        <v>46204</v>
      </c>
      <c r="C214" s="2">
        <f t="shared" ref="C214" si="45">AP213</f>
        <v>4287.4989500000047</v>
      </c>
      <c r="D214" s="2">
        <f>SUMIFS(base[L/P Líquido],base[Data],Extrato!$B214,base[Método],Extrato!D$3,base[Exchange],"Fulltbet")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Líquido],base[Data],Extrato!$B214,base[Método],Extrato!G$3)</f>
        <v>0</v>
      </c>
      <c r="H214" s="2">
        <f>SUMIFS(base[L/P Líquido],base[Data],Extrato!$B214,base[Método],Extrato!H$3)</f>
        <v>0</v>
      </c>
      <c r="I214" s="2">
        <f>SUMIF(BetFlow!B:B,B214,BetFlow!J:J)</f>
        <v>0</v>
      </c>
      <c r="J214" s="2">
        <f>SUMIFS(base[L/P Líquido],base[Data],Extrato!$B214,base[Método],Extrato!J$3)</f>
        <v>0</v>
      </c>
      <c r="K214" s="2">
        <f>SUMIFS(base[L/P Líquido],base[Data],Extrato!$B214,base[Método],Extrato!K$3)</f>
        <v>0</v>
      </c>
      <c r="L214" s="2">
        <f>SUMIFS(base[L/P Líquido],base[Data],Extrato!$B214,base[Método],Extrato!L$3,base[Exchange],"Fulltbet")</f>
        <v>0</v>
      </c>
      <c r="M214" s="2">
        <f>SUMIFS(base[L/P Líquido],base[Data],Extrato!$B214,base[Método],Extrato!M$3,base[Exchange],"Fulltbet")</f>
        <v>0</v>
      </c>
      <c r="N214" s="2">
        <f>SUMIFS(base[L/P Líquido],base[Data],Extrato!$B214,base[Método],Extrato!N$3,base[Exchange],"Fulltbet")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Líquido],base[Data],Extrato!$B214,base[Método],Extrato!Z$3,base[Exchange],"Fulltbet")</f>
        <v>0.56999999999999995</v>
      </c>
      <c r="AA214" s="2">
        <f>SUMIFS(base[L/P Líquido],base[Data],Extrato!$B214,base[Método],Extrato!AA$3,base[Exchange],"Fulltbet")</f>
        <v>107.88000000000001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>SUM(C214:AO214)</f>
        <v>4341.718950000004</v>
      </c>
      <c r="AR214" s="2">
        <f t="shared" ref="AR214" si="46">BK213</f>
        <v>969.24278732684854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47">SUM(AR214:BJ214)</f>
        <v>923.97278732684856</v>
      </c>
      <c r="BM214" s="2">
        <f t="shared" ref="BM214" si="48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1"/>
        <v>400.51</v>
      </c>
    </row>
    <row r="215" spans="2:76" ht="15" customHeight="1">
      <c r="B215" s="33">
        <v>46205</v>
      </c>
      <c r="C215" s="2">
        <f t="shared" ref="C215:C216" si="49">AP214</f>
        <v>4341.718950000004</v>
      </c>
      <c r="D215" s="2">
        <f>SUMIFS(base[L/P Líquido],base[Data],Extrato!$B215,base[Método],Extrato!D$3,base[Exchange],"Fulltbet")</f>
        <v>0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Líquido],base[Data],Extrato!$B215,base[Método],Extrato!G$3)</f>
        <v>0</v>
      </c>
      <c r="H215" s="2">
        <f>SUMIFS(base[L/P Líquido],base[Data],Extrato!$B215,base[Método],Extrato!H$3)</f>
        <v>0</v>
      </c>
      <c r="I215" s="2">
        <f>SUMIF(BetFlow!B:B,B215,BetFlow!J:J)</f>
        <v>0</v>
      </c>
      <c r="J215" s="2">
        <f>SUMIFS(base[L/P Líquido],base[Data],Extrato!$B215,base[Método],Extrato!J$3)</f>
        <v>0</v>
      </c>
      <c r="K215" s="2">
        <f>SUMIFS(base[L/P Líquido],base[Data],Extrato!$B215,base[Método],Extrato!K$3)</f>
        <v>41.84</v>
      </c>
      <c r="L215" s="2">
        <f>SUMIFS(base[L/P Líquido],base[Data],Extrato!$B215,base[Método],Extrato!L$3,base[Exchange],"Fulltbet")</f>
        <v>0</v>
      </c>
      <c r="M215" s="2">
        <f>SUMIFS(base[L/P Líquido],base[Data],Extrato!$B215,base[Método],Extrato!M$3,base[Exchange],"Fulltbet")</f>
        <v>0</v>
      </c>
      <c r="N215" s="2">
        <f>SUMIFS(base[L/P Líquido],base[Data],Extrato!$B215,base[Método],Extrato!N$3,base[Exchange],"Fulltbet")</f>
        <v>21.71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0</v>
      </c>
      <c r="AA215" s="2">
        <f>SUMIFS(base[L/P Líquido],base[Data],Extrato!$B215,base[Método],Extrato!AA$3,base[Exchange],"Fulltbet")</f>
        <v>60.650000000000006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>SUM(C215:AO215)</f>
        <v>4517.6889500000043</v>
      </c>
      <c r="AR215" s="2">
        <f t="shared" ref="AR215:AR216" si="50">BK214</f>
        <v>923.97278732684856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47"/>
        <v>874.08278732684857</v>
      </c>
      <c r="BM215" s="2">
        <f t="shared" ref="BM215:BM216" si="51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1"/>
        <v>417.44</v>
      </c>
    </row>
    <row r="216" spans="2:76" ht="15" customHeight="1">
      <c r="B216" s="33">
        <v>46206</v>
      </c>
      <c r="C216" s="2">
        <f t="shared" si="49"/>
        <v>4517.6889500000043</v>
      </c>
      <c r="D216" s="2">
        <f>SUMIFS(base[L/P Líquido],base[Data],Extrato!$B216,base[Método],Extrato!D$3,base[Exchange],"Fulltbet")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Líquido],base[Data],Extrato!$B216,base[Método],Extrato!G$3)</f>
        <v>0</v>
      </c>
      <c r="H216" s="2">
        <f>SUMIFS(base[L/P Líquido],base[Data],Extrato!$B216,base[Método],Extrato!H$3)</f>
        <v>0</v>
      </c>
      <c r="I216" s="2">
        <f>SUMIF(BetFlow!B:B,B216,BetFlow!J:J)</f>
        <v>0</v>
      </c>
      <c r="J216" s="2">
        <f>SUMIFS(base[L/P Líquido],base[Data],Extrato!$B216,base[Método],Extrato!J$3)</f>
        <v>0</v>
      </c>
      <c r="K216" s="2">
        <f>SUMIFS(base[L/P Líquido],base[Data],Extrato!$B216,base[Método],Extrato!K$3)</f>
        <v>0</v>
      </c>
      <c r="L216" s="2">
        <f>SUMIFS(base[L/P Líquido],base[Data],Extrato!$B216,base[Método],Extrato!L$3,base[Exchange],"Fulltbet")</f>
        <v>0</v>
      </c>
      <c r="M216" s="2">
        <f>SUMIFS(base[L/P Líquido],base[Data],Extrato!$B216,base[Método],Extrato!M$3,base[Exchange],"Fulltbet")</f>
        <v>0</v>
      </c>
      <c r="N216" s="2">
        <f>SUMIFS(base[L/P Líquido],base[Data],Extrato!$B216,base[Método],Extrato!N$3,base[Exchange],"Fulltbet")</f>
        <v>36.79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0</v>
      </c>
      <c r="AA216" s="2">
        <f>SUMIFS(base[L/P Líquido],base[Data],Extrato!$B216,base[Método],Extrato!AA$3,base[Exchange],"Fulltbet")</f>
        <v>8.25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>SUM(C216:AO216)</f>
        <v>4714.0989500000042</v>
      </c>
      <c r="AR216" s="2">
        <f t="shared" si="50"/>
        <v>874.08278732684857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47"/>
        <v>884.94278732684859</v>
      </c>
      <c r="BM216" s="2">
        <f t="shared" si="51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1"/>
        <v>417.44</v>
      </c>
    </row>
    <row r="217" spans="2:76" ht="15" customHeight="1">
      <c r="B217" s="33">
        <v>46207</v>
      </c>
      <c r="C217" s="2">
        <f t="shared" ref="C217:C218" si="52">AP216</f>
        <v>4714.0989500000042</v>
      </c>
      <c r="D217" s="2">
        <f>SUMIFS(base[L/P Líquido],base[Data],Extrato!$B217,base[Método],Extrato!D$3,base[Exchange],"Fulltbet")</f>
        <v>0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Líquido],base[Data],Extrato!$B217,base[Método],Extrato!G$3)</f>
        <v>0</v>
      </c>
      <c r="H217" s="2">
        <f>SUMIFS(base[L/P Líquido],base[Data],Extrato!$B217,base[Método],Extrato!H$3)</f>
        <v>0</v>
      </c>
      <c r="I217" s="2">
        <f>SUMIF(BetFlow!B:B,B217,BetFlow!J:J)</f>
        <v>0</v>
      </c>
      <c r="J217" s="2">
        <f>SUMIFS(base[L/P Líquido],base[Data],Extrato!$B217,base[Método],Extrato!J$3)</f>
        <v>0</v>
      </c>
      <c r="K217" s="2">
        <f>SUMIFS(base[L/P Líquido],base[Data],Extrato!$B217,base[Método],Extrato!K$3)</f>
        <v>33.21</v>
      </c>
      <c r="L217" s="2">
        <f>SUMIFS(base[L/P Líquido],base[Data],Extrato!$B217,base[Método],Extrato!L$3,base[Exchange],"Fulltbet")</f>
        <v>0</v>
      </c>
      <c r="M217" s="2">
        <f>SUMIFS(base[L/P Líquido],base[Data],Extrato!$B217,base[Método],Extrato!M$3,base[Exchange],"Fulltbet")</f>
        <v>0</v>
      </c>
      <c r="N217" s="2">
        <f>SUMIFS(base[L/P Líquido],base[Data],Extrato!$B217,base[Método],Extrato!N$3,base[Exchange],"Fulltbet")</f>
        <v>59.83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0</v>
      </c>
      <c r="AA217" s="2">
        <f>SUMIFS(base[L/P Líquido],base[Data],Extrato!$B217,base[Método],Extrato!AA$3,base[Exchange],"Fulltbet")</f>
        <v>63.980000000000004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>SUM(C217:AO217)</f>
        <v>4882.4789500000034</v>
      </c>
      <c r="AR217" s="2">
        <f t="shared" ref="AR217:AR218" si="53">BK216</f>
        <v>884.94278732684859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47"/>
        <v>1082.2427873268487</v>
      </c>
      <c r="BM217" s="2">
        <f t="shared" ref="BM217:BM218" si="54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1"/>
        <v>503.75</v>
      </c>
    </row>
    <row r="218" spans="2:76" ht="15" customHeight="1">
      <c r="B218" s="33">
        <v>46208</v>
      </c>
      <c r="C218" s="2">
        <f t="shared" si="52"/>
        <v>4882.4789500000034</v>
      </c>
      <c r="D218" s="2">
        <f>SUMIFS(base[L/P Líquido],base[Data],Extrato!$B218,base[Método],Extrato!D$3,base[Exchange],"Fulltbet")</f>
        <v>-400</v>
      </c>
      <c r="E218" s="2">
        <f>SUMIFS(base[L/P Líquido],base[Data],Extrato!$B218,base[Método],Extrato!E$3,base[Exchange],"Fulltbet")</f>
        <v>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Líquido],base[Data],Extrato!$B218,base[Método],Extrato!G$3)</f>
        <v>0</v>
      </c>
      <c r="H218" s="2">
        <f>SUMIFS(base[L/P Líquido],base[Data],Extrato!$B218,base[Método],Extrato!H$3)</f>
        <v>0</v>
      </c>
      <c r="I218" s="2">
        <f>SUMIF(BetFlow!B:B,B218,BetFlow!J:J)</f>
        <v>0</v>
      </c>
      <c r="J218" s="2">
        <f>SUMIFS(base[L/P Líquido],base[Data],Extrato!$B218,base[Método],Extrato!J$3)</f>
        <v>0</v>
      </c>
      <c r="K218" s="2">
        <f>SUMIFS(base[L/P Líquido],base[Data],Extrato!$B218,base[Método],Extrato!K$3)</f>
        <v>0</v>
      </c>
      <c r="L218" s="2">
        <f>SUMIFS(base[L/P Líquido],base[Data],Extrato!$B218,base[Método],Extrato!L$3,base[Exchange],"Fulltbet")</f>
        <v>0</v>
      </c>
      <c r="M218" s="2">
        <f>SUMIFS(base[L/P Líquido],base[Data],Extrato!$B218,base[Método],Extrato!M$3,base[Exchange],"Fulltbet")</f>
        <v>0</v>
      </c>
      <c r="N218" s="2">
        <f>SUMIFS(base[L/P Líquido],base[Data],Extrato!$B218,base[Método],Extrato!N$3,base[Exchange],"Fulltbet")</f>
        <v>17.36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>SUM(C218:AO218)</f>
        <v>4519.0251500000031</v>
      </c>
      <c r="AR218" s="2">
        <f t="shared" si="53"/>
        <v>1082.2427873268487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47"/>
        <v>1082.2427873268487</v>
      </c>
      <c r="BM218" s="2">
        <f t="shared" si="54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1"/>
        <v>503.75</v>
      </c>
    </row>
    <row r="219" spans="2:76" ht="15" customHeight="1">
      <c r="B219" s="33">
        <v>46209</v>
      </c>
      <c r="C219" s="2">
        <f t="shared" ref="C219" si="55">AP218</f>
        <v>4519.0251500000031</v>
      </c>
      <c r="D219" s="2">
        <f>SUMIFS(base[L/P Líquido],base[Data],Extrato!$B219,base[Método],Extrato!D$3,base[Exchange],"Fulltbet")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Líquido],base[Data],Extrato!$B219,base[Método],Extrato!G$3)</f>
        <v>0</v>
      </c>
      <c r="H219" s="2">
        <f>SUMIFS(base[L/P Líquido],base[Data],Extrato!$B219,base[Método],Extrato!H$3)</f>
        <v>0</v>
      </c>
      <c r="I219" s="2">
        <f>SUMIF(BetFlow!B:B,B219,BetFlow!J:J)</f>
        <v>0</v>
      </c>
      <c r="J219" s="2">
        <f>SUMIFS(base[L/P Líquido],base[Data],Extrato!$B219,base[Método],Extrato!J$3)</f>
        <v>0</v>
      </c>
      <c r="K219" s="2">
        <f>SUMIFS(base[L/P Líquido],base[Data],Extrato!$B219,base[Método],Extrato!K$3)</f>
        <v>0</v>
      </c>
      <c r="L219" s="2">
        <f>SUMIFS(base[L/P Líquido],base[Data],Extrato!$B219,base[Método],Extrato!L$3,base[Exchange],"Fulltbet")</f>
        <v>0</v>
      </c>
      <c r="M219" s="2">
        <f>SUMIFS(base[L/P Líquido],base[Data],Extrato!$B219,base[Método],Extrato!M$3,base[Exchange],"Fulltbet")</f>
        <v>0</v>
      </c>
      <c r="N219" s="2">
        <f>SUMIFS(base[L/P Líquido],base[Data],Extrato!$B219,base[Método],Extrato!N$3,base[Exchange],"Fulltbet")</f>
        <v>23.31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0</v>
      </c>
      <c r="AA219" s="2">
        <f>SUMIFS(base[L/P Líquido],base[Data],Extrato!$B219,base[Método],Extrato!AA$3,base[Exchange],"Fulltbet")</f>
        <v>8.5500000000000007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>SUM(C219:AO219)</f>
        <v>4550.8851500000037</v>
      </c>
      <c r="AR219" s="2">
        <f t="shared" ref="AR219" si="56">BK218</f>
        <v>1082.2427873268487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47"/>
        <v>1132.9827873268487</v>
      </c>
      <c r="BM219" s="2">
        <f t="shared" ref="BM219" si="57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1"/>
        <v>503.75</v>
      </c>
    </row>
    <row r="220" spans="2:76" ht="15" customHeight="1">
      <c r="B220" s="33">
        <v>46210</v>
      </c>
      <c r="C220" s="2">
        <f t="shared" ref="C220" si="58">AP219</f>
        <v>4550.8851500000037</v>
      </c>
      <c r="D220" s="2">
        <f>SUMIFS(base[L/P Líquido],base[Data],Extrato!$B220,base[Método],Extrato!D$3,base[Exchange],"Fulltbet")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Líquido],base[Data],Extrato!$B220,base[Método],Extrato!G$3)</f>
        <v>0</v>
      </c>
      <c r="H220" s="2">
        <f>SUMIFS(base[L/P Líquido],base[Data],Extrato!$B220,base[Método],Extrato!H$3)</f>
        <v>0</v>
      </c>
      <c r="I220" s="2">
        <f>SUMIF(BetFlow!B:B,B220,BetFlow!J:J)</f>
        <v>0</v>
      </c>
      <c r="J220" s="2">
        <f>SUMIFS(base[L/P Líquido],base[Data],Extrato!$B220,base[Método],Extrato!J$3)</f>
        <v>0</v>
      </c>
      <c r="K220" s="2">
        <f>SUMIFS(base[L/P Líquido],base[Data],Extrato!$B220,base[Método],Extrato!K$3)</f>
        <v>0</v>
      </c>
      <c r="L220" s="2">
        <f>SUMIFS(base[L/P Líquido],base[Data],Extrato!$B220,base[Método],Extrato!L$3,base[Exchange],"Fulltbet")</f>
        <v>0</v>
      </c>
      <c r="M220" s="2">
        <f>SUMIFS(base[L/P Líquido],base[Data],Extrato!$B220,base[Método],Extrato!M$3,base[Exchange],"Fulltbet")</f>
        <v>0</v>
      </c>
      <c r="N220" s="2">
        <f>SUMIFS(base[L/P Líquido],base[Data],Extrato!$B220,base[Método],Extrato!N$3,base[Exchange],"Fulltbet")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>SUM(C220:AO220)</f>
        <v>4605.5951500000037</v>
      </c>
      <c r="AR220" s="2">
        <f t="shared" ref="AR220" si="59">BK219</f>
        <v>1132.9827873268487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47"/>
        <v>1150.7127873268487</v>
      </c>
      <c r="BM220" s="2">
        <f t="shared" ref="BM220" si="60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1"/>
        <v>482.65000000000003</v>
      </c>
    </row>
    <row r="221" spans="2:76" ht="15" customHeight="1">
      <c r="B221" s="33">
        <v>46211</v>
      </c>
      <c r="C221" s="2">
        <f t="shared" ref="C221:C222" si="61">AP220</f>
        <v>4605.5951500000037</v>
      </c>
      <c r="D221" s="2">
        <f>SUMIFS(base[L/P Líquido],base[Data],Extrato!$B221,base[Método],Extrato!D$3,base[Exchange],"Fulltbet")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Líquido],base[Data],Extrato!$B221,base[Método],Extrato!G$3)</f>
        <v>0</v>
      </c>
      <c r="H221" s="2">
        <f>SUMIFS(base[L/P Líquido],base[Data],Extrato!$B221,base[Método],Extrato!H$3)</f>
        <v>0</v>
      </c>
      <c r="I221" s="2">
        <f>SUMIF(BetFlow!B:B,B221,BetFlow!J:J)</f>
        <v>0</v>
      </c>
      <c r="J221" s="2">
        <f>SUMIFS(base[L/P Líquido],base[Data],Extrato!$B221,base[Método],Extrato!J$3)</f>
        <v>0</v>
      </c>
      <c r="K221" s="2">
        <f>SUMIFS(base[L/P Líquido],base[Data],Extrato!$B221,base[Método],Extrato!K$3)</f>
        <v>0</v>
      </c>
      <c r="L221" s="2">
        <f>SUMIFS(base[L/P Líquido],base[Data],Extrato!$B221,base[Método],Extrato!L$3,base[Exchange],"Fulltbet")</f>
        <v>0</v>
      </c>
      <c r="M221" s="2">
        <f>SUMIFS(base[L/P Líquido],base[Data],Extrato!$B221,base[Método],Extrato!M$3,base[Exchange],"Fulltbet")</f>
        <v>0</v>
      </c>
      <c r="N221" s="2">
        <f>SUMIFS(base[L/P Líquido],base[Data],Extrato!$B221,base[Método],Extrato!N$3,base[Exchange],"Fulltbet")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>SUM(C221:AO221)</f>
        <v>4451.8151500000031</v>
      </c>
      <c r="AR221" s="2">
        <f t="shared" ref="AR221:AR222" si="62">BK220</f>
        <v>1150.7127873268487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47"/>
        <v>1150.7127873268487</v>
      </c>
      <c r="BM221" s="2">
        <f t="shared" ref="BM221:BM222" si="63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1"/>
        <v>482.65000000000003</v>
      </c>
    </row>
    <row r="222" spans="2:76" ht="15" customHeight="1">
      <c r="B222" s="33">
        <v>46212</v>
      </c>
      <c r="C222" s="2">
        <f t="shared" si="61"/>
        <v>4451.8151500000031</v>
      </c>
      <c r="D222" s="2">
        <f>SUMIFS(base[L/P Líquido],base[Data],Extrato!$B222,base[Método],Extrato!D$3,base[Exchange],"Fulltbet")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Líquido],base[Data],Extrato!$B222,base[Método],Extrato!G$3)</f>
        <v>0</v>
      </c>
      <c r="H222" s="2">
        <f>SUMIFS(base[L/P Líquido],base[Data],Extrato!$B222,base[Método],Extrato!H$3)</f>
        <v>0</v>
      </c>
      <c r="I222" s="2">
        <f>SUMIF(BetFlow!B:B,B222,BetFlow!J:J)</f>
        <v>-6.98</v>
      </c>
      <c r="J222" s="2">
        <f>SUMIFS(base[L/P Líquido],base[Data],Extrato!$B222,base[Método],Extrato!J$3)</f>
        <v>0</v>
      </c>
      <c r="K222" s="2">
        <f>SUMIFS(base[L/P Líquido],base[Data],Extrato!$B222,base[Método],Extrato!K$3)</f>
        <v>0</v>
      </c>
      <c r="L222" s="2">
        <f>SUMIFS(base[L/P Líquido],base[Data],Extrato!$B222,base[Método],Extrato!L$3,base[Exchange],"Fulltbet")</f>
        <v>0</v>
      </c>
      <c r="M222" s="2">
        <f>SUMIFS(base[L/P Líquido],base[Data],Extrato!$B222,base[Método],Extrato!M$3,base[Exchange],"Fulltbet")</f>
        <v>0</v>
      </c>
      <c r="N222" s="2">
        <f>SUMIFS(base[L/P Líquido],base[Data],Extrato!$B222,base[Método],Extrato!N$3,base[Exchange],"Fulltbet")</f>
        <v>19.78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0</v>
      </c>
      <c r="AA222" s="2">
        <f>SUMIFS(base[L/P Líquido],base[Data],Extrato!$B222,base[Método],Extrato!AA$3,base[Exchange],"Fulltbet")</f>
        <v>12.63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>SUM(C222:AO222)</f>
        <v>4503.9451500000032</v>
      </c>
      <c r="AR222" s="2">
        <f t="shared" si="62"/>
        <v>1150.7127873268487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47"/>
        <v>1207.2093157268487</v>
      </c>
      <c r="BM222" s="2">
        <f t="shared" si="63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1"/>
        <v>482.65000000000003</v>
      </c>
    </row>
    <row r="223" spans="2:76" ht="15" customHeight="1">
      <c r="B223" s="33">
        <v>46213</v>
      </c>
      <c r="C223" s="2">
        <f t="shared" ref="C223" si="64">AP222</f>
        <v>4503.9451500000032</v>
      </c>
      <c r="D223" s="2">
        <f>SUMIFS(base[L/P Líquido],base[Data],Extrato!$B223,base[Método],Extrato!D$3,base[Exchange],"Fulltbet")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25.76</v>
      </c>
      <c r="H223" s="2">
        <f>SUMIFS(base[L/P Líquido],base[Data],Extrato!$B223,base[Método],Extrato!H$3)</f>
        <v>0</v>
      </c>
      <c r="I223" s="2">
        <f>SUMIF(BetFlow!B:B,B223,BetFlow!J:J)</f>
        <v>0</v>
      </c>
      <c r="J223" s="2">
        <f>SUMIFS(base[L/P Líquido],base[Data],Extrato!$B223,base[Método],Extrato!J$3)</f>
        <v>0</v>
      </c>
      <c r="K223" s="2">
        <f>SUMIFS(base[L/P Líquido],base[Data],Extrato!$B223,base[Método],Extrato!K$3)</f>
        <v>0</v>
      </c>
      <c r="L223" s="2">
        <f>SUMIFS(base[L/P Líquido],base[Data],Extrato!$B223,base[Método],Extrato!L$3,base[Exchange],"Fulltbet")</f>
        <v>0</v>
      </c>
      <c r="M223" s="2">
        <f>SUMIFS(base[L/P Líquido],base[Data],Extrato!$B223,base[Método],Extrato!M$3,base[Exchange],"Fulltbet")</f>
        <v>0</v>
      </c>
      <c r="N223" s="2">
        <f>SUMIFS(base[L/P Líquido],base[Data],Extrato!$B223,base[Método],Extrato!N$3,base[Exchange],"Fulltbet")</f>
        <v>20.69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0</v>
      </c>
      <c r="AA223" s="2">
        <f>SUMIFS(base[L/P Líquido],base[Data],Extrato!$B223,base[Método],Extrato!AA$3,base[Exchange],"Fulltbet")</f>
        <v>104.99000000000001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>SUM(C223:AO223)</f>
        <v>4544.3851500000028</v>
      </c>
      <c r="AR223" s="2">
        <f t="shared" ref="AR223" si="65">BK222</f>
        <v>1207.2093157268487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47"/>
        <v>1252.8093157268486</v>
      </c>
      <c r="BM223" s="2">
        <f t="shared" ref="BM223" si="66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1"/>
        <v>482.65000000000003</v>
      </c>
    </row>
    <row r="224" spans="2:76" ht="15" customHeight="1">
      <c r="B224" s="33">
        <v>46214</v>
      </c>
      <c r="C224" s="2">
        <f t="shared" ref="C224" si="67">AP223</f>
        <v>4544.3851500000028</v>
      </c>
      <c r="D224" s="2">
        <f>SUMIFS(base[L/P Líquido],base[Data],Extrato!$B224,base[Método],Extrato!D$3,base[Exchange],"Fulltbet")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78.73</v>
      </c>
      <c r="H224" s="2">
        <f>SUMIFS(base[L/P Líquido],base[Data],Extrato!$B224,base[Método],Extrato!H$3)</f>
        <v>0</v>
      </c>
      <c r="I224" s="2">
        <f>SUMIF(BetFlow!B:B,B224,BetFlow!J:J)</f>
        <v>-4.16</v>
      </c>
      <c r="J224" s="2">
        <f>SUMIFS(base[L/P Líquido],base[Data],Extrato!$B224,base[Método],Extrato!J$3)</f>
        <v>0</v>
      </c>
      <c r="K224" s="2">
        <f>SUMIFS(base[L/P Líquido],base[Data],Extrato!$B224,base[Método],Extrato!K$3)</f>
        <v>0</v>
      </c>
      <c r="L224" s="2">
        <f>SUMIFS(base[L/P Líquido],base[Data],Extrato!$B224,base[Método],Extrato!L$3,base[Exchange],"Fulltbet")</f>
        <v>0</v>
      </c>
      <c r="M224" s="2">
        <f>SUMIFS(base[L/P Líquido],base[Data],Extrato!$B224,base[Método],Extrato!M$3,base[Exchange],"Fulltbet")</f>
        <v>0</v>
      </c>
      <c r="N224" s="2">
        <f>SUMIFS(base[L/P Líquido],base[Data],Extrato!$B224,base[Método],Extrato!N$3,base[Exchange],"Fulltbet")</f>
        <v>26.74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0</v>
      </c>
      <c r="AA224" s="2">
        <f>SUMIFS(base[L/P Líquido],base[Data],Extrato!$B224,base[Método],Extrato!AA$3,base[Exchange],"Fulltbet")</f>
        <v>64.099999999999994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>SUM(C224:AO224)</f>
        <v>4723.2251500000029</v>
      </c>
      <c r="AR224" s="2">
        <f t="shared" ref="AR224" si="68">BK223</f>
        <v>1252.8093157268486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47"/>
        <v>1263.9996453268486</v>
      </c>
      <c r="BM224" s="2">
        <f t="shared" ref="BM224" si="69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1"/>
        <v>357.40000000000003</v>
      </c>
    </row>
    <row r="225" spans="2:76" ht="15" customHeight="1">
      <c r="B225" s="33">
        <v>46215</v>
      </c>
      <c r="C225" s="2">
        <f t="shared" ref="C225" si="70">AP224</f>
        <v>4723.2251500000029</v>
      </c>
      <c r="D225" s="2">
        <f>SUMIFS(base[L/P Líquido],base[Data],Extrato!$B225,base[Método],Extrato!D$3,base[Exchange],"Fulltbet")</f>
        <v>0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47.75</v>
      </c>
      <c r="H225" s="2">
        <f>SUMIFS(base[L/P Líquido],base[Data],Extrato!$B225,base[Método],Extrato!H$3)</f>
        <v>0</v>
      </c>
      <c r="I225" s="2">
        <f>SUMIF(BetFlow!B:B,B225,BetFlow!J:J)</f>
        <v>9.2527000000000008</v>
      </c>
      <c r="J225" s="2">
        <f>SUMIFS(base[L/P Líquido],base[Data],Extrato!$B225,base[Método],Extrato!J$3)</f>
        <v>0</v>
      </c>
      <c r="K225" s="2">
        <f>SUMIFS(base[L/P Líquido],base[Data],Extrato!$B225,base[Método],Extrato!K$3)</f>
        <v>63.68</v>
      </c>
      <c r="L225" s="2">
        <f>SUMIFS(base[L/P Líquido],base[Data],Extrato!$B225,base[Método],Extrato!L$3,base[Exchange],"Fulltbet")</f>
        <v>0</v>
      </c>
      <c r="M225" s="2">
        <f>SUMIFS(base[L/P Líquido],base[Data],Extrato!$B225,base[Método],Extrato!M$3,base[Exchange],"Fulltbet")</f>
        <v>0</v>
      </c>
      <c r="N225" s="2">
        <f>SUMIFS(base[L/P Líquido],base[Data],Extrato!$B225,base[Método],Extrato!N$3,base[Exchange],"Fulltbet")</f>
        <v>30.08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Líquido],base[Data],Extrato!$B225,base[Método],Extrato!Z$3,base[Exchange],"Fulltbet")</f>
        <v>35.89</v>
      </c>
      <c r="AA225" s="2">
        <f>SUMIFS(base[L/P Líquido],base[Data],Extrato!$B225,base[Método],Extrato!AA$3,base[Exchange],"Fulltbet")</f>
        <v>59.19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>SUM(C225:AO225)</f>
        <v>5053.7878500000024</v>
      </c>
      <c r="AR225" s="2">
        <f t="shared" ref="AR225" si="71">BK224</f>
        <v>1263.9996453268486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47"/>
        <v>1265.9207205284486</v>
      </c>
      <c r="BM225" s="2">
        <f t="shared" ref="BM225" si="72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1"/>
        <v>357.40000000000003</v>
      </c>
    </row>
    <row r="226" spans="2:76" ht="15" customHeight="1">
      <c r="B226" s="33">
        <v>46216</v>
      </c>
      <c r="C226" s="2">
        <f t="shared" ref="C226" si="73">AP225</f>
        <v>5053.7878500000024</v>
      </c>
      <c r="D226" s="2">
        <f>SUMIFS(base[L/P Líquido],base[Data],Extrato!$B226,base[Método],Extrato!D$3,base[Exchange],"Fulltbet")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0</v>
      </c>
      <c r="I226" s="2">
        <f>SUMIF(BetFlow!B:B,B226,BetFlow!J:J)</f>
        <v>0</v>
      </c>
      <c r="J226" s="2">
        <f>SUMIFS(base[L/P Líquido],base[Data],Extrato!$B226,base[Método],Extrato!J$3)</f>
        <v>0</v>
      </c>
      <c r="K226" s="2">
        <f>SUMIFS(base[L/P Líquido],base[Data],Extrato!$B226,base[Método],Extrato!K$3)</f>
        <v>0</v>
      </c>
      <c r="L226" s="2">
        <f>SUMIFS(base[L/P Líquido],base[Data],Extrato!$B226,base[Método],Extrato!L$3,base[Exchange],"Fulltbet")</f>
        <v>0</v>
      </c>
      <c r="M226" s="2">
        <f>SUMIFS(base[L/P Líquido],base[Data],Extrato!$B226,base[Método],Extrato!M$3,base[Exchange],"Fulltbet")</f>
        <v>0</v>
      </c>
      <c r="N226" s="2">
        <f>SUMIFS(base[L/P Líquido],base[Data],Extrato!$B226,base[Método],Extrato!N$3,base[Exchange],"Fulltbet")</f>
        <v>13.1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0</v>
      </c>
      <c r="AA226" s="2">
        <f>SUMIFS(base[L/P Líquido],base[Data],Extrato!$B226,base[Método],Extrato!AA$3,base[Exchange],"Fulltbet")</f>
        <v>4.78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>SUM(C226:AO226)</f>
        <v>5080.7778500000022</v>
      </c>
      <c r="AR226" s="2">
        <f t="shared" ref="AR226" si="74">BK225</f>
        <v>1265.9207205284486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47"/>
        <v>1295.2407205284487</v>
      </c>
      <c r="BM226" s="2">
        <f t="shared" ref="BM226" si="75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1"/>
        <v>357.40000000000003</v>
      </c>
    </row>
    <row r="227" spans="2:76" ht="15" customHeight="1">
      <c r="B227" s="33">
        <v>46217</v>
      </c>
      <c r="C227" s="2">
        <f t="shared" ref="C227" si="76">AP226</f>
        <v>5080.7778500000022</v>
      </c>
      <c r="D227" s="2">
        <f>SUMIFS(base[L/P Líquido],base[Data],Extrato!$B227,base[Método],Extrato!D$3,base[Exchange],"Fulltbet")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0</v>
      </c>
      <c r="I227" s="2">
        <f>SUMIF(BetFlow!B:B,B227,BetFlow!J:J)</f>
        <v>-12.363800000000003</v>
      </c>
      <c r="J227" s="2">
        <f>SUMIFS(base[L/P Líquido],base[Data],Extrato!$B227,base[Método],Extrato!J$3)</f>
        <v>0</v>
      </c>
      <c r="K227" s="2">
        <f>SUMIFS(base[L/P Líquido],base[Data],Extrato!$B227,base[Método],Extrato!K$3)</f>
        <v>0</v>
      </c>
      <c r="L227" s="2">
        <f>SUMIFS(base[L/P Líquido],base[Data],Extrato!$B227,base[Método],Extrato!L$3,base[Exchange],"Fulltbet")</f>
        <v>0</v>
      </c>
      <c r="M227" s="2">
        <f>SUMIFS(base[L/P Líquido],base[Data],Extrato!$B227,base[Método],Extrato!M$3,base[Exchange],"Fulltbet")</f>
        <v>0</v>
      </c>
      <c r="N227" s="2">
        <f>SUMIFS(base[L/P Líquido],base[Data],Extrato!$B227,base[Método],Extrato!N$3,base[Exchange],"Fulltbet")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0</v>
      </c>
      <c r="AA227" s="2">
        <f>SUMIFS(base[L/P Líquido],base[Data],Extrato!$B227,base[Método],Extrato!AA$3,base[Exchange],"Fulltbet")</f>
        <v>11.59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>SUM(C227:AO227)</f>
        <v>5098.5940500000024</v>
      </c>
      <c r="AR227" s="2">
        <f t="shared" ref="AR227" si="77">BK226</f>
        <v>1295.2407205284487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47"/>
        <v>1340.8838233972488</v>
      </c>
      <c r="BM227" s="2">
        <f t="shared" ref="BM227" si="78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1"/>
        <v>346.65000000000003</v>
      </c>
    </row>
    <row r="228" spans="2:76" ht="15" customHeight="1">
      <c r="B228" s="33">
        <v>46218</v>
      </c>
      <c r="C228" s="2">
        <f t="shared" ref="C228" si="79">AP227</f>
        <v>5098.5940500000024</v>
      </c>
      <c r="D228" s="2">
        <f>SUMIFS(base[L/P Líquido],base[Data],Extrato!$B228,base[Método],Extrato!D$3,base[Exchange],"Fulltbet")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0</v>
      </c>
      <c r="I228" s="2">
        <f>SUMIF(BetFlow!B:B,B228,BetFlow!J:J)</f>
        <v>-18.510000000000002</v>
      </c>
      <c r="J228" s="2">
        <f>SUMIFS(base[L/P Líquido],base[Data],Extrato!$B228,base[Método],Extrato!J$3)</f>
        <v>0</v>
      </c>
      <c r="K228" s="2">
        <f>SUMIFS(base[L/P Líquido],base[Data],Extrato!$B228,base[Método],Extrato!K$3)</f>
        <v>0</v>
      </c>
      <c r="L228" s="2">
        <f>SUMIFS(base[L/P Líquido],base[Data],Extrato!$B228,base[Método],Extrato!L$3,base[Exchange],"Fulltbet")</f>
        <v>0</v>
      </c>
      <c r="M228" s="2">
        <f>SUMIFS(base[L/P Líquido],base[Data],Extrato!$B228,base[Método],Extrato!M$3,base[Exchange],"Fulltbet")</f>
        <v>0</v>
      </c>
      <c r="N228" s="2">
        <f>SUMIFS(base[L/P Líquido],base[Data],Extrato!$B228,base[Método],Extrato!N$3,base[Exchange],"Fulltbet")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0</v>
      </c>
      <c r="AA228" s="2">
        <f>SUMIFS(base[L/P Líquido],base[Data],Extrato!$B228,base[Método],Extrato!AA$3,base[Exchange],"Fulltbet")</f>
        <v>111.16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>SUM(C228:AO228)</f>
        <v>5163.2640500000016</v>
      </c>
      <c r="AR228" s="2">
        <f t="shared" ref="AR228" si="80">BK227</f>
        <v>1340.8838233972488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47"/>
        <v>1259.2215695092486</v>
      </c>
      <c r="BM228" s="2">
        <f t="shared" ref="BM228" si="81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1"/>
        <v>351.59000000000003</v>
      </c>
    </row>
    <row r="229" spans="2:76" ht="15" customHeight="1">
      <c r="B229" s="33">
        <v>46219</v>
      </c>
      <c r="C229" s="2">
        <f t="shared" ref="C229" si="82">AP228</f>
        <v>5163.2640500000016</v>
      </c>
      <c r="D229" s="2">
        <f>SUMIFS(base[L/P Líquido],base[Data],Extrato!$B229,base[Método],Extrato!D$3,base[Exchange],"Fulltbet")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0</v>
      </c>
      <c r="I229" s="2">
        <f>SUMIF(BetFlow!B:B,B229,BetFlow!J:J)</f>
        <v>0</v>
      </c>
      <c r="J229" s="2">
        <f>SUMIFS(base[L/P Líquido],base[Data],Extrato!$B229,base[Método],Extrato!J$3)</f>
        <v>0</v>
      </c>
      <c r="K229" s="2">
        <f>SUMIFS(base[L/P Líquido],base[Data],Extrato!$B229,base[Método],Extrato!K$3)</f>
        <v>0</v>
      </c>
      <c r="L229" s="2">
        <f>SUMIFS(base[L/P Líquido],base[Data],Extrato!$B229,base[Método],Extrato!L$3,base[Exchange],"Fulltbet")</f>
        <v>0</v>
      </c>
      <c r="M229" s="2">
        <f>SUMIFS(base[L/P Líquido],base[Data],Extrato!$B229,base[Método],Extrato!M$3,base[Exchange],"Fulltbet")</f>
        <v>0</v>
      </c>
      <c r="N229" s="2">
        <f>SUMIFS(base[L/P Líquido],base[Data],Extrato!$B229,base[Método],Extrato!N$3,base[Exchange],"Fulltbet")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0</v>
      </c>
      <c r="AA229" s="2">
        <f>SUMIFS(base[L/P Líquido],base[Data],Extrato!$B229,base[Método],Extrato!AA$3,base[Exchange],"Fulltbet")</f>
        <v>22.32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>SUM(C229:AO229)</f>
        <v>5221.3440500000006</v>
      </c>
      <c r="AR229" s="2">
        <f t="shared" ref="AR229" si="83">BK228</f>
        <v>1259.2215695092486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47"/>
        <v>1322.2515695092486</v>
      </c>
      <c r="BM229" s="2">
        <f t="shared" ref="BM229" si="84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1"/>
        <v>351.59000000000003</v>
      </c>
    </row>
    <row r="230" spans="2:76" ht="15" customHeight="1">
      <c r="B230" s="33">
        <v>46220</v>
      </c>
      <c r="C230" s="2">
        <f t="shared" ref="C230" si="85">AP229</f>
        <v>5221.3440500000006</v>
      </c>
      <c r="D230" s="2">
        <f>SUMIFS(base[L/P Líquido],base[Data],Extrato!$B230,base[Método],Extrato!D$3,base[Exchange],"Fulltbet")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118.28135</v>
      </c>
      <c r="H230" s="2">
        <f>SUMIFS(base[L/P Líquido],base[Data],Extrato!$B230,base[Método],Extrato!H$3)</f>
        <v>108.87</v>
      </c>
      <c r="I230" s="2">
        <f>SUMIF(BetFlow!B:B,B230,BetFlow!J:J)</f>
        <v>0</v>
      </c>
      <c r="J230" s="2">
        <f>SUMIFS(base[L/P Líquido],base[Data],Extrato!$B230,base[Método],Extrato!J$3,base[Exchange],"Fulltbet")</f>
        <v>0</v>
      </c>
      <c r="K230" s="2">
        <f>SUMIFS(base[L/P Líquido],base[Data],Extrato!$B230,base[Método],Extrato!K$3)</f>
        <v>0</v>
      </c>
      <c r="L230" s="2">
        <f>SUMIFS(base[L/P Líquido],base[Data],Extrato!$B230,base[Método],Extrato!L$3,base[Exchange],"Fulltbet")</f>
        <v>0</v>
      </c>
      <c r="M230" s="2">
        <f>SUMIFS(base[L/P Líquido],base[Data],Extrato!$B230,base[Método],Extrato!M$3,base[Exchange],"Fulltbet")</f>
        <v>0</v>
      </c>
      <c r="N230" s="2">
        <f>SUMIFS(base[L/P Líquido],base[Data],Extrato!$B230,base[Método],Extrato!N$3,base[Exchange],"Fulltbet")</f>
        <v>36.223149999999997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-15.09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0</v>
      </c>
      <c r="AA230" s="2">
        <f>SUMIFS(base[L/P Líquido],base[Data],Extrato!$B230,base[Método],Extrato!AA$3,base[Exchange],"Fulltbet")</f>
        <v>132.69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>SUM(C230:AO230)</f>
        <v>5488.73855</v>
      </c>
      <c r="AR230" s="2">
        <f t="shared" ref="AR230" si="86">BK229</f>
        <v>1322.2515695092486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47"/>
        <v>1368.7715695092486</v>
      </c>
      <c r="BM230" s="2">
        <f t="shared" ref="BM230" si="87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1"/>
        <v>338.11</v>
      </c>
    </row>
    <row r="231" spans="2:76" ht="15" customHeight="1">
      <c r="B231" s="33">
        <v>46221</v>
      </c>
      <c r="C231" s="2">
        <f t="shared" ref="C231" si="88">AP230</f>
        <v>5488.73855</v>
      </c>
      <c r="D231" s="2">
        <f>SUMIFS(base[L/P Líquido],base[Data],Extrato!$B231,base[Método],Extrato!D$3,base[Exchange],"Fulltbet")</f>
        <v>86.16</v>
      </c>
      <c r="E231" s="2">
        <f>SUMIFS(base[L/P Líquido],base[Data],Extrato!$B231,base[Método],Extrato!E$3,base[Exchange],"Fulltbet")</f>
        <v>0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0</v>
      </c>
      <c r="I231" s="2">
        <f>SUMIF(BetFlow!B:B,B231,BetFlow!J:J)</f>
        <v>0</v>
      </c>
      <c r="J231" s="2">
        <f>SUMIFS(base[L/P Líquido],base[Data],Extrato!$B231,base[Método],Extrato!J$3,base[Exchange],"Fulltbet")</f>
        <v>5.0599999999999996</v>
      </c>
      <c r="K231" s="2">
        <f>SUMIFS(base[L/P Líquido],base[Data],Extrato!$B231,base[Método],Extrato!K$3)</f>
        <v>38.99</v>
      </c>
      <c r="L231" s="2">
        <f>SUMIFS(base[L/P Líquido],base[Data],Extrato!$B231,base[Método],Extrato!L$3,base[Exchange],"Fulltbet")</f>
        <v>0</v>
      </c>
      <c r="M231" s="2">
        <f>SUMIFS(base[L/P Líquido],base[Data],Extrato!$B231,base[Método],Extrato!M$3,base[Exchange],"Fulltbet")</f>
        <v>0</v>
      </c>
      <c r="N231" s="2">
        <f>SUMIFS(base[L/P Líquido],base[Data],Extrato!$B231,base[Método],Extrato!N$3,base[Exchange],"Fulltbet")</f>
        <v>14.69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Líquido],base[Data],Extrato!$B231,base[Método],Extrato!Z$3,base[Exchange],"Fulltbet")</f>
        <v>16.46</v>
      </c>
      <c r="AA231" s="2">
        <f>SUMIFS(base[L/P Líquido],base[Data],Extrato!$B231,base[Método],Extrato!AA$3,base[Exchange],"Fulltbet")</f>
        <v>1.9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>SUM(C231:AO231)</f>
        <v>5486.1385500000006</v>
      </c>
      <c r="AR231" s="2">
        <f t="shared" ref="AR231" si="89">BK230</f>
        <v>1368.7715695092486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47"/>
        <v>1142.4415695092487</v>
      </c>
      <c r="BM231" s="2">
        <f t="shared" ref="BM231" si="90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1"/>
        <v>361.35</v>
      </c>
    </row>
    <row r="232" spans="2:76" ht="15" customHeight="1">
      <c r="B232" s="33">
        <v>46222</v>
      </c>
      <c r="C232" s="2">
        <f t="shared" ref="C232" si="91">AP231</f>
        <v>5486.1385500000006</v>
      </c>
      <c r="D232" s="2">
        <f>SUMIFS(base[L/P Líquido],base[Data],Extrato!$B232,base[Método],Extrato!D$3,base[Exchange],"Fulltbet")</f>
        <v>0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30.81</v>
      </c>
      <c r="H232" s="2">
        <f>SUMIFS(base[L/P Líquido],base[Data],Extrato!$B232,base[Método],Extrato!H$3)</f>
        <v>0</v>
      </c>
      <c r="I232" s="2">
        <f>SUMIF(BetFlow!B:B,B232,BetFlow!J:J)</f>
        <v>0</v>
      </c>
      <c r="J232" s="2">
        <f>SUMIFS(base[L/P Líquido],base[Data],Extrato!$B232,base[Método],Extrato!J$3,base[Exchange],"Fulltbet")</f>
        <v>0</v>
      </c>
      <c r="K232" s="2">
        <f>SUMIFS(base[L/P Líquido],base[Data],Extrato!$B232,base[Método],Extrato!K$3)</f>
        <v>37.369149999999998</v>
      </c>
      <c r="L232" s="2">
        <f>SUMIFS(base[L/P Líquido],base[Data],Extrato!$B232,base[Método],Extrato!L$3,base[Exchange],"Fulltbet")</f>
        <v>0</v>
      </c>
      <c r="M232" s="2">
        <f>SUMIFS(base[L/P Líquido],base[Data],Extrato!$B232,base[Método],Extrato!M$3,base[Exchange],"Fulltbet")</f>
        <v>0</v>
      </c>
      <c r="N232" s="2">
        <f>SUMIFS(base[L/P Líquido],base[Data],Extrato!$B232,base[Método],Extrato!N$3,base[Exchange],"Fulltbet")</f>
        <v>4.45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0</v>
      </c>
      <c r="AA232" s="2">
        <f>SUMIFS(base[L/P Líquido],base[Data],Extrato!$B232,base[Método],Extrato!AA$3,base[Exchange],"Fulltbet")</f>
        <v>6.82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>SUM(C232:AO232)</f>
        <v>5665.4829500000005</v>
      </c>
      <c r="AR232" s="2">
        <f t="shared" ref="AR232" si="92">BK231</f>
        <v>1142.4415695092487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47"/>
        <v>1218.3315695092488</v>
      </c>
      <c r="BM232" s="2">
        <f t="shared" ref="BM232" si="93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1"/>
        <v>387.79</v>
      </c>
    </row>
    <row r="233" spans="2:76" ht="15" customHeight="1">
      <c r="B233" s="33">
        <v>46223</v>
      </c>
      <c r="C233" s="2">
        <f t="shared" ref="C233" si="94">AP232</f>
        <v>5665.4829500000005</v>
      </c>
      <c r="D233" s="2">
        <f>SUMIFS(base[L/P Líquido],base[Data],Extrato!$B233,base[Método],Extrato!D$3,base[Exchange],"Fulltbet")</f>
        <v>0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0</v>
      </c>
      <c r="I233" s="2">
        <f>SUMIF(BetFlow!B:B,B233,BetFlow!J:J)</f>
        <v>0</v>
      </c>
      <c r="J233" s="2">
        <f>SUMIFS(base[L/P Líquido],base[Data],Extrato!$B233,base[Método],Extrato!J$3,base[Exchange],"Fulltbet")</f>
        <v>0</v>
      </c>
      <c r="K233" s="2">
        <f>SUMIFS(base[L/P Líquido],base[Data],Extrato!$B233,base[Método],Extrato!K$3)</f>
        <v>49.943299999999994</v>
      </c>
      <c r="L233" s="2">
        <f>SUMIFS(base[L/P Líquido],base[Data],Extrato!$B233,base[Método],Extrato!L$3,base[Exchange],"Fulltbet")</f>
        <v>0</v>
      </c>
      <c r="M233" s="2">
        <f>SUMIFS(base[L/P Líquido],base[Data],Extrato!$B233,base[Método],Extrato!M$3,base[Exchange],"Fulltbet")</f>
        <v>0</v>
      </c>
      <c r="N233" s="2">
        <f>SUMIFS(base[L/P Líquido],base[Data],Extrato!$B233,base[Método],Extrato!N$3,base[Exchange],"Fulltbet")</f>
        <v>9.3303499999999993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>SUM(C233:AO233)</f>
        <v>5730.7866000000004</v>
      </c>
      <c r="AR233" s="2">
        <f t="shared" ref="AR233" si="95">BK232</f>
        <v>1218.3315695092488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47"/>
        <v>1218.3315695092488</v>
      </c>
      <c r="BM233" s="2">
        <f t="shared" ref="BM233" si="96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1"/>
        <v>387.79</v>
      </c>
    </row>
    <row r="234" spans="2:76" ht="15" customHeight="1">
      <c r="B234" s="33">
        <v>46224</v>
      </c>
      <c r="C234" s="2">
        <f t="shared" ref="C234" si="97">AP233</f>
        <v>5730.7866000000004</v>
      </c>
      <c r="D234" s="2">
        <f>SUMIFS(base[L/P Líquido],base[Data],Extrato!$B234,base[Método],Extrato!D$3,base[Exchange],"Fulltbet")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0</v>
      </c>
      <c r="I234" s="2">
        <f>SUMIF(BetFlow!B:B,B234,BetFlow!J:J)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Líquido],base[Data],Extrato!$B234,base[Método],Extrato!K$3)</f>
        <v>0</v>
      </c>
      <c r="L234" s="2">
        <f>SUMIFS(base[L/P Líquido],base[Data],Extrato!$B234,base[Método],Extrato!L$3,base[Exchange],"Fulltbet")</f>
        <v>0</v>
      </c>
      <c r="M234" s="2">
        <f>SUMIFS(base[L/P Líquido],base[Data],Extrato!$B234,base[Método],Extrato!M$3,base[Exchange],"Fulltbet")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0</v>
      </c>
      <c r="AA234" s="2">
        <f>SUMIFS(base[L/P Líquido],base[Data],Extrato!$B234,base[Método],Extrato!AA$3,base[Exchange],"Fulltbet")</f>
        <v>23.67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>SUM(C234:AO234)</f>
        <v>5660.1323500000008</v>
      </c>
      <c r="AR234" s="2">
        <f t="shared" ref="AR234" si="98">BK233</f>
        <v>1218.3315695092488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47"/>
        <v>1228.1315695092487</v>
      </c>
      <c r="BM234" s="2">
        <f t="shared" ref="BM234" si="99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1"/>
        <v>387.79</v>
      </c>
    </row>
    <row r="235" spans="2:76" ht="15" customHeight="1">
      <c r="B235" s="33">
        <v>46225</v>
      </c>
      <c r="C235" s="2">
        <f t="shared" ref="C235" si="100">AP234</f>
        <v>5660.1323500000008</v>
      </c>
      <c r="D235" s="2">
        <f>SUMIFS(base[L/P Líquido],base[Data],Extrato!$B235,base[Método],Extrato!D$3,base[Exchange],"Fulltbet")</f>
        <v>0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44.96</v>
      </c>
      <c r="H235" s="2">
        <f>SUMIFS(base[L/P Líquido],base[Data],Extrato!$B235,base[Método],Extrato!H$3)</f>
        <v>83.09</v>
      </c>
      <c r="I235" s="2">
        <f>SUMIF(BetFlow!B:B,B235,BetFlow!J:J)</f>
        <v>0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Líquido],base[Data],Extrato!$B235,base[Método],Extrato!K$3)</f>
        <v>48.03</v>
      </c>
      <c r="L235" s="2">
        <f>SUMIFS(base[L/P Líquido],base[Data],Extrato!$B235,base[Método],Extrato!L$3,base[Exchange],"Fulltbet")</f>
        <v>0</v>
      </c>
      <c r="M235" s="2">
        <f>SUMIFS(base[L/P Líquido],base[Data],Extrato!$B235,base[Método],Extrato!M$3,base[Exchange],"Fulltbet")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39.79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0</v>
      </c>
      <c r="AA235" s="2">
        <f>SUMIFS(base[L/P Líquido],base[Data],Extrato!$B235,base[Método],Extrato!AA$3,base[Exchange],"Fulltbet")</f>
        <v>38.36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>SUM(C235:AO235)</f>
        <v>6011.9423499999994</v>
      </c>
      <c r="AR235" s="2">
        <f t="shared" ref="AR235" si="101">BK234</f>
        <v>1228.1315695092487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47"/>
        <v>1004.6715695092488</v>
      </c>
      <c r="BM235" s="2">
        <f t="shared" ref="BM235" si="102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1"/>
        <v>387.79</v>
      </c>
    </row>
    <row r="236" spans="2:76" ht="15" customHeight="1">
      <c r="B236" s="33">
        <v>46226</v>
      </c>
      <c r="C236" s="2">
        <f t="shared" ref="C236" si="103">AP235</f>
        <v>6011.9423499999994</v>
      </c>
      <c r="D236" s="2">
        <f>SUMIFS(base[L/P Líquido],base[Data],Extrato!$B236,base[Método],Extrato!D$3,base[Exchange],"Fulltbet")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35.19</v>
      </c>
      <c r="H236" s="2">
        <f>SUMIFS(base[L/P Líquido],base[Data],Extrato!$B236,base[Método],Extrato!H$3)</f>
        <v>0</v>
      </c>
      <c r="I236" s="2">
        <f>SUMIF(BetFlow!B:B,B236,BetFlow!J:J)</f>
        <v>0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Líquido],base[Data],Extrato!$B236,base[Método],Extrato!K$3)</f>
        <v>0</v>
      </c>
      <c r="L236" s="2">
        <f>SUMIFS(base[L/P Líquido],base[Data],Extrato!$B236,base[Método],Extrato!L$3,base[Exchange],"Fulltbet")</f>
        <v>0</v>
      </c>
      <c r="M236" s="2">
        <f>SUMIFS(base[L/P Líquido],base[Data],Extrato!$B236,base[Método],Extrato!M$3,base[Exchange],"Fulltbet")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-39.51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Líquido],base[Data],Extrato!$B236,base[Método],Extrato!Z$3,base[Exchange],"Fulltbet")</f>
        <v>-54.57</v>
      </c>
      <c r="AA236" s="2">
        <f>SUMIFS(base[L/P Líquido],base[Data],Extrato!$B236,base[Método],Extrato!AA$3,base[Exchange],"Fulltbet")</f>
        <v>-176.05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>SUM(C236:AO236)</f>
        <v>5609.8723499999996</v>
      </c>
      <c r="AR236" s="2">
        <f t="shared" ref="AR236" si="104">BK235</f>
        <v>1004.6715695092488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47"/>
        <v>938.84156950924876</v>
      </c>
      <c r="BM236" s="2">
        <f t="shared" ref="BM236" si="105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1"/>
        <v>388.18</v>
      </c>
    </row>
    <row r="237" spans="2:76" ht="15" customHeight="1">
      <c r="B237" s="33">
        <v>46227</v>
      </c>
      <c r="C237" s="2">
        <f t="shared" ref="C237" si="106">AP236</f>
        <v>5609.8723499999996</v>
      </c>
      <c r="D237" s="2">
        <f>SUMIFS(base[L/P Líquido],base[Data],Extrato!$B237,base[Método],Extrato!D$3,base[Exchange],"Fulltbet")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49.039250000000003</v>
      </c>
      <c r="H237" s="2">
        <f>SUMIFS(base[L/P Líquido],base[Data],Extrato!$B237,base[Método],Extrato!H$3)</f>
        <v>0</v>
      </c>
      <c r="I237" s="2">
        <f>SUMIF(BetFlow!B:B,B237,BetFlow!J:J)</f>
        <v>0</v>
      </c>
      <c r="J237" s="2">
        <f>SUMIFS(base[L/P Líquido],base[Data],Extrato!$B237,base[Método],Extrato!J$3,base[Exchange],"Fulltbet")</f>
        <v>0</v>
      </c>
      <c r="K237" s="2">
        <f>SUMIFS(base[L/P Líquido],base[Data],Extrato!$B237,base[Método],Extrato!K$3)</f>
        <v>0</v>
      </c>
      <c r="L237" s="2">
        <f>SUMIFS(base[L/P Líquido],base[Data],Extrato!$B237,base[Método],Extrato!L$3,base[Exchange],"Fulltbet")</f>
        <v>0</v>
      </c>
      <c r="M237" s="2">
        <f>SUMIFS(base[L/P Líquido],base[Data],Extrato!$B237,base[Método],Extrato!M$3,base[Exchange],"Fulltbet")</f>
        <v>0</v>
      </c>
      <c r="N237" s="2">
        <f>SUMIFS(base[L/P Líquido],base[Data],Extrato!$B237,base[Método],Extrato!N$3,base[Exchange],"Fulltbet")</f>
        <v>29.838799999999999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26.53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0</v>
      </c>
      <c r="AA237" s="2">
        <f>SUMIFS(base[L/P Líquido],base[Data],Extrato!$B237,base[Método],Extrato!AA$3,base[Exchange],"Fulltbet")</f>
        <v>18.36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>SUM(C237:AO237)</f>
        <v>5736.8403999999991</v>
      </c>
      <c r="AR237" s="2">
        <f t="shared" ref="AR237" si="107">BK236</f>
        <v>938.84156950924876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47"/>
        <v>964.71156950924876</v>
      </c>
      <c r="BM237" s="2">
        <f t="shared" ref="BM237" si="108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1"/>
        <v>388.18</v>
      </c>
    </row>
    <row r="238" spans="2:76" ht="15" customHeight="1">
      <c r="B238" s="33">
        <v>46228</v>
      </c>
      <c r="C238" s="2">
        <f t="shared" ref="C238" si="109">AP237</f>
        <v>5736.8403999999991</v>
      </c>
      <c r="D238" s="2">
        <f>SUMIFS(base[L/P Líquido],base[Data],Extrato!$B238,base[Método],Extrato!D$3,base[Exchange],"Fulltbet")</f>
        <v>-300.01</v>
      </c>
      <c r="E238" s="2">
        <f>SUMIFS(base[L/P Líquido],base[Data],Extrato!$B238,base[Método],Extrato!E$3,base[Exchange],"Fulltbet")</f>
        <v>0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90.09</v>
      </c>
      <c r="I238" s="2">
        <f>SUMIF(BetFlow!B:B,B238,BetFlow!J:J)</f>
        <v>0</v>
      </c>
      <c r="J238" s="2">
        <f>SUMIFS(base[L/P Líquido],base[Data],Extrato!$B238,base[Método],Extrato!J$3,base[Exchange],"Fulltbet")</f>
        <v>0</v>
      </c>
      <c r="K238" s="2">
        <f>SUMIFS(base[L/P Líquido],base[Data],Extrato!$B238,base[Método],Extrato!K$3)</f>
        <v>0</v>
      </c>
      <c r="L238" s="2">
        <f>SUMIFS(base[L/P Líquido],base[Data],Extrato!$B238,base[Método],Extrato!L$3,base[Exchange],"Fulltbet")</f>
        <v>0</v>
      </c>
      <c r="M238" s="2">
        <f>SUMIFS(base[L/P Líquido],base[Data],Extrato!$B238,base[Método],Extrato!M$3,base[Exchange],"Fulltbet")</f>
        <v>0</v>
      </c>
      <c r="N238" s="2">
        <f>SUMIFS(base[L/P Líquido],base[Data],Extrato!$B238,base[Método],Extrato!N$3,base[Exchange],"Fulltbet")</f>
        <v>27.97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39.79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0</v>
      </c>
      <c r="AA238" s="2">
        <f>SUMIFS(base[L/P Líquido],base[Data],Extrato!$B238,base[Método],Extrato!AA$3,base[Exchange],"Fulltbet")</f>
        <v>6.82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>SUM(C238:AO238)</f>
        <v>5342.9704000000002</v>
      </c>
      <c r="AR238" s="2">
        <f t="shared" ref="AR238" si="110">BK237</f>
        <v>964.71156950924876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47"/>
        <v>978.35156950924875</v>
      </c>
      <c r="BM238" s="2">
        <f t="shared" ref="BM238" si="111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2">SUM(BM238:BW238)</f>
        <v>443.91</v>
      </c>
    </row>
    <row r="239" spans="2:76" ht="15" customHeight="1">
      <c r="B239" s="33">
        <v>46229</v>
      </c>
      <c r="C239" s="2">
        <f t="shared" ref="C239" si="113">AP238</f>
        <v>5342.9704000000002</v>
      </c>
      <c r="D239" s="2">
        <f>SUMIFS(base[L/P Líquido],base[Data],Extrato!$B239,base[Método],Extrato!D$3,base[Exchange],"Fulltbet")</f>
        <v>57.73</v>
      </c>
      <c r="E239" s="2">
        <f>SUMIFS(base[L/P Líquido],base[Data],Extrato!$B239,base[Método],Extrato!E$3,base[Exchange],"Fulltbet")</f>
        <v>76.400000000000006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22.059999999999995</v>
      </c>
      <c r="H239" s="2">
        <f>SUMIFS(base[L/P Líquido],base[Data],Extrato!$B239,base[Método],Extrato!H$3)</f>
        <v>-121.81</v>
      </c>
      <c r="I239" s="2">
        <f>SUMIF(BetFlow!B:B,B239,BetFlow!J:J)</f>
        <v>0</v>
      </c>
      <c r="J239" s="2">
        <f>SUMIFS(base[L/P Líquido],base[Data],Extrato!$B239,base[Método],Extrato!J$3,base[Exchange],"Fulltbet")</f>
        <v>0</v>
      </c>
      <c r="K239" s="2">
        <f>SUMIFS(base[L/P Líquido],base[Data],Extrato!$B239,base[Método],Extrato!K$3)</f>
        <v>44.61</v>
      </c>
      <c r="L239" s="2">
        <f>SUMIFS(base[L/P Líquido],base[Data],Extrato!$B239,base[Método],Extrato!L$3,base[Exchange],"Fulltbet")</f>
        <v>0</v>
      </c>
      <c r="M239" s="2">
        <f>SUMIFS(base[L/P Líquido],base[Data],Extrato!$B239,base[Método],Extrato!M$3,base[Exchange],"Fulltbet")</f>
        <v>0</v>
      </c>
      <c r="N239" s="2">
        <f>SUMIFS(base[L/P Líquido],base[Data],Extrato!$B239,base[Método],Extrato!N$3,base[Exchange],"Fulltbet")</f>
        <v>76.400199999999998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21.71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0</v>
      </c>
      <c r="AA239" s="2">
        <f>SUMIFS(base[L/P Líquido],base[Data],Extrato!$B239,base[Método],Extrato!AA$3,base[Exchange],"Fulltbet")</f>
        <v>12.96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>SUM(C239:AO239)</f>
        <v>5331.9149999999991</v>
      </c>
      <c r="AR239" s="2">
        <f t="shared" ref="AR239" si="114">BK238</f>
        <v>978.35156950924875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0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47"/>
        <v>617.88156950924872</v>
      </c>
      <c r="BM239" s="2">
        <f t="shared" ref="BM239" si="115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2"/>
        <v>390.01</v>
      </c>
    </row>
    <row r="240" spans="2:76" ht="15" customHeight="1">
      <c r="B240" s="33">
        <v>46230</v>
      </c>
      <c r="C240" s="2">
        <f t="shared" ref="C240" si="116">AP239</f>
        <v>5331.9149999999991</v>
      </c>
      <c r="D240" s="2">
        <f>SUMIFS(base[L/P Líquido],base[Data],Extrato!$B240,base[Método],Extrato!D$3,base[Exchange],"Fulltbet")</f>
        <v>0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31.83</v>
      </c>
      <c r="H240" s="2">
        <f>SUMIFS(base[L/P Líquido],base[Data],Extrato!$B240,base[Método],Extrato!H$3)</f>
        <v>0</v>
      </c>
      <c r="I240" s="2">
        <f>SUMIF(BetFlow!B:B,B240,BetFlow!J:J)</f>
        <v>0</v>
      </c>
      <c r="J240" s="2">
        <f>SUMIFS(base[L/P Líquido],base[Data],Extrato!$B240,base[Método],Extrato!J$3,base[Exchange],"Fulltbet")</f>
        <v>4.3400000000000007</v>
      </c>
      <c r="K240" s="2">
        <f>SUMIFS(base[L/P Líquido],base[Data],Extrato!$B240,base[Método],Extrato!K$3)</f>
        <v>26.39</v>
      </c>
      <c r="L240" s="2">
        <f>SUMIFS(base[L/P Líquido],base[Data],Extrato!$B240,base[Método],Extrato!L$3,base[Exchange],"Fulltbet")</f>
        <v>0</v>
      </c>
      <c r="M240" s="2">
        <f>SUMIFS(base[L/P Líquido],base[Data],Extrato!$B240,base[Método],Extrato!M$3,base[Exchange],"Fulltbet")</f>
        <v>0</v>
      </c>
      <c r="N240" s="2">
        <f>SUMIFS(base[L/P Líquido],base[Data],Extrato!$B240,base[Método],Extrato!N$3,base[Exchange],"Fulltbet")</f>
        <v>16.239999999999998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0</v>
      </c>
      <c r="AA240" s="2">
        <f>SUMIFS(base[L/P Líquido],base[Data],Extrato!$B240,base[Método],Extrato!AA$3,base[Exchange],"Fulltbet")</f>
        <v>51.129999999999995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>SUM(C240:AO240)</f>
        <v>5328.9549999999999</v>
      </c>
      <c r="AR240" s="2">
        <f t="shared" ref="AR240" si="117">BK239</f>
        <v>617.88156950924872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47"/>
        <v>617.88156950924872</v>
      </c>
      <c r="BM240" s="2">
        <f t="shared" ref="BM240" si="118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2"/>
        <v>390.01</v>
      </c>
    </row>
    <row r="241" spans="2:76" ht="15" customHeight="1">
      <c r="B241" s="33">
        <v>46231</v>
      </c>
      <c r="C241" s="2">
        <f t="shared" ref="C241" si="119">AP240</f>
        <v>5328.9549999999999</v>
      </c>
      <c r="D241" s="2">
        <f>SUMIFS(base[L/P Líquido],base[Data],Extrato!$B241,base[Método],Extrato!D$3,base[Exchange],"Fulltbet")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SUMIF(BetFlow!B:B,B241,BetFlow!J:J)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Líquido],base[Data],Extrato!$B241,base[Método],Extrato!K$3)</f>
        <v>0</v>
      </c>
      <c r="L241" s="2">
        <f>SUMIFS(base[L/P Líquido],base[Data],Extrato!$B241,base[Método],Extrato!L$3,base[Exchange],"Fulltbet")</f>
        <v>0</v>
      </c>
      <c r="M241" s="2">
        <f>SUMIFS(base[L/P Líquido],base[Data],Extrato!$B241,base[Método],Extrato!M$3,base[Exchange],"Fulltbet")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0</v>
      </c>
      <c r="AA241" s="2">
        <f>SUMIFS(base[L/P Líquido],base[Data],Extrato!$B241,base[Método],Extrato!AA$3,base[Exchange],"Fulltbet")</f>
        <v>21.36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>SUM(C241:AO241)</f>
        <v>5383.1449999999995</v>
      </c>
      <c r="AR241" s="2">
        <f t="shared" ref="AR241" si="120">BK240</f>
        <v>617.88156950924872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47"/>
        <v>617.88156950924872</v>
      </c>
      <c r="BM241" s="2">
        <f t="shared" ref="BM241" si="121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2"/>
        <v>390.01</v>
      </c>
    </row>
    <row r="242" spans="2:76" ht="15" customHeight="1">
      <c r="B242" s="33">
        <v>46232</v>
      </c>
      <c r="C242" s="2">
        <f t="shared" ref="C242" si="122">AP241</f>
        <v>5383.1449999999995</v>
      </c>
      <c r="D242" s="2">
        <f>SUMIFS(base[L/P Líquido],base[Data],Extrato!$B242,base[Método],Extrato!D$3,base[Exchange],"Fulltbet")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-100.84</v>
      </c>
      <c r="I242" s="2">
        <f>SUMIF(BetFlow!B:B,B242,BetFlow!J:J)</f>
        <v>0</v>
      </c>
      <c r="J242" s="2">
        <f>SUMIFS(base[L/P Líquido],base[Data],Extrato!$B242,base[Método],Extrato!J$3,base[Exchange],"Fulltbet")</f>
        <v>0</v>
      </c>
      <c r="K242" s="2">
        <f>SUMIFS(base[L/P Líquido],base[Data],Extrato!$B242,base[Método],Extrato!K$3)</f>
        <v>0</v>
      </c>
      <c r="L242" s="2">
        <f>SUMIFS(base[L/P Líquido],base[Data],Extrato!$B242,base[Método],Extrato!L$3,base[Exchange],"Fulltbet")</f>
        <v>0</v>
      </c>
      <c r="M242" s="2">
        <f>SUMIFS(base[L/P Líquido],base[Data],Extrato!$B242,base[Método],Extrato!M$3,base[Exchange],"Fulltbet")</f>
        <v>0</v>
      </c>
      <c r="N242" s="2">
        <f>SUMIFS(base[L/P Líquido],base[Data],Extrato!$B242,base[Método],Extrato!N$3,base[Exchange],"Fulltbet")</f>
        <v>29.36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37.729999999999997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0</v>
      </c>
      <c r="AA242" s="2">
        <f>SUMIFS(base[L/P Líquido],base[Data],Extrato!$B242,base[Método],Extrato!AA$3,base[Exchange],"Fulltbet")</f>
        <v>5.46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>SUM(C242:AO242)</f>
        <v>5333.3549999999987</v>
      </c>
      <c r="AR242" s="2">
        <f t="shared" ref="AR242" si="123">BK241</f>
        <v>617.88156950924872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47"/>
        <v>617.88156950924872</v>
      </c>
      <c r="BM242" s="2">
        <f t="shared" ref="BM242" si="124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2"/>
        <v>390.01</v>
      </c>
    </row>
    <row r="243" spans="2:76" ht="15" customHeight="1">
      <c r="B243" s="33">
        <v>46233</v>
      </c>
      <c r="C243" s="2">
        <f t="shared" ref="C243" si="125">AP242</f>
        <v>5333.3549999999987</v>
      </c>
      <c r="D243" s="2">
        <f>SUMIFS(base[L/P Líquido],base[Data],Extrato!$B243,base[Método],Extrato!D$3,base[Exchange],"Fulltbet")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0</v>
      </c>
      <c r="I243" s="2">
        <f>SUMIF(BetFlow!B:B,B243,BetFlow!J:J)</f>
        <v>0</v>
      </c>
      <c r="J243" s="2">
        <f>SUMIFS(base[L/P Líquido],base[Data],Extrato!$B243,base[Método],Extrato!J$3,base[Exchange],"Fulltbet")</f>
        <v>0.05</v>
      </c>
      <c r="K243" s="2">
        <f>SUMIFS(base[L/P Líquido],base[Data],Extrato!$B243,base[Método],Extrato!K$3)</f>
        <v>0</v>
      </c>
      <c r="L243" s="2">
        <f>SUMIFS(base[L/P Líquido],base[Data],Extrato!$B243,base[Método],Extrato!L$3,base[Exchange],"Fulltbet")</f>
        <v>0</v>
      </c>
      <c r="M243" s="2">
        <f>SUMIFS(base[L/P Líquido],base[Data],Extrato!$B243,base[Método],Extrato!M$3,base[Exchange],"Fulltbet")</f>
        <v>0</v>
      </c>
      <c r="N243" s="2">
        <f>SUMIFS(base[L/P Líquido],base[Data],Extrato!$B243,base[Método],Extrato!N$3,base[Exchange],"Fulltbet")</f>
        <v>0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17.38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>SUM(C243:AO243)</f>
        <v>5360.5349999999989</v>
      </c>
      <c r="AR243" s="2">
        <f t="shared" ref="AR243" si="126">BK242</f>
        <v>617.88156950924872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47"/>
        <v>617.88156950924872</v>
      </c>
      <c r="BM243" s="2">
        <f t="shared" ref="BM243" si="127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2"/>
        <v>390.01</v>
      </c>
    </row>
    <row r="244" spans="2:76" ht="15" customHeight="1">
      <c r="B244" s="33">
        <v>46234</v>
      </c>
      <c r="C244" s="2">
        <f t="shared" ref="C244" si="128">AP243</f>
        <v>5360.5349999999989</v>
      </c>
      <c r="D244" s="2">
        <f>SUMIFS(base[L/P Líquido],base[Data],Extrato!$B244,base[Método],Extrato!D$3,base[Exchange],"Fulltbet")</f>
        <v>-153.77000000000001</v>
      </c>
      <c r="E244" s="2">
        <f>SUMIFS(base[L/P Líquido],base[Data],Extrato!$B244,base[Método],Extrato!E$3,base[Exchange],"Fulltbet")</f>
        <v>0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36.29</v>
      </c>
      <c r="H244" s="2">
        <f>SUMIFS(base[L/P Líquido],base[Data],Extrato!$B244,base[Método],Extrato!H$3)</f>
        <v>0</v>
      </c>
      <c r="I244" s="2">
        <f>SUMIF(BetFlow!B:B,B244,BetFlow!J:J)</f>
        <v>0</v>
      </c>
      <c r="J244" s="2">
        <f>SUMIFS(base[L/P Líquido],base[Data],Extrato!$B244,base[Método],Extrato!J$3,base[Exchange],"Fulltbet")</f>
        <v>-5.89</v>
      </c>
      <c r="K244" s="2">
        <f>SUMIFS(base[L/P Líquido],base[Data],Extrato!$B244,base[Método],Extrato!K$3)</f>
        <v>17.36</v>
      </c>
      <c r="L244" s="2">
        <f>SUMIFS(base[L/P Líquido],base[Data],Extrato!$B244,base[Método],Extrato!L$3,base[Exchange],"Fulltbet")</f>
        <v>0</v>
      </c>
      <c r="M244" s="2">
        <f>SUMIFS(base[L/P Líquido],base[Data],Extrato!$B244,base[Método],Extrato!M$3,base[Exchange],"Fulltbet")</f>
        <v>0</v>
      </c>
      <c r="N244" s="2">
        <f>SUMIFS(base[L/P Líquido],base[Data],Extrato!$B244,base[Método],Extrato!N$3,base[Exchange],"Fulltbet")</f>
        <v>9.24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-50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0</v>
      </c>
      <c r="AA244" s="2">
        <f>SUMIFS(base[L/P Líquido],base[Data],Extrato!$B244,base[Método],Extrato!AA$3,base[Exchange],"Fulltbet")</f>
        <v>7.9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>SUM(C244:AO244)</f>
        <v>5226.5149999999976</v>
      </c>
      <c r="AR244" s="2">
        <f t="shared" ref="AR244" si="129">BK243</f>
        <v>617.88156950924872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47"/>
        <v>581.13156950924872</v>
      </c>
      <c r="BM244" s="2">
        <f t="shared" ref="BM244" si="130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2"/>
        <v>390.01</v>
      </c>
    </row>
    <row r="245" spans="2:76" ht="15" customHeight="1">
      <c r="B245" s="33">
        <v>46235</v>
      </c>
      <c r="C245" s="2">
        <f t="shared" ref="C245" si="131">AP244</f>
        <v>5226.5149999999976</v>
      </c>
      <c r="D245" s="2">
        <f>SUMIFS(base[L/P Líquido],base[Data],Extrato!$B245,base[Método],Extrato!D$3,base[Exchange],"Fulltbet")</f>
        <v>140.98000000000002</v>
      </c>
      <c r="E245" s="2">
        <f>SUMIFS(base[L/P Líquido],base[Data],Extrato!$B245,base[Método],Extrato!E$3,base[Exchange],"Fulltbet")</f>
        <v>0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0</v>
      </c>
      <c r="I245" s="2">
        <f>SUMIF(BetFlow!B:B,B245,BetFlow!J:J)</f>
        <v>0</v>
      </c>
      <c r="J245" s="2">
        <f>SUMIFS(base[L/P Líquido],base[Data],Extrato!$B245,base[Método],Extrato!J$3,base[Exchange],"Fulltbet")</f>
        <v>0</v>
      </c>
      <c r="K245" s="2">
        <f>SUMIFS(base[L/P Líquido],base[Data],Extrato!$B245,base[Método],Extrato!K$3)</f>
        <v>57.870000000000005</v>
      </c>
      <c r="L245" s="2">
        <f>SUMIFS(base[L/P Líquido],base[Data],Extrato!$B245,base[Método],Extrato!L$3,base[Exchange],"Fulltbet")</f>
        <v>0</v>
      </c>
      <c r="M245" s="2">
        <f>SUMIFS(base[L/P Líquido],base[Data],Extrato!$B245,base[Método],Extrato!M$3,base[Exchange],"Fulltbet")</f>
        <v>0</v>
      </c>
      <c r="N245" s="2">
        <f>SUMIFS(base[L/P Líquido],base[Data],Extrato!$B245,base[Método],Extrato!N$3,base[Exchange],"Fulltbet")</f>
        <v>26.23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25.61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0</v>
      </c>
      <c r="AA245" s="2">
        <f>SUMIFS(base[L/P Líquido],base[Data],Extrato!$B245,base[Método],Extrato!AA$3,base[Exchange],"Fulltbet")</f>
        <v>50.47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>SUM(C245:AO245)</f>
        <v>5525.9449999999961</v>
      </c>
      <c r="AR245" s="2">
        <f t="shared" ref="AR245" si="132">BK244</f>
        <v>581.13156950924872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47"/>
        <v>581.13156950924872</v>
      </c>
      <c r="BM245" s="2">
        <f t="shared" ref="BM245" si="133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2"/>
        <v>390.01</v>
      </c>
    </row>
    <row r="246" spans="2:76" ht="15" customHeight="1">
      <c r="B246" s="33">
        <v>46236</v>
      </c>
      <c r="C246" s="2">
        <f t="shared" ref="C246" si="134">AP245</f>
        <v>5525.9449999999961</v>
      </c>
      <c r="D246" s="2">
        <f>SUMIFS(base[L/P Líquido],base[Data],Extrato!$B246,base[Método],Extrato!D$3,base[Exchange],"Fulltbet")</f>
        <v>0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Líquido],base[Data],Extrato!$B246,base[Método],Extrato!H$3)</f>
        <v>0</v>
      </c>
      <c r="I246" s="2">
        <f>SUMIF(BetFlow!B:B,B246,BetFlow!J:J)</f>
        <v>0</v>
      </c>
      <c r="J246" s="2">
        <f>SUMIFS(base[L/P Líquido],base[Data],Extrato!$B246,base[Método],Extrato!J$3,base[Exchange],"Fulltbet")</f>
        <v>-2.5600000000000005</v>
      </c>
      <c r="K246" s="2">
        <f>SUMIFS(base[L/P Líquido],base[Data],Extrato!$B246,base[Método],Extrato!K$3)</f>
        <v>66.13</v>
      </c>
      <c r="L246" s="2">
        <f>SUMIFS(base[L/P Líquido],base[Data],Extrato!$B246,base[Método],Extrato!L$3,base[Exchange],"Fulltbet")</f>
        <v>0</v>
      </c>
      <c r="M246" s="2">
        <f>SUMIFS(base[L/P Líquido],base[Data],Extrato!$B246,base[Método],Extrato!M$3,base[Exchange],"Fulltbet")</f>
        <v>0</v>
      </c>
      <c r="N246" s="2">
        <f>SUMIFS(base[L/P Líquido],base[Data],Extrato!$B246,base[Método],Extrato!N$3,base[Exchange],"Fulltbet")</f>
        <v>23.68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50.5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0</v>
      </c>
      <c r="AA246" s="2">
        <f>SUMIFS(base[L/P Líquido],base[Data],Extrato!$B246,base[Método],Extrato!AA$3,base[Exchange],"Fulltbet")</f>
        <v>16.11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>SUM(C246:AO246)</f>
        <v>5327.0849999999955</v>
      </c>
      <c r="AR246" s="2">
        <f t="shared" ref="AR246" si="135">BK245</f>
        <v>581.13156950924872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36">SUM(AR246:BJ246)</f>
        <v>581.13156950924872</v>
      </c>
      <c r="BM246" s="2">
        <f t="shared" ref="BM246" si="137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2"/>
        <v>390.01</v>
      </c>
    </row>
    <row r="247" spans="2:76" ht="15" customHeight="1">
      <c r="B247" s="33">
        <v>46237</v>
      </c>
      <c r="C247" s="2">
        <f t="shared" ref="C247" si="138">AP246</f>
        <v>5327.0849999999955</v>
      </c>
      <c r="D247" s="2">
        <f>SUMIFS(base[L/P Líquido],base[Data],Extrato!$B247,base[Método],Extrato!D$3,base[Exchange],"Fulltbet")</f>
        <v>0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Líquido],base[Data],Extrato!$B247,base[Método],Extrato!H$3)</f>
        <v>0</v>
      </c>
      <c r="I247" s="2">
        <f>SUMIF(BetFlow!B:B,B247,BetFlow!J:J)</f>
        <v>0</v>
      </c>
      <c r="J247" s="2">
        <f>SUMIFS(base[L/P Líquido],base[Data],Extrato!$B247,base[Método],Extrato!J$3,base[Exchange],"Fulltbet")</f>
        <v>0</v>
      </c>
      <c r="K247" s="2">
        <f>SUMIFS(base[L/P Líquido],base[Data],Extrato!$B247,base[Método],Extrato!K$3)</f>
        <v>34.56</v>
      </c>
      <c r="L247" s="2">
        <f>SUMIFS(base[L/P Líquido],base[Data],Extrato!$B247,base[Método],Extrato!L$3,base[Exchange],"Fulltbet")</f>
        <v>0</v>
      </c>
      <c r="M247" s="2">
        <f>SUMIFS(base[L/P Líquido],base[Data],Extrato!$B247,base[Método],Extrato!M$3,base[Exchange],"Fulltbet")</f>
        <v>0</v>
      </c>
      <c r="N247" s="2">
        <f>SUMIFS(base[L/P Líquido],base[Data],Extrato!$B247,base[Método],Extrato!N$3,base[Exchange],"Fulltbet")</f>
        <v>13.03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-31.85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>SUM(C247:AO247)</f>
        <v>5394.4449999999952</v>
      </c>
      <c r="AR247" s="2">
        <f t="shared" ref="AR247" si="139">BK246</f>
        <v>581.13156950924872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36"/>
        <v>581.13156950924872</v>
      </c>
      <c r="BM247" s="2">
        <f t="shared" ref="BM247" si="140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2"/>
        <v>390.01</v>
      </c>
    </row>
    <row r="248" spans="2:76" ht="15" customHeight="1">
      <c r="B248" s="33">
        <v>46238</v>
      </c>
      <c r="C248" s="2">
        <f t="shared" ref="C248" si="141">AP247</f>
        <v>5394.4449999999952</v>
      </c>
      <c r="D248" s="2">
        <f>SUMIFS(base[L/P Líquido],base[Data],Extrato!$B248,base[Método],Extrato!D$3,base[Exchange],"Fulltbet")</f>
        <v>0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SUMIF(BetFlow!B:B,B248,BetFlow!J:J)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Líquido],base[Data],Extrato!$B248,base[Método],Extrato!K$3)</f>
        <v>13.67</v>
      </c>
      <c r="L248" s="2">
        <f>SUMIFS(base[L/P Líquido],base[Data],Extrato!$B248,base[Método],Extrato!L$3,base[Exchange],"Fulltbet")</f>
        <v>0</v>
      </c>
      <c r="M248" s="2">
        <f>SUMIFS(base[L/P Líquido],base[Data],Extrato!$B248,base[Método],Extrato!M$3,base[Exchange],"Fulltbet")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-0.83999999999999631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>SUM(C248:AO248)</f>
        <v>5407.2649999999949</v>
      </c>
      <c r="AR248" s="2">
        <f t="shared" ref="AR248" si="142">BK247</f>
        <v>581.13156950924872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36"/>
        <v>581.13156950924872</v>
      </c>
      <c r="BM248" s="2">
        <f t="shared" ref="BM248" si="143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2"/>
        <v>390.01</v>
      </c>
    </row>
    <row r="249" spans="2:76" ht="15" customHeight="1">
      <c r="B249" s="33">
        <v>46239</v>
      </c>
      <c r="C249" s="2">
        <f t="shared" ref="C249" si="144">AP248</f>
        <v>5407.2649999999949</v>
      </c>
      <c r="D249" s="2">
        <f>SUMIFS(base[L/P Líquido],base[Data],Extrato!$B249,base[Método],Extrato!D$3,base[Exchange],"Fulltbet")</f>
        <v>0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Líquido],base[Data],Extrato!$B249,base[Método],Extrato!H$3)</f>
        <v>0</v>
      </c>
      <c r="I249" s="2">
        <f>SUMIF(BetFlow!B:B,B249,BetFlow!J:J)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Líquido],base[Data],Extrato!$B249,base[Método],Extrato!K$3)</f>
        <v>17.11</v>
      </c>
      <c r="L249" s="2">
        <f>SUMIFS(base[L/P Líquido],base[Data],Extrato!$B249,base[Método],Extrato!L$3,base[Exchange],"Fulltbet")</f>
        <v>0</v>
      </c>
      <c r="M249" s="2">
        <f>SUMIFS(base[L/P Líquido],base[Data],Extrato!$B249,base[Método],Extrato!M$3,base[Exchange],"Fulltbet")</f>
        <v>6.69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0</v>
      </c>
      <c r="AA249" s="2">
        <f>SUMIFS(base[L/P Líquido],base[Data],Extrato!$B249,base[Método],Extrato!AA$3,base[Exchange],"Fulltbet")</f>
        <v>37.379999999999995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>SUM(C249:AO249)</f>
        <v>5504.2549999999947</v>
      </c>
      <c r="AR249" s="2">
        <f t="shared" ref="AR249" si="145">BK248</f>
        <v>581.13156950924872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36"/>
        <v>581.13156950924872</v>
      </c>
      <c r="BM249" s="2">
        <f t="shared" ref="BM249" si="146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2"/>
        <v>390.01</v>
      </c>
    </row>
    <row r="250" spans="2:76" ht="15" customHeight="1">
      <c r="B250" s="33">
        <v>46240</v>
      </c>
      <c r="C250" s="2">
        <f t="shared" ref="C250" si="147">AP249</f>
        <v>5504.2549999999947</v>
      </c>
      <c r="D250" s="2">
        <f>SUMIFS(base[L/P Líquido],base[Data],Extrato!$B250,base[Método],Extrato!D$3,base[Exchange],"Fulltbet")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0</v>
      </c>
      <c r="I250" s="2">
        <f>SUMIF(BetFlow!B:B,B250,BetFlow!J:J)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Líquido],base[Data],Extrato!$B250,base[Método],Extrato!K$3)</f>
        <v>0</v>
      </c>
      <c r="L250" s="2">
        <f>SUMIFS(base[L/P Líquido],base[Data],Extrato!$B250,base[Método],Extrato!L$3,base[Exchange],"Fulltbet")</f>
        <v>0</v>
      </c>
      <c r="M250" s="2">
        <f>SUMIFS(base[L/P Líquido],base[Data],Extrato!$B250,base[Método],Extrato!M$3,base[Exchange],"Fulltbet")</f>
        <v>16.240000000000002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>SUM(C250:AO250)</f>
        <v>5527.0449999999946</v>
      </c>
      <c r="AR250" s="2">
        <f t="shared" ref="AR250" si="148">BK249</f>
        <v>581.13156950924872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49">SUM(AR250:BJ250)</f>
        <v>581.13156950924872</v>
      </c>
      <c r="BM250" s="2">
        <f t="shared" ref="BM250" si="150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2"/>
        <v>390.01</v>
      </c>
    </row>
    <row r="251" spans="2:76" ht="15" customHeight="1">
      <c r="B251" s="33">
        <v>46241</v>
      </c>
      <c r="C251" s="2">
        <f t="shared" ref="C251" si="151">AP250</f>
        <v>5527.0449999999946</v>
      </c>
      <c r="D251" s="2">
        <f>SUMIFS(base[L/P Líquido],base[Data],Extrato!$B251,base[Método],Extrato!D$3,base[Exchange],"Fulltbet")</f>
        <v>0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Líquido],base[Data],Extrato!$B251,base[Método],Extrato!H$3)</f>
        <v>-120</v>
      </c>
      <c r="I251" s="2">
        <f>SUMIF(BetFlow!B:B,B251,BetFlow!J:J)</f>
        <v>0</v>
      </c>
      <c r="J251" s="2">
        <f>SUMIFS(base[L/P Líquido],base[Data],Extrato!$B251,base[Método],Extrato!J$3,base[Exchange],"Fulltbet")</f>
        <v>0</v>
      </c>
      <c r="K251" s="2">
        <f>SUMIFS(base[L/P Líquido],base[Data],Extrato!$B251,base[Método],Extrato!K$3)</f>
        <v>32.83</v>
      </c>
      <c r="L251" s="2">
        <f>SUMIFS(base[L/P Líquido],base[Data],Extrato!$B251,base[Método],Extrato!L$3,base[Exchange],"Fulltbet")</f>
        <v>0</v>
      </c>
      <c r="M251" s="2">
        <f>SUMIFS(base[L/P Líquido],base[Data],Extrato!$B251,base[Método],Extrato!M$3,base[Exchange],"Fulltbet")</f>
        <v>27.130000000000003</v>
      </c>
      <c r="N251" s="2">
        <f>SUMIFS(base[L/P Líquido],base[Data],Extrato!$B251,base[Método],Extrato!N$3,base[Exchange],"Fulltbet")</f>
        <v>-453.25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-39.75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0</v>
      </c>
      <c r="AA251" s="2">
        <f>SUMIFS(base[L/P Líquido],base[Data],Extrato!$B251,base[Método],Extrato!AA$3,base[Exchange],"Fulltbet")</f>
        <v>94.36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>SUM(C251:AO251)</f>
        <v>5214.6949999999943</v>
      </c>
      <c r="AR251" s="2">
        <f t="shared" ref="AR251" si="152">BK250</f>
        <v>581.13156950924872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3">SUM(AR251:BJ251)</f>
        <v>581.13156950924872</v>
      </c>
      <c r="BM251" s="2">
        <f t="shared" ref="BM251" si="154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2"/>
        <v>390.01</v>
      </c>
    </row>
    <row r="252" spans="2:76" ht="15" customHeight="1">
      <c r="B252" s="33">
        <v>46242</v>
      </c>
      <c r="C252" s="2">
        <f t="shared" ref="C252" si="155">AP251</f>
        <v>5214.6949999999943</v>
      </c>
      <c r="D252" s="2">
        <f>SUMIFS(base[L/P Líquido],base[Data],Extrato!$B252,base[Método],Extrato!D$3,base[Exchange],"Fulltbet")</f>
        <v>59.69</v>
      </c>
      <c r="E252" s="2">
        <f>SUMIFS(base[L/P Líquido],base[Data],Extrato!$B252,base[Método],Extrato!E$3,base[Exchange],"Fulltbet")</f>
        <v>0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27.06</v>
      </c>
      <c r="H252" s="2">
        <f>SUMIFS(base[L/P Líquido],base[Data],Extrato!$B252,base[Método],Extrato!H$3)</f>
        <v>107.72</v>
      </c>
      <c r="I252" s="2">
        <f>SUMIF(BetFlow!B:B,B252,BetFlow!J:J)</f>
        <v>0</v>
      </c>
      <c r="J252" s="2">
        <f>SUMIFS(base[L/P Líquido],base[Data],Extrato!$B252,base[Método],Extrato!J$3,base[Exchange],"Fulltbet")</f>
        <v>0</v>
      </c>
      <c r="K252" s="2">
        <f>SUMIFS(base[L/P Líquido],base[Data],Extrato!$B252,base[Método],Extrato!K$3)</f>
        <v>0</v>
      </c>
      <c r="L252" s="2">
        <f>SUMIFS(base[L/P Líquido],base[Data],Extrato!$B252,base[Método],Extrato!L$3,base[Exchange],"Fulltbet")</f>
        <v>0</v>
      </c>
      <c r="M252" s="2">
        <f>SUMIFS(base[L/P Líquido],base[Data],Extrato!$B252,base[Método],Extrato!M$3,base[Exchange],"Fulltbet")</f>
        <v>18.779999999999998</v>
      </c>
      <c r="N252" s="2">
        <f>SUMIFS(base[L/P Líquido],base[Data],Extrato!$B252,base[Método],Extrato!N$3,base[Exchange],"Fulltbet")</f>
        <v>18.46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-87.789999999999992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0</v>
      </c>
      <c r="AA252" s="2">
        <f>SUMIFS(base[L/P Líquido],base[Data],Extrato!$B252,base[Método],Extrato!AA$3,base[Exchange],"Fulltbet")</f>
        <v>-47.300000000000011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>SUM(C252:AO252)</f>
        <v>5340.264999999994</v>
      </c>
      <c r="AR252" s="2">
        <f t="shared" ref="AR252" si="156">BK251</f>
        <v>581.13156950924872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57">SUM(AR252:BJ252)</f>
        <v>581.13156950924872</v>
      </c>
      <c r="BM252" s="2">
        <f t="shared" ref="BM252" si="158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2"/>
        <v>390.01</v>
      </c>
    </row>
    <row r="253" spans="2:76" ht="15" customHeight="1">
      <c r="B253" s="33">
        <v>46243</v>
      </c>
      <c r="C253" s="2">
        <f t="shared" ref="C253" si="159">AP252</f>
        <v>5340.264999999994</v>
      </c>
      <c r="D253" s="2">
        <f>SUMIFS(base[L/P Líquido],base[Data],Extrato!$B253,base[Método],Extrato!D$3,base[Exchange],"Fulltbet")</f>
        <v>-377.55</v>
      </c>
      <c r="E253" s="2">
        <f>SUMIFS(base[L/P Líquido],base[Data],Extrato!$B253,base[Método],Extrato!E$3,base[Exchange],"Fulltbet")</f>
        <v>132.5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-450.01</v>
      </c>
      <c r="H253" s="2">
        <f>SUMIFS(base[L/P Líquido],base[Data],Extrato!$B253,base[Método],Extrato!H$3)</f>
        <v>112.13</v>
      </c>
      <c r="I253" s="2">
        <f>SUMIF(BetFlow!B:B,B253,BetFlow!J:J)</f>
        <v>0</v>
      </c>
      <c r="J253" s="2">
        <f>SUMIFS(base[L/P Líquido],base[Data],Extrato!$B253,base[Método],Extrato!J$3,base[Exchange],"Fulltbet")</f>
        <v>0</v>
      </c>
      <c r="K253" s="2">
        <f>SUMIFS(base[L/P Líquido],base[Data],Extrato!$B253,base[Método],Extrato!K$3)</f>
        <v>0</v>
      </c>
      <c r="L253" s="2">
        <f>SUMIFS(base[L/P Líquido],base[Data],Extrato!$B253,base[Método],Extrato!L$3,base[Exchange],"Fulltbet")</f>
        <v>0</v>
      </c>
      <c r="M253" s="2">
        <f>SUMIFS(base[L/P Líquido],base[Data],Extrato!$B253,base[Método],Extrato!M$3,base[Exchange],"Fulltbet")</f>
        <v>-26.459999999999994</v>
      </c>
      <c r="N253" s="2">
        <f>SUMIFS(base[L/P Líquido],base[Data],Extrato!$B253,base[Método],Extrato!N$3,base[Exchange],"Fulltbet")</f>
        <v>38.58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-99.210000000000008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0</v>
      </c>
      <c r="AA253" s="2">
        <f>SUMIFS(base[L/P Líquido],base[Data],Extrato!$B253,base[Método],Extrato!AA$3,base[Exchange],"Fulltbet")</f>
        <v>-98.170000000000016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>SUM(C253:AO253)</f>
        <v>4564.7749999999942</v>
      </c>
      <c r="AR253" s="2">
        <f t="shared" ref="AR253" si="160">BK252</f>
        <v>581.13156950924872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1">SUM(AR253:BJ253)</f>
        <v>331.12156950924873</v>
      </c>
      <c r="BM253" s="2">
        <f t="shared" ref="BM253" si="162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2"/>
        <v>390.01</v>
      </c>
    </row>
    <row r="254" spans="2:76" ht="15" customHeight="1">
      <c r="B254" s="33">
        <v>46244</v>
      </c>
      <c r="C254" s="2">
        <f t="shared" ref="C254" si="163">AP253</f>
        <v>4564.7749999999942</v>
      </c>
      <c r="D254" s="2">
        <f>SUMIFS(base[L/P Líquido],base[Data],Extrato!$B254,base[Método],Extrato!D$3,base[Exchange],"Fulltbet")</f>
        <v>0</v>
      </c>
      <c r="E254" s="2">
        <f>SUMIFS(base[L/P Líquido],base[Data],Extrato!$B254,base[Método],Extrato!E$3,base[Exchange],"Fulltbet")</f>
        <v>47.75</v>
      </c>
      <c r="F254" s="2">
        <f>SUMIFS(base[L/P Líquido],base[Data],Extrato!$B254,base[Método],Extrato!F$3)</f>
        <v>41.76</v>
      </c>
      <c r="G254" s="2">
        <f>SUMIFS(base[L/P Líquido],base[Data],Extrato!$B254,base[Método],Extrato!G$3,base[Exchange],"Fulltbet")</f>
        <v>0</v>
      </c>
      <c r="H254" s="2">
        <f>SUMIFS(base[L/P Líquido],base[Data],Extrato!$B254,base[Método],Extrato!H$3)</f>
        <v>91.68</v>
      </c>
      <c r="I254" s="2">
        <f>SUMIF(BetFlow!B:B,B254,BetFlow!J:J)</f>
        <v>0</v>
      </c>
      <c r="J254" s="2">
        <f>SUMIFS(base[L/P Líquido],base[Data],Extrato!$B254,base[Método],Extrato!J$3,base[Exchange],"Fulltbet")</f>
        <v>0</v>
      </c>
      <c r="K254" s="2">
        <f>SUMIFS(base[L/P Líquido],base[Data],Extrato!$B254,base[Método],Extrato!K$3)</f>
        <v>16.37</v>
      </c>
      <c r="L254" s="2">
        <f>SUMIFS(base[L/P Líquido],base[Data],Extrato!$B254,base[Método],Extrato!L$3,base[Exchange],"Fulltbet")</f>
        <v>0</v>
      </c>
      <c r="M254" s="2">
        <f>SUMIFS(base[L/P Líquido],base[Data],Extrato!$B254,base[Método],Extrato!M$3,base[Exchange],"Fulltbet")</f>
        <v>13.34</v>
      </c>
      <c r="N254" s="2">
        <f>SUMIFS(base[L/P Líquido],base[Data],Extrato!$B254,base[Método],Extrato!N$3,base[Exchange],"Fulltbet")</f>
        <v>9.8699999999999992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>SUM(C254:AO254)</f>
        <v>4785.5349999999944</v>
      </c>
      <c r="AR254" s="2">
        <f t="shared" ref="AR254" si="164">BK253</f>
        <v>331.12156950924873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5">SUM(AR254:BJ254)</f>
        <v>358.89156950924871</v>
      </c>
      <c r="BM254" s="2">
        <f t="shared" ref="BM254" si="166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2"/>
        <v>390.01</v>
      </c>
    </row>
    <row r="255" spans="2:76" ht="15" customHeight="1">
      <c r="B255" s="33">
        <v>46245</v>
      </c>
      <c r="C255" s="2">
        <f t="shared" ref="C255" si="167">AP254</f>
        <v>4785.5349999999944</v>
      </c>
      <c r="D255" s="2">
        <f>SUMIFS(base[L/P Líquido],base[Data],Extrato!$B255,base[Método],Extrato!D$3,base[Exchange],"Fulltbet")</f>
        <v>0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Líquido],base[Data],Extrato!$B255,base[Método],Extrato!F$3)</f>
        <v>8.9699999999999989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0</v>
      </c>
      <c r="I255" s="2">
        <f>SUMIF(BetFlow!B:B,B255,BetFlow!J:J)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Líquido],base[Data],Extrato!$B255,base[Método],Extrato!K$3)</f>
        <v>37.82</v>
      </c>
      <c r="L255" s="2">
        <f>SUMIFS(base[L/P Líquido],base[Data],Extrato!$B255,base[Método],Extrato!L$3,base[Exchange],"Fulltbet")</f>
        <v>0</v>
      </c>
      <c r="M255" s="2">
        <f>SUMIFS(base[L/P Líquido],base[Data],Extrato!$B255,base[Método],Extrato!M$3,base[Exchange],"Fulltbet")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>SUM(C255:AO255)</f>
        <v>4832.3249999999944</v>
      </c>
      <c r="AR255" s="2">
        <f t="shared" ref="AR255" si="168">BK254</f>
        <v>358.89156950924871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69">SUM(AR255:BJ255)</f>
        <v>358.89156950924871</v>
      </c>
      <c r="BM255" s="2">
        <f t="shared" ref="BM255" si="170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2"/>
        <v>390.01</v>
      </c>
    </row>
    <row r="256" spans="2:76" ht="15" customHeight="1">
      <c r="B256" s="33">
        <v>46246</v>
      </c>
      <c r="C256" s="2">
        <f t="shared" ref="C256" si="171">AP255</f>
        <v>4832.3249999999944</v>
      </c>
      <c r="D256" s="2">
        <f>SUMIFS(base[L/P Líquido],base[Data],Extrato!$B256,base[Método],Extrato!D$3,base[Exchange],"Fulltbet")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SUMIF(BetFlow!B:B,B256,BetFlow!J:J)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Líquido],base[Data],Extrato!$B256,base[Método],Extrato!K$3)</f>
        <v>0</v>
      </c>
      <c r="L256" s="2">
        <f>SUMIFS(base[L/P Líquido],base[Data],Extrato!$B256,base[Método],Extrato!L$3,base[Exchange],"Fulltbet")</f>
        <v>0</v>
      </c>
      <c r="M256" s="2">
        <f>SUMIFS(base[L/P Líquido],base[Data],Extrato!$B256,base[Método],Extrato!M$3,base[Exchange],"Fulltbet")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>SUM(C256:AO256)</f>
        <v>4832.3249999999944</v>
      </c>
      <c r="AR256" s="2">
        <f t="shared" ref="AR256" si="172">BK255</f>
        <v>358.89156950924871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3">SUM(AR256:BJ256)</f>
        <v>358.89156950924871</v>
      </c>
      <c r="BM256" s="2">
        <f t="shared" ref="BM256" si="174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2"/>
        <v>390.01</v>
      </c>
    </row>
    <row r="257" spans="2:76" ht="15" customHeight="1">
      <c r="B257" s="33">
        <v>46247</v>
      </c>
      <c r="C257" s="2">
        <f t="shared" ref="C257" si="175">AP256</f>
        <v>4832.3249999999944</v>
      </c>
      <c r="D257" s="2">
        <f>SUMIFS(base[L/P Líquido],base[Data],Extrato!$B257,base[Método],Extrato!D$3,base[Exchange],"Fulltbet")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Líquido],base[Data],Extrato!$B257,base[Método],Extrato!F$3)</f>
        <v>23.490000000000002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0</v>
      </c>
      <c r="I257" s="2">
        <f>SUMIF(BetFlow!B:B,B257,BetFlow!J:J)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Líquido],base[Data],Extrato!$B257,base[Método],Extrato!K$3)</f>
        <v>0</v>
      </c>
      <c r="L257" s="2">
        <f>SUMIFS(base[L/P Líquido],base[Data],Extrato!$B257,base[Método],Extrato!L$3,base[Exchange],"Fulltbet")</f>
        <v>0</v>
      </c>
      <c r="M257" s="2">
        <f>SUMIFS(base[L/P Líquido],base[Data],Extrato!$B257,base[Método],Extrato!M$3,base[Exchange],"Fulltbet")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>SUM(C257:AO257)</f>
        <v>4855.8049999999939</v>
      </c>
      <c r="AR257" s="2">
        <f t="shared" ref="AR257" si="176">BK256</f>
        <v>358.89156950924871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77">SUM(AR257:BJ257)</f>
        <v>358.89156950924871</v>
      </c>
      <c r="BM257" s="2">
        <f t="shared" ref="BM257" si="178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2"/>
        <v>390.01</v>
      </c>
    </row>
    <row r="258" spans="2:76" ht="15" customHeight="1">
      <c r="B258" s="33">
        <v>46248</v>
      </c>
      <c r="C258" s="2">
        <f t="shared" ref="C258" si="179">AP257</f>
        <v>4855.8049999999939</v>
      </c>
      <c r="D258" s="2">
        <f>SUMIFS(base[L/P Líquido],base[Data],Extrato!$B258,base[Método],Extrato!D$3,base[Exchange],"Fulltbet")</f>
        <v>0</v>
      </c>
      <c r="E258" s="2">
        <f>SUMIFS(base[L/P Líquido],base[Data],Extrato!$B258,base[Método],Extrato!E$3,base[Exchange],"Fulltbet")</f>
        <v>42.5</v>
      </c>
      <c r="F258" s="2">
        <f>SUMIFS(base[L/P Líquido],base[Data],Extrato!$B258,base[Método],Extrato!F$3)</f>
        <v>-141.98000000000002</v>
      </c>
      <c r="G258" s="2">
        <f>SUMIFS(base[L/P Líquido],base[Data],Extrato!$B258,base[Método],Extrato!G$3,base[Exchange],"Fulltbet")</f>
        <v>21.83</v>
      </c>
      <c r="H258" s="2">
        <f>SUMIFS(base[L/P Líquido],base[Data],Extrato!$B258,base[Método],Extrato!H$3)</f>
        <v>-45.510000000000005</v>
      </c>
      <c r="I258" s="2">
        <f>SUMIF(BetFlow!B:B,B258,BetFlow!J:J)</f>
        <v>0</v>
      </c>
      <c r="J258" s="2">
        <f>SUMIFS(base[L/P Líquido],base[Data],Extrato!$B258,base[Método],Extrato!J$3,base[Exchange],"Fulltbet")</f>
        <v>0</v>
      </c>
      <c r="K258" s="2">
        <f>SUMIFS(base[L/P Líquido],base[Data],Extrato!$B258,base[Método],Extrato!K$3,base[Exchange],"Fulltbet")</f>
        <v>28.77</v>
      </c>
      <c r="L258" s="2">
        <f>SUMIFS(base[L/P Líquido],base[Data],Extrato!$B258,base[Método],Extrato!L$3,base[Exchange],"Fulltbet")</f>
        <v>0</v>
      </c>
      <c r="M258" s="2">
        <f>SUMIFS(base[L/P Líquido],base[Data],Extrato!$B258,base[Método],Extrato!M$3,base[Exchange],"Fulltbet")</f>
        <v>-35.03</v>
      </c>
      <c r="N258" s="2">
        <f>SUMIFS(base[L/P Líquido],base[Data],Extrato!$B258,base[Método],Extrato!N$3,base[Exchange],"Fulltbet")</f>
        <v>7.69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>SUM(C258:AO258)</f>
        <v>4734.0749999999935</v>
      </c>
      <c r="AR258" s="2">
        <f t="shared" ref="AR258" si="180">BK257</f>
        <v>358.89156950924871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1">SUM(AR258:BJ258)</f>
        <v>358.89156950924871</v>
      </c>
      <c r="BM258" s="2">
        <f t="shared" ref="BM258" si="182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2"/>
        <v>390.01</v>
      </c>
    </row>
    <row r="259" spans="2:76" ht="15" customHeight="1">
      <c r="B259" s="33">
        <v>46249</v>
      </c>
      <c r="C259" s="2">
        <f t="shared" ref="C259" si="183">AP258</f>
        <v>4734.0749999999935</v>
      </c>
      <c r="D259" s="2">
        <f>SUMIFS(base[L/P Líquido],base[Data],Extrato!$B259,base[Método],Extrato!D$3,base[Exchange],"Fulltbet")</f>
        <v>0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Líquido],base[Data],Extrato!$B259,base[Método],Extrato!F$3)</f>
        <v>-0.98000000000000131</v>
      </c>
      <c r="G259" s="2">
        <f>SUMIFS(base[L/P Líquido],base[Data],Extrato!$B259,base[Método],Extrato!G$3,base[Exchange],"Fulltbet")</f>
        <v>26.86</v>
      </c>
      <c r="H259" s="2">
        <f>SUMIFS(base[L/P Líquido],base[Data],Extrato!$B259,base[Método],Extrato!H$3)</f>
        <v>142.10000000000002</v>
      </c>
      <c r="I259" s="2">
        <f>SUMIF(BetFlow!B:B,B259,BetFlow!J:J)</f>
        <v>0</v>
      </c>
      <c r="J259" s="2">
        <f>SUMIFS(base[L/P Líquido],base[Data],Extrato!$B259,base[Método],Extrato!J$3,base[Exchange],"Fulltbet")</f>
        <v>0</v>
      </c>
      <c r="K259" s="2">
        <f>SUMIFS(base[L/P Líquido],base[Data],Extrato!$B259,base[Método],Extrato!K$3,base[Exchange],"Fulltbet")</f>
        <v>61.22</v>
      </c>
      <c r="L259" s="2">
        <f>SUMIFS(base[L/P Líquido],base[Data],Extrato!$B259,base[Método],Extrato!L$3,base[Exchange],"Fulltbet")</f>
        <v>13.55</v>
      </c>
      <c r="M259" s="2">
        <f>SUMIFS(base[L/P Líquido],base[Data],Extrato!$B259,base[Método],Extrato!M$3,base[Exchange],"Fulltbet")</f>
        <v>5.7900000000000027</v>
      </c>
      <c r="N259" s="2">
        <f>SUMIFS(base[L/P Líquido],base[Data],Extrato!$B259,base[Método],Extrato!N$3,base[Exchange],"Fulltbet")</f>
        <v>8.5399999999999991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27.28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>SUM(C259:AO259)</f>
        <v>5018.434999999994</v>
      </c>
      <c r="AR259" s="2">
        <f t="shared" ref="AR259" si="184">BK258</f>
        <v>358.89156950924871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5">SUM(AR259:BJ259)</f>
        <v>-24.338430490751261</v>
      </c>
      <c r="BM259" s="2">
        <f t="shared" ref="BM259" si="186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87">SUM(BM259:BW259)</f>
        <v>773.29</v>
      </c>
    </row>
    <row r="260" spans="2:76" ht="15" customHeight="1">
      <c r="B260" s="33">
        <v>46250</v>
      </c>
      <c r="C260" s="2">
        <f t="shared" ref="C260" si="188">AP259</f>
        <v>5018.434999999994</v>
      </c>
      <c r="D260" s="2">
        <f>SUMIFS(base[L/P Líquido],base[Data],Extrato!$B260,base[Método],Extrato!D$3,base[Exchange],"Fulltbet")</f>
        <v>0</v>
      </c>
      <c r="E260" s="2">
        <f>SUMIFS(base[L/P Líquido],base[Data],Extrato!$B260,base[Método],Extrato!E$3,base[Exchange],"Fulltbet")</f>
        <v>-352.95</v>
      </c>
      <c r="F260" s="2">
        <f>SUMIFS(base[L/P Líquido],base[Data],Extrato!$B260,base[Método],Extrato!F$3)</f>
        <v>9.4115500000000001</v>
      </c>
      <c r="G260" s="2">
        <f>SUMIFS(base[L/P Líquido],base[Data],Extrato!$B260,base[Método],Extrato!G$3,base[Exchange],"Fulltbet")</f>
        <v>64.41364999999999</v>
      </c>
      <c r="H260" s="2">
        <f>SUMIFS(base[L/P Líquido],base[Data],Extrato!$B260,base[Método],Extrato!H$3)</f>
        <v>-286.28000000000003</v>
      </c>
      <c r="I260" s="2">
        <f>SUMIF(BetFlow!B:B,B260,BetFlow!J:J)</f>
        <v>0</v>
      </c>
      <c r="J260" s="2">
        <f>SUMIFS(base[L/P Líquido],base[Data],Extrato!$B260,base[Método],Extrato!J$3,base[Exchange],"Fulltbet")</f>
        <v>0</v>
      </c>
      <c r="K260" s="2">
        <f>SUMIFS(base[L/P Líquido],base[Data],Extrato!$B260,base[Método],Extrato!K$3,base[Exchange],"Fulltbet")</f>
        <v>64.17</v>
      </c>
      <c r="L260" s="2">
        <f>SUMIFS(base[L/P Líquido],base[Data],Extrato!$B260,base[Método],Extrato!L$3,base[Exchange],"Fulltbet")</f>
        <v>22.44</v>
      </c>
      <c r="M260" s="2">
        <f>SUMIFS(base[L/P Líquido],base[Data],Extrato!$B260,base[Método],Extrato!M$3,base[Exchange],"Fulltbet")</f>
        <v>-6.9899999999999949</v>
      </c>
      <c r="N260" s="2">
        <f>SUMIFS(base[L/P Líquido],base[Data],Extrato!$B260,base[Método],Extrato!N$3,base[Exchange],"Fulltbet")</f>
        <v>-485.22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-50.59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>SUM(C260:AO260)</f>
        <v>3996.830199999994</v>
      </c>
      <c r="AR260" s="2">
        <f t="shared" ref="AR260" si="189">BK259</f>
        <v>-24.338430490751261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0">SUM(AR260:BJ260)</f>
        <v>-24.338430490751261</v>
      </c>
      <c r="BM260" s="2">
        <f t="shared" ref="BM260" si="191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2">SUM(BM260:BW260)</f>
        <v>743.96</v>
      </c>
    </row>
    <row r="261" spans="2:76" ht="15" customHeight="1">
      <c r="B261" s="33">
        <v>46251</v>
      </c>
      <c r="C261" s="2">
        <f t="shared" ref="C261" si="193">AP260</f>
        <v>3996.830199999994</v>
      </c>
      <c r="D261" s="2">
        <f>SUMIFS(base[L/P Líquido],base[Data],Extrato!$B261,base[Método],Extrato!D$3,base[Exchange],"Fulltbet")</f>
        <v>0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Líquido],base[Data],Extrato!$B261,base[Método],Extrato!F$3)</f>
        <v>22.782250000000001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0</v>
      </c>
      <c r="I261" s="2">
        <f>SUMIF(BetFlow!B:B,B261,BetFlow!J:J)</f>
        <v>0</v>
      </c>
      <c r="J261" s="2">
        <f>SUMIFS(base[L/P Líquido],base[Data],Extrato!$B261,base[Método],Extrato!J$3,base[Exchange],"Fulltbet")</f>
        <v>0</v>
      </c>
      <c r="K261" s="2">
        <f>SUMIFS(base[L/P Líquido],base[Data],Extrato!$B261,base[Método],Extrato!K$3,base[Exchange],"Fulltbet")</f>
        <v>38.199999999999996</v>
      </c>
      <c r="L261" s="2">
        <f>SUMIFS(base[L/P Líquido],base[Data],Extrato!$B261,base[Método],Extrato!L$3,base[Exchange],"Fulltbet")</f>
        <v>30.28</v>
      </c>
      <c r="M261" s="2">
        <f>SUMIFS(base[L/P Líquido],base[Data],Extrato!$B261,base[Método],Extrato!M$3,base[Exchange],"Fulltbet")</f>
        <v>12.6</v>
      </c>
      <c r="N261" s="2">
        <f>SUMIFS(base[L/P Líquido],base[Data],Extrato!$B261,base[Método],Extrato!N$3,base[Exchange],"Fulltbet")</f>
        <v>16.82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>SUM(C261:AO261)</f>
        <v>4117.522449999994</v>
      </c>
      <c r="AR261" s="2">
        <f t="shared" ref="AR261" si="194">BK260</f>
        <v>-24.338430490751261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195">SUM(AR261:BJ261)</f>
        <v>-24.338430490751261</v>
      </c>
      <c r="BM261" s="2">
        <f t="shared" ref="BM261" si="196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2"/>
        <v>743.96</v>
      </c>
    </row>
    <row r="262" spans="2:76" ht="15" customHeight="1">
      <c r="B262" s="33">
        <v>46252</v>
      </c>
      <c r="C262" s="2">
        <f t="shared" ref="C262" si="197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Líquido],base[Data],Extrato!$B262,base[Método],Extrato!F$3)</f>
        <v>11.252000000000001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0</v>
      </c>
      <c r="I262" s="2">
        <f>SUMIF(BetFlow!B:B,B262,BetFlow!J:J)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0</v>
      </c>
      <c r="L262" s="2">
        <f>SUMIFS(base[L/P Líquido],base[Data],Extrato!$B262,base[Método],Extrato!L$3,base[Exchange],"Fulltbet")</f>
        <v>0</v>
      </c>
      <c r="M262" s="2">
        <f>SUMIFS(base[L/P Líquido],base[Data],Extrato!$B262,base[Método],Extrato!M$3,base[Exchange],"Fulltbet")</f>
        <v>14.921099999999999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>SUM(C262:AO262)</f>
        <v>4143.6855499999938</v>
      </c>
      <c r="AR262" s="2">
        <f t="shared" ref="AR262" si="198">BK261</f>
        <v>-24.338430490751261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199">SUM(AR262:BJ262)</f>
        <v>-24.338430490751261</v>
      </c>
      <c r="BM262" s="2">
        <f t="shared" ref="BM262" si="200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2"/>
        <v>743.96</v>
      </c>
    </row>
    <row r="263" spans="2:76" ht="15" customHeight="1">
      <c r="B263" s="33">
        <v>46253</v>
      </c>
      <c r="C263" s="2">
        <f t="shared" ref="C263" si="201">AP262</f>
        <v>4143.6855499999938</v>
      </c>
      <c r="D263" s="2">
        <f>SUMIFS(base[L/P Líquido],base[Data],Extrato!$B263,base[Método],Extrato!D$3,base[Exchange],"Fulltbet")</f>
        <v>0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Líquido],base[Data],Extrato!$B263,base[Método],Extrato!F$3)</f>
        <v>19.670000000000002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0</v>
      </c>
      <c r="I263" s="2">
        <f>SUMIF(BetFlow!B:B,B263,BetFlow!J:J)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17.059999999999999</v>
      </c>
      <c r="L263" s="2">
        <f>SUMIFS(base[L/P Líquido],base[Data],Extrato!$B263,base[Método],Extrato!L$3,base[Exchange],"Fulltbet")</f>
        <v>15.28</v>
      </c>
      <c r="M263" s="2">
        <f>SUMIFS(base[L/P Líquido],base[Data],Extrato!$B263,base[Método],Extrato!M$3,base[Exchange],"Fulltbet")</f>
        <v>-11.32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>SUM(C263:AO263)</f>
        <v>4184.3755499999943</v>
      </c>
      <c r="AR263" s="2">
        <f t="shared" ref="AR263" si="202">BK262</f>
        <v>-24.338430490751261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03">SUM(AR263:BJ263)</f>
        <v>-24.338430490751261</v>
      </c>
      <c r="BM263" s="2">
        <f t="shared" ref="BM263" si="204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2"/>
        <v>743.96</v>
      </c>
    </row>
    <row r="264" spans="2:76" ht="15" customHeight="1">
      <c r="B264" s="33">
        <v>46254</v>
      </c>
      <c r="C264" s="2">
        <f t="shared" ref="C264" si="205">AP263</f>
        <v>4184.3755499999943</v>
      </c>
      <c r="D264" s="2">
        <f>SUMIFS(base[L/P Líquido],base[Data],Extrato!$B264,base[Método],Extrato!D$3,base[Exchange],"Fulltbet")</f>
        <v>0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Líquido],base[Data],Extrato!$B264,base[Método],Extrato!F$3)</f>
        <v>-6.52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0</v>
      </c>
      <c r="I264" s="2">
        <f>SUMIF(BetFlow!B:B,B264,BetFlow!J:J)</f>
        <v>0</v>
      </c>
      <c r="J264" s="2">
        <f>SUMIFS(base[L/P Líquido],base[Data],Extrato!$B264,base[Método],Extrato!J$3,base[Exchange],"Fulltbet")</f>
        <v>0</v>
      </c>
      <c r="K264" s="2">
        <f>SUMIFS(base[L/P Líquido],base[Data],Extrato!$B264,base[Método],Extrato!K$3,base[Exchange],"Fulltbet")</f>
        <v>41.34</v>
      </c>
      <c r="L264" s="2">
        <f>SUMIFS(base[L/P Líquido],base[Data],Extrato!$B264,base[Método],Extrato!L$3,base[Exchange],"Fulltbet")</f>
        <v>29.33</v>
      </c>
      <c r="M264" s="2">
        <f>SUMIFS(base[L/P Líquido],base[Data],Extrato!$B264,base[Método],Extrato!M$3,base[Exchange],"Fulltbet")</f>
        <v>6.49</v>
      </c>
      <c r="N264" s="2">
        <f>SUMIFS(base[L/P Líquido],base[Data],Extrato!$B264,base[Método],Extrato!N$3,base[Exchange],"Fulltbet")</f>
        <v>20.059999999999999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>SUM(C264:AO264)</f>
        <v>4275.0755499999941</v>
      </c>
      <c r="AR264" s="2">
        <f t="shared" ref="AR264" si="206">BK263</f>
        <v>-24.338430490751261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07">SUM(AR264:BJ264)</f>
        <v>-24.338430490751261</v>
      </c>
      <c r="BM264" s="2">
        <f t="shared" ref="BM264" si="208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2"/>
        <v>743.96</v>
      </c>
    </row>
    <row r="265" spans="2:76" ht="15" customHeight="1">
      <c r="B265" s="33">
        <v>46255</v>
      </c>
      <c r="C265" s="2">
        <f t="shared" ref="C265" si="209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Líquido],base[Data],Extrato!$B265,base[Método],Extrato!F$3)</f>
        <v>14.629999999999999</v>
      </c>
      <c r="G265" s="2">
        <f>SUMIFS(base[L/P Líquido],base[Data],Extrato!$B265,base[Método],Extrato!G$3,base[Exchange],"Fulltbet")</f>
        <v>119.94710000000001</v>
      </c>
      <c r="H265" s="2">
        <f>SUMIFS(base[L/P Líquido],base[Data],Extrato!$B265,base[Método],Extrato!H$3)</f>
        <v>-120</v>
      </c>
      <c r="I265" s="2">
        <f>SUMIF(BetFlow!B:B,B265,BetFlow!J:J)</f>
        <v>0</v>
      </c>
      <c r="J265" s="2">
        <f>SUMIFS(base[L/P Líquido],base[Data],Extrato!$B265,base[Método],Extrato!J$3,base[Exchange],"Fulltbet")</f>
        <v>0</v>
      </c>
      <c r="K265" s="2">
        <f>SUMIFS(base[L/P Líquido],base[Data],Extrato!$B265,base[Método],Extrato!K$3,base[Exchange],"Fulltbet")</f>
        <v>0</v>
      </c>
      <c r="L265" s="2">
        <f>SUMIFS(base[L/P Líquido],base[Data],Extrato!$B265,base[Método],Extrato!L$3,base[Exchange],"Fulltbet")</f>
        <v>0</v>
      </c>
      <c r="M265" s="2">
        <f>SUMIFS(base[L/P Líquido],base[Data],Extrato!$B265,base[Método],Extrato!M$3,base[Exchange],"Fulltbet")</f>
        <v>4.97</v>
      </c>
      <c r="N265" s="2">
        <f>SUMIFS(base[L/P Líquido],base[Data],Extrato!$B265,base[Método],Extrato!N$3,base[Exchange],"Fulltbet")</f>
        <v>42.786499999999997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Líquido],base[Data],Extrato!$B265,base[Método],Extrato!AA$3,base[Exchange],"Fulltbet")</f>
        <v>0</v>
      </c>
      <c r="AB265" s="2">
        <f>SUMIFS(base[L/P Líquido],base[Data],Extrato!$B265,base[Método],Extrato!AB$3)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>SUM(C265:AO265)</f>
        <v>4337.409149999995</v>
      </c>
      <c r="AR265" s="2">
        <f t="shared" ref="AR265" si="210">BK264</f>
        <v>-24.338430490751261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11">SUM(AR265:BJ265)</f>
        <v>-24.338430490751261</v>
      </c>
      <c r="BM265" s="2">
        <f t="shared" ref="BM265" si="212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2"/>
        <v>743.96</v>
      </c>
    </row>
    <row r="266" spans="2:76" ht="15" customHeight="1">
      <c r="B266" s="33">
        <v>46256</v>
      </c>
      <c r="C266" s="2">
        <f t="shared" ref="C266" si="213">AP265</f>
        <v>4337.409149999995</v>
      </c>
      <c r="D266" s="2">
        <f>SUMIFS(base[L/P Líquido],base[Data],Extrato!$B266,base[Método],Extrato!D$3,base[Exchange],"Fulltbet")</f>
        <v>0</v>
      </c>
      <c r="E266" s="2">
        <f>SUMIFS(base[L/P Líquido],base[Data],Extrato!$B266,base[Método],Extrato!E$3,base[Exchange],"Fulltbet")</f>
        <v>-300.66000000000003</v>
      </c>
      <c r="F266" s="2">
        <f>SUMIFS(base[L/P Líquido],base[Data],Extrato!$B266,base[Método],Extrato!F$3)</f>
        <v>16.869999999999997</v>
      </c>
      <c r="G266" s="2">
        <f>SUMIFS(base[L/P Líquido],base[Data],Extrato!$B266,base[Método],Extrato!G$3,base[Exchange],"Fulltbet")</f>
        <v>30.56</v>
      </c>
      <c r="H266" s="2">
        <f>SUMIFS(base[L/P Líquido],base[Data],Extrato!$B266,base[Método],Extrato!H$3)</f>
        <v>-24.5</v>
      </c>
      <c r="I266" s="2">
        <f>SUMIF(BetFlow!B:B,B266,BetFlow!J:J)</f>
        <v>0</v>
      </c>
      <c r="J266" s="2">
        <f>SUMIFS(base[L/P Líquido],base[Data],Extrato!$B266,base[Método],Extrato!J$3,base[Exchange],"Fulltbet")</f>
        <v>0</v>
      </c>
      <c r="K266" s="2">
        <f>SUMIFS(base[L/P Líquido],base[Data],Extrato!$B266,base[Método],Extrato!K$3,base[Exchange],"Fulltbet")</f>
        <v>40.68</v>
      </c>
      <c r="L266" s="2">
        <f>SUMIFS(base[L/P Líquido],base[Data],Extrato!$B266,base[Método],Extrato!L$3,base[Exchange],"Fulltbet")</f>
        <v>-234.99</v>
      </c>
      <c r="M266" s="2">
        <f>SUMIFS(base[L/P Líquido],base[Data],Extrato!$B266,base[Método],Extrato!M$3,base[Exchange],"Fulltbet")</f>
        <v>-48.34</v>
      </c>
      <c r="N266" s="2">
        <f>SUMIFS(base[L/P Líquido],base[Data],Extrato!$B266,base[Método],Extrato!N$3,base[Exchange],"Fulltbet")</f>
        <v>45.989999999999995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20.65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Líquido],base[Data],Extrato!$B266,base[Método],Extrato!AA$3,base[Exchange],"Fulltbet")</f>
        <v>0</v>
      </c>
      <c r="AB266" s="2">
        <f>SUMIFS(base[L/P Líquido],base[Data],Extrato!$B266,base[Método],Extrato!AB$3)</f>
        <v>0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>SUM(C266:AO266)</f>
        <v>3883.6391499999945</v>
      </c>
      <c r="AR266" s="2">
        <f t="shared" ref="AR266" si="214">BK265</f>
        <v>-24.338430490751261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15">SUM(AR266:BJ266)</f>
        <v>-24.338430490751261</v>
      </c>
      <c r="BM266" s="2">
        <f t="shared" ref="BM266" si="216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17">SUM(BM266:BW266)</f>
        <v>743.96</v>
      </c>
    </row>
    <row r="267" spans="2:76" ht="15" customHeight="1">
      <c r="B267" s="33">
        <v>46257</v>
      </c>
      <c r="C267" s="2">
        <f t="shared" ref="C267" si="218">AP266</f>
        <v>3883.6391499999945</v>
      </c>
      <c r="D267" s="2">
        <f>SUMIFS(base[L/P Líquido],base[Data],Extrato!$B267,base[Método],Extrato!D$3,base[Exchange],"Fulltbet")</f>
        <v>78.63</v>
      </c>
      <c r="E267" s="2">
        <f>SUMIFS(base[L/P Líquido],base[Data],Extrato!$B267,base[Método],Extrato!E$3,base[Exchange],"Fulltbet")</f>
        <v>131.37</v>
      </c>
      <c r="F267" s="2">
        <f>SUMIFS(base[L/P Líquido],base[Data],Extrato!$B267,base[Método],Extrato!F$3)</f>
        <v>-36.33</v>
      </c>
      <c r="G267" s="2">
        <f>SUMIFS(base[L/P Líquido],base[Data],Extrato!$B267,base[Método],Extrato!G$3,base[Exchange],"Fulltbet")</f>
        <v>81.305599999999998</v>
      </c>
      <c r="H267" s="2">
        <f>SUMIFS(base[L/P Líquido],base[Data],Extrato!$B267,base[Método],Extrato!H$3)</f>
        <v>41.610000000000014</v>
      </c>
      <c r="I267" s="2">
        <f>SUMIF(BetFlow!B:B,B267,BetFlow!J:J)</f>
        <v>0</v>
      </c>
      <c r="J267" s="2">
        <f>SUMIFS(base[L/P Líquido],base[Data],Extrato!$B267,base[Método],Extrato!J$3,base[Exchange],"Fulltbet")</f>
        <v>0</v>
      </c>
      <c r="K267" s="2">
        <f>SUMIFS(base[L/P Líquido],base[Data],Extrato!$B267,base[Método],Extrato!K$3,base[Exchange],"Fulltbet")</f>
        <v>62.11</v>
      </c>
      <c r="L267" s="2">
        <f>SUMIFS(base[L/P Líquido],base[Data],Extrato!$B267,base[Método],Extrato!L$3,base[Exchange],"Fulltbet")</f>
        <v>26.53</v>
      </c>
      <c r="M267" s="2">
        <f>SUMIFS(base[L/P Líquido],base[Data],Extrato!$B267,base[Método],Extrato!M$3,base[Exchange],"Fulltbet")</f>
        <v>-36.950000000000003</v>
      </c>
      <c r="N267" s="2">
        <f>SUMIFS(base[L/P Líquido],base[Data],Extrato!$B267,base[Método],Extrato!N$3,base[Exchange],"Fulltbet")</f>
        <v>52.75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57.160150000000002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Líquido],base[Data],Extrato!$B267,base[Método],Extrato!AA$3,base[Exchange],"Fulltbet")</f>
        <v>0</v>
      </c>
      <c r="AB267" s="2">
        <f>SUMIFS(base[L/P Líquido],base[Data],Extrato!$B267,base[Método],Extrato!AB$3)</f>
        <v>0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>SUM(C267:AO267)</f>
        <v>4341.7948999999935</v>
      </c>
      <c r="AR267" s="2">
        <f t="shared" ref="AR267" si="219">BK266</f>
        <v>-24.338430490751261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20">SUM(AR267:BJ267)</f>
        <v>-24.338430490751261</v>
      </c>
      <c r="BM267" s="2">
        <f t="shared" ref="BM267" si="221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22">SUM(BM267:BW267)</f>
        <v>743.96</v>
      </c>
    </row>
    <row r="268" spans="2:76" ht="15" customHeight="1">
      <c r="B268" s="33">
        <v>46258</v>
      </c>
      <c r="C268" s="2">
        <f t="shared" ref="C268" si="223">AP267</f>
        <v>4341.7948999999935</v>
      </c>
      <c r="D268" s="2">
        <f>SUMIFS(base[L/P Líquido],base[Data],Extrato!$B268,base[Método],Extrato!D$3,base[Exchange],"Fulltbet")</f>
        <v>0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Líquido],base[Data],Extrato!$B268,base[Método],Extrato!F$3)</f>
        <v>8.4699999999999989</v>
      </c>
      <c r="G268" s="2">
        <f>SUMIFS(base[L/P Líquido],base[Data],Extrato!$B268,base[Método],Extrato!G$3,base[Exchange],"Fulltbet")</f>
        <v>140.24605</v>
      </c>
      <c r="H268" s="2">
        <f>SUMIFS(base[L/P Líquido],base[Data],Extrato!$B268,base[Método],Extrato!H$3)</f>
        <v>0</v>
      </c>
      <c r="I268" s="2">
        <f>SUMIF(BetFlow!B:B,B268,BetFlow!J:J)</f>
        <v>0</v>
      </c>
      <c r="J268" s="2">
        <f>SUMIFS(base[L/P Líquido],base[Data],Extrato!$B268,base[Método],Extrato!J$3,base[Exchange],"Fulltbet")</f>
        <v>0</v>
      </c>
      <c r="K268" s="2">
        <f>SUMIFS(base[L/P Líquido],base[Data],Extrato!$B268,base[Método],Extrato!K$3,base[Exchange],"Fulltbet")</f>
        <v>44.59</v>
      </c>
      <c r="L268" s="2">
        <f>SUMIFS(base[L/P Líquido],base[Data],Extrato!$B268,base[Método],Extrato!L$3,base[Exchange],"Fulltbet")</f>
        <v>20.69</v>
      </c>
      <c r="M268" s="2">
        <f>SUMIFS(base[L/P Líquido],base[Data],Extrato!$B268,base[Método],Extrato!M$3,base[Exchange],"Fulltbet")</f>
        <v>0</v>
      </c>
      <c r="N268" s="2">
        <f>SUMIFS(base[L/P Líquido],base[Data],Extrato!$B268,base[Método],Extrato!N$3,base[Exchange],"Fulltbet")</f>
        <v>19.77805</v>
      </c>
      <c r="O268" s="2">
        <f>SUMIFS(base[L/P Líquido],base[Data],Extrato!$B268,base[Método],Extrato!O$3,base[Exchange],"Fulltbet")</f>
        <v>0</v>
      </c>
      <c r="P268" s="2">
        <f>SUMIFS(base[L/P Líquido],base[Data],Extrato!$B268,base[Método],Extrato!P$3)</f>
        <v>0</v>
      </c>
      <c r="Q268" s="2">
        <f>SUMIFS(base[L/P Líquido],base[Data],Extrato!$B268,base[Método],Extrato!Q$3,base[Exchange],"Fulltbet")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Líquido],base[Data],Extrato!$B268,base[Método],Extrato!AA$3,base[Exchange],"Fulltbet")</f>
        <v>0</v>
      </c>
      <c r="AB268" s="2">
        <f>SUMIFS(base[L/P Líquido],base[Data],Extrato!$B268,base[Método],Extrato!AB$3)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>SUM(C268:AO268)</f>
        <v>4575.5489999999927</v>
      </c>
      <c r="AR268" s="2">
        <f t="shared" ref="AR268" si="224">BK267</f>
        <v>-24.338430490751261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25">SUM(AR268:BJ268)</f>
        <v>-24.338430490751261</v>
      </c>
      <c r="BM268" s="2">
        <f t="shared" ref="BM268" si="226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27">SUM(BM268:BW268)</f>
        <v>743.96</v>
      </c>
    </row>
    <row r="269" spans="2:76" ht="15" customHeight="1">
      <c r="B269" s="33">
        <v>46259</v>
      </c>
      <c r="C269" s="2">
        <f t="shared" ref="C269" si="228">AP268</f>
        <v>4575.5489999999927</v>
      </c>
      <c r="D269" s="2">
        <f>SUMIFS(base[L/P Líquido],base[Data],Extrato!$B269,base[Método],Extrato!D$3,base[Exchange],"Fulltbet")</f>
        <v>-123.72</v>
      </c>
      <c r="E269" s="2">
        <f>SUMIFS(base[L/P Líquido],base[Data],Extrato!$B269,base[Método],Extrato!E$3,base[Exchange],"Fulltbet")</f>
        <v>0</v>
      </c>
      <c r="F269" s="2">
        <f>SUMIFS(base[L/P Líquido],base[Data],Extrato!$B269,base[Método],Extrato!F$3)</f>
        <v>20.05</v>
      </c>
      <c r="G269" s="2">
        <f>SUMIFS(base[L/P Líquido],base[Data],Extrato!$B269,base[Método],Extrato!G$3,base[Exchange],"Fulltbet")</f>
        <v>42.58</v>
      </c>
      <c r="H269" s="2">
        <f>SUMIFS(base[L/P Líquido],base[Data],Extrato!$B269,base[Método],Extrato!H$3)</f>
        <v>0</v>
      </c>
      <c r="I269" s="2">
        <f>SUMIF(BetFlow!B:B,B269,BetFlow!J:J)</f>
        <v>0</v>
      </c>
      <c r="J269" s="2">
        <f>SUMIFS(base[L/P Líquido],base[Data],Extrato!$B269,base[Método],Extrato!J$3,base[Exchange],"Fulltbet")</f>
        <v>0</v>
      </c>
      <c r="K269" s="2">
        <f>SUMIFS(base[L/P Líquido],base[Data],Extrato!$B269,base[Método],Extrato!K$3,base[Exchange],"Fulltbet")</f>
        <v>33.43</v>
      </c>
      <c r="L269" s="2">
        <f>SUMIFS(base[L/P Líquido],base[Data],Extrato!$B269,base[Método],Extrato!L$3,base[Exchange],"Fulltbet")</f>
        <v>0</v>
      </c>
      <c r="M269" s="2">
        <f>SUMIFS(base[L/P Líquido],base[Data],Extrato!$B269,base[Método],Extrato!M$3,base[Exchange],"Fulltbet")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Líquido],base[Data],Extrato!$B269,base[Método],Extrato!P$3)</f>
        <v>0</v>
      </c>
      <c r="Q269" s="2">
        <f>SUMIFS(base[L/P Líquido],base[Data],Extrato!$B269,base[Método],Extrato!Q$3,base[Exchange],"Fulltbet")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Líquido],base[Data],Extrato!$B269,base[Método],Extrato!AA$3,base[Exchange],"Fulltbet")</f>
        <v>0</v>
      </c>
      <c r="AB269" s="2">
        <f>SUMIFS(base[L/P Líquido],base[Data],Extrato!$B269,base[Método],Extrato!AB$3)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>SUM(C269:AO269)</f>
        <v>4547.8989999999931</v>
      </c>
      <c r="AR269" s="2">
        <f t="shared" ref="AR269" si="229">BK268</f>
        <v>-24.338430490751261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30">SUM(AR269:BJ269)</f>
        <v>-24.338430490751261</v>
      </c>
      <c r="BM269" s="2">
        <f t="shared" ref="BM269" si="231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32">SUM(BM269:BW269)</f>
        <v>743.96</v>
      </c>
    </row>
    <row r="270" spans="2:76" ht="15" customHeight="1">
      <c r="B270" s="33">
        <v>46260</v>
      </c>
      <c r="C270" s="2">
        <f t="shared" ref="C270" si="233">AP269</f>
        <v>4547.8989999999931</v>
      </c>
      <c r="D270" s="2">
        <f>SUMIFS(base[L/P Líquido],base[Data],Extrato!$B270,base[Método],Extrato!D$3,base[Exchange],"Fulltbet")</f>
        <v>0</v>
      </c>
      <c r="E270" s="2">
        <f>SUMIFS(base[L/P Líquido],base[Data],Extrato!$B270,base[Método],Extrato!E$3,base[Exchange],"Fulltbet")</f>
        <v>38.200000000000003</v>
      </c>
      <c r="F270" s="2">
        <f>SUMIFS(base[L/P Líquido],base[Data],Extrato!$B270,base[Método],Extrato!F$3)</f>
        <v>-134.46</v>
      </c>
      <c r="G270" s="2">
        <f>SUMIFS(base[L/P Líquido],base[Data],Extrato!$B270,base[Método],Extrato!G$3,base[Exchange],"Fulltbet")</f>
        <v>0</v>
      </c>
      <c r="H270" s="2">
        <f>SUMIFS(base[L/P Líquido],base[Data],Extrato!$B270,base[Método],Extrato!H$3)</f>
        <v>90.44</v>
      </c>
      <c r="I270" s="2">
        <f>SUMIF(BetFlow!B:B,B270,BetFlow!J:J)</f>
        <v>0</v>
      </c>
      <c r="J270" s="2">
        <f>SUMIFS(base[L/P Líquido],base[Data],Extrato!$B270,base[Método],Extrato!J$3,base[Exchange],"Fulltbet")</f>
        <v>0</v>
      </c>
      <c r="K270" s="2">
        <f>SUMIFS(base[L/P Líquido],base[Data],Extrato!$B270,base[Método],Extrato!K$3,base[Exchange],"Fulltbet")</f>
        <v>20.100000000000001</v>
      </c>
      <c r="L270" s="2">
        <f>SUMIFS(base[L/P Líquido],base[Data],Extrato!$B270,base[Método],Extrato!L$3,base[Exchange],"Fulltbet")</f>
        <v>0</v>
      </c>
      <c r="M270" s="2">
        <f>SUMIFS(base[L/P Líquido],base[Data],Extrato!$B270,base[Método],Extrato!M$3,base[Exchange],"Fulltbet")</f>
        <v>0</v>
      </c>
      <c r="N270" s="2">
        <f>SUMIFS(base[L/P Líquido],base[Data],Extrato!$B270,base[Método],Extrato!N$3,base[Exchange],"Fulltbet")</f>
        <v>10.92</v>
      </c>
      <c r="O270" s="2">
        <f>SUMIFS(base[L/P Líquido],base[Data],Extrato!$B270,base[Método],Extrato!O$3,base[Exchange],"Fulltbet")</f>
        <v>0</v>
      </c>
      <c r="P270" s="2">
        <f>SUMIFS(base[L/P Líquido],base[Data],Extrato!$B270,base[Método],Extrato!P$3)</f>
        <v>0</v>
      </c>
      <c r="Q270" s="2">
        <f>SUMIFS(base[L/P Líquido],base[Data],Extrato!$B270,base[Método],Extrato!Q$3,base[Exchange],"Fulltbet")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Líquido],base[Data],Extrato!$B270,base[Método],Extrato!AA$3,base[Exchange],"Fulltbet")</f>
        <v>0</v>
      </c>
      <c r="AB270" s="2">
        <f>SUMIFS(base[L/P Líquido],base[Data],Extrato!$B270,base[Método],Extrato!AB$3)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>SUM(C270:AO270)</f>
        <v>4573.0889999999927</v>
      </c>
      <c r="AR270" s="2">
        <f t="shared" ref="AR270" si="234">BK269</f>
        <v>-24.338430490751261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35">SUM(AR270:BJ270)</f>
        <v>-24.338430490751261</v>
      </c>
      <c r="BM270" s="2">
        <f t="shared" ref="BM270" si="236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37">SUM(BM270:BW270)</f>
        <v>743.96</v>
      </c>
    </row>
    <row r="271" spans="2:76" ht="15" customHeight="1">
      <c r="B271" s="33">
        <v>46261</v>
      </c>
      <c r="C271" s="2">
        <f t="shared" ref="C271" si="238">AP270</f>
        <v>4573.0889999999927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35.020000000000003</v>
      </c>
      <c r="F271" s="2">
        <f>SUMIFS(base[L/P Líquido],base[Data],Extrato!$B271,base[Método],Extrato!F$3)</f>
        <v>0</v>
      </c>
      <c r="G271" s="2">
        <f>SUMIFS(base[L/P Líquido],base[Data],Extrato!$B271,base[Método],Extrato!G$3,base[Exchange],"Fulltbet")</f>
        <v>0</v>
      </c>
      <c r="H271" s="2">
        <f>SUMIFS(base[L/P Líquido],base[Data],Extrato!$B271,base[Método],Extrato!H$3)</f>
        <v>0</v>
      </c>
      <c r="I271" s="2">
        <f>SUMIF(BetFlow!B:B,B271,BetFlow!J:J)</f>
        <v>0</v>
      </c>
      <c r="J271" s="2">
        <f>SUMIFS(base[L/P Líquido],base[Data],Extrato!$B271,base[Método],Extrato!J$3,base[Exchange],"Fulltbet")</f>
        <v>0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Líquido],base[Data],Extrato!$B271,base[Método],Extrato!L$3,base[Exchange],"Fulltbet")</f>
        <v>0</v>
      </c>
      <c r="M271" s="2">
        <f>SUMIFS(base[L/P Líquido],base[Data],Extrato!$B271,base[Método],Extrato!M$3,base[Exchange],"Fulltbet")</f>
        <v>0</v>
      </c>
      <c r="N271" s="2">
        <f>SUMIFS(base[L/P Líquido],base[Data],Extrato!$B271,base[Método],Extrato!N$3,base[Exchange],"Fulltbet")</f>
        <v>28.32</v>
      </c>
      <c r="O271" s="2">
        <f>SUMIFS(base[L/P Líquido],base[Data],Extrato!$B271,base[Método],Extrato!O$3,base[Exchange],"Fulltbet")</f>
        <v>0</v>
      </c>
      <c r="P271" s="2">
        <f>SUMIFS(base[L/P Líquido],base[Data],Extrato!$B271,base[Método],Extrato!P$3)</f>
        <v>0</v>
      </c>
      <c r="Q271" s="2">
        <f>SUMIFS(base[L/P Líquido],base[Data],Extrato!$B271,base[Método],Extrato!Q$3,base[Exchange],"Fulltbet")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Líquido],base[Data],Extrato!$B271,base[Método],Extrato!AA$3,base[Exchange],"Fulltbet")</f>
        <v>0</v>
      </c>
      <c r="AB271" s="2">
        <f>SUMIFS(base[L/P Líquido],base[Data],Extrato!$B271,base[Método],Extrato!AB$3)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>SUM(C271:AO271)</f>
        <v>4636.4189999999926</v>
      </c>
      <c r="AR271" s="2">
        <f t="shared" ref="AR271" si="239">BK270</f>
        <v>-24.338430490751261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40">SUM(AR271:BJ271)</f>
        <v>-24.338430490751261</v>
      </c>
      <c r="BM271" s="2">
        <f t="shared" ref="BM271" si="241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42">SUM(BM271:BW271)</f>
        <v>743.96</v>
      </c>
    </row>
    <row r="272" spans="2:76" ht="15" customHeight="1">
      <c r="B272" s="33">
        <v>46262</v>
      </c>
      <c r="C272" s="2">
        <f t="shared" ref="C272" si="243">AP271</f>
        <v>4636.4189999999926</v>
      </c>
      <c r="D272" s="2">
        <f>SUMIFS(base[L/P Líquido],base[Data],Extrato!$B272,base[Método],Extrato!D$3,base[Exchange],"Fulltbet")</f>
        <v>0</v>
      </c>
      <c r="E272" s="2">
        <f>SUMIFS(base[L/P Líquido],base[Data],Extrato!$B272,base[Método],Extrato!E$3,base[Exchange],"Fulltbet")</f>
        <v>122.24000000000001</v>
      </c>
      <c r="F272" s="2">
        <f>SUMIFS(base[L/P Líquido],base[Data],Extrato!$B272,base[Método],Extrato!F$3)</f>
        <v>-63.550000000000004</v>
      </c>
      <c r="G272" s="2">
        <f>SUMIFS(base[L/P Líquido],base[Data],Extrato!$B272,base[Método],Extrato!G$3,base[Exchange],"Fulltbet")</f>
        <v>-364.48999999999995</v>
      </c>
      <c r="H272" s="2">
        <f>SUMIFS(base[L/P Líquido],base[Data],Extrato!$B272,base[Método],Extrato!H$3)</f>
        <v>151.13</v>
      </c>
      <c r="I272" s="2">
        <f>SUMIF(BetFlow!B:B,B272,BetFlow!J:J)</f>
        <v>0</v>
      </c>
      <c r="J272" s="2">
        <f>SUMIFS(base[L/P Líquido],base[Data],Extrato!$B272,base[Método],Extrato!J$3,base[Exchange],"Fulltbet")</f>
        <v>0</v>
      </c>
      <c r="K272" s="2">
        <f>SUMIFS(base[L/P Líquido],base[Data],Extrato!$B272,base[Método],Extrato!K$3,base[Exchange],"Fulltbet")</f>
        <v>-394.91</v>
      </c>
      <c r="L272" s="2">
        <f>SUMIFS(base[L/P Líquido],base[Data],Extrato!$B272,base[Método],Extrato!L$3,base[Exchange],"Fulltbet")</f>
        <v>0</v>
      </c>
      <c r="M272" s="2">
        <f>SUMIFS(base[L/P Líquido],base[Data],Extrato!$B272,base[Método],Extrato!M$3,base[Exchange],"Fulltbet")</f>
        <v>0</v>
      </c>
      <c r="N272" s="2">
        <f>SUMIFS(base[L/P Líquido],base[Data],Extrato!$B272,base[Método],Extrato!N$3,base[Exchange],"Fulltbet")</f>
        <v>9.73</v>
      </c>
      <c r="O272" s="2">
        <f>SUMIFS(base[L/P Líquido],base[Data],Extrato!$B272,base[Método],Extrato!O$3,base[Exchange],"Fulltbet")</f>
        <v>0</v>
      </c>
      <c r="P272" s="2">
        <f>SUMIFS(base[L/P Líquido],base[Data],Extrato!$B272,base[Método],Extrato!P$3)</f>
        <v>0</v>
      </c>
      <c r="Q272" s="2">
        <f>SUMIFS(base[L/P Líquido],base[Data],Extrato!$B272,base[Método],Extrato!Q$3,base[Exchange],"Fulltbet")</f>
        <v>0</v>
      </c>
      <c r="R272" s="2">
        <f>SUMIFS(base[L/P Líquido],base[Data],Extrato!$B272,base[Método],Extrato!R$3,base[Exchange],"Fulltbet")</f>
        <v>0</v>
      </c>
      <c r="S272" s="2">
        <f>SUMIFS(base[L/P Líquido],base[Data],Extrato!$B272,base[Método],Extrato!S$3,base[Exchange],"Fulltbet")</f>
        <v>0</v>
      </c>
      <c r="T272" s="2">
        <f>SUMIFS(base[L/P Líquido],base[Data],Extrato!$B272,base[Método],Extrato!T$3,base[Exchange],"Fulltbet")</f>
        <v>0</v>
      </c>
      <c r="U272" s="2">
        <f>SUMIFS(base[L/P Líquido],base[Data],Extrato!$B272,base[Método],Extrato!U$3,base[Exchange],"Fulltbet")</f>
        <v>0</v>
      </c>
      <c r="V272" s="2">
        <f>SUMIFS(base[L/P Líquido],base[Data],Extrato!$B272,base[Método],Extrato!V$3,base[Exchange],"Fulltbet")</f>
        <v>0</v>
      </c>
      <c r="W272" s="2">
        <f>SUMIFS(base[L/P Líquido],base[Data],Extrato!$B272,base[Método],Extrato!W$3,base[Exchange],"Fulltbet")</f>
        <v>0</v>
      </c>
      <c r="X272" s="2">
        <f>SUMIFS(base[L/P Líquido],base[Data],Extrato!$B272,base[Método],Extrato!X$3,base[Exchange],"Fulltbet")</f>
        <v>0</v>
      </c>
      <c r="Y272" s="2">
        <f>SUMIFS(base[L/P Líquido],base[Data],Extrato!$B272,base[Método],Extrato!Y$3,base[Exchange],"Fulltbet")</f>
        <v>0</v>
      </c>
      <c r="Z272" s="2">
        <f>SUMIFS(base[L/P Líquido],base[Data],Extrato!$B272,base[Método],Extrato!Z$3,base[Exchange],"Fulltbet")</f>
        <v>0</v>
      </c>
      <c r="AA272" s="2">
        <f>SUMIFS(base[L/P Líquido],base[Data],Extrato!$B272,base[Método],Extrato!AA$3,base[Exchange],"Fulltbet")</f>
        <v>0</v>
      </c>
      <c r="AB272" s="2">
        <f>SUMIFS(base[L/P Líquido],base[Data],Extrato!$B272,base[Método],Extrato!AB$3)</f>
        <v>0</v>
      </c>
      <c r="AC272" s="2">
        <f>SUMIFS(base[L/P Líquido],base[Data],Extrato!$B272,base[Método],Extrato!AC$3)</f>
        <v>0</v>
      </c>
      <c r="AD272" s="2">
        <f>SUMIFS(base[L/P Líquido],base[Data],Extrato!$B272,base[Método],Extrato!AD$3)</f>
        <v>0</v>
      </c>
      <c r="AE272" s="2">
        <f>SUMIFS(base[L/P Líquido],base[Data],Extrato!$B272,base[Método],Extrato!AE$3)</f>
        <v>0</v>
      </c>
      <c r="AF272" s="2">
        <f>SUMIFS(base[L/P Líquido],base[Data],Extrato!$B272,base[Método],Extrato!AF$3)</f>
        <v>0</v>
      </c>
      <c r="AG272" s="2">
        <f>SUMIFS(base[L/P Líquido],base[Data],Extrato!$B272,base[Método],Extrato!AG$3)</f>
        <v>0</v>
      </c>
      <c r="AH272" s="2">
        <f>SUMIFS(base[L/P Líquido],base[Data],Extrato!$B272,base[Método],Extrato!AH$3)</f>
        <v>0</v>
      </c>
      <c r="AI272" s="2">
        <f>SUMIFS(base[L/P Líquido],base[Data],Extrato!$B272,base[Método],Extrato!AI$3)</f>
        <v>0</v>
      </c>
      <c r="AJ272" s="2">
        <f>SUMIFS(base[L/P Líquido],base[Data],Extrato!$B272,base[Método],Extrato!AJ$3)</f>
        <v>0</v>
      </c>
      <c r="AK272" s="2">
        <f>SUMIFS(base[L/P Líquido],base[Data],Extrato!$B272,base[Método],Extrato!AK$3)</f>
        <v>0</v>
      </c>
      <c r="AL272" s="2">
        <f>SUMIFS(base[L/P Líquido],base[Data],Extrato!$B272,base[Método],Extrato!AL$3)</f>
        <v>0</v>
      </c>
      <c r="AM272" s="2">
        <f>SUMIFS(base[L/P Líquido],base[Data],Extrato!$B272,base[Método],Extrato!AM$3)</f>
        <v>0</v>
      </c>
      <c r="AN272" s="2">
        <v>0</v>
      </c>
      <c r="AO272" s="2">
        <v>0</v>
      </c>
      <c r="AP272" s="435">
        <f>SUM(C272:AO272)</f>
        <v>4096.5689999999922</v>
      </c>
      <c r="AR272" s="2">
        <f t="shared" ref="AR272" si="244">BK271</f>
        <v>-24.338430490751261</v>
      </c>
      <c r="AS272" s="2">
        <f>SUMIFS(base[L/P Líquido],base[Data],Extrato!$B272,base[Método],Extrato!AS$3,base[Exchange],"Betbra")</f>
        <v>0</v>
      </c>
      <c r="AT272" s="2">
        <f>SUMIFS(base[L/P Líquido],base[Data],Extrato!$B272,base[Método],Extrato!AT$3,base[Exchange],"Betbra")</f>
        <v>0</v>
      </c>
      <c r="AU272" s="2">
        <f>SUMIFS(base[L/P Líquido],base[Data],Extrato!$B272,base[Método],Extrato!AU$3,base[Exchange],"Betbra")</f>
        <v>0</v>
      </c>
      <c r="AV272" s="2">
        <f>SUMIFS(base[L/P Líquido],base[Data],Extrato!$B272,base[Método],Extrato!AV$3,base[Exchange],"Betbra")</f>
        <v>0</v>
      </c>
      <c r="AW272" s="2">
        <f>SUMIFS(base[L/P Líquido],base[Data],Extrato!$B272,base[Método],Extrato!AW$3,base[Exchange],"Betbra")</f>
        <v>0</v>
      </c>
      <c r="AX272" s="2">
        <f>SUMIFS(base[L/P Líquido],base[Data],Extrato!$B272,base[Método],Extrato!AX$3,base[Exchange],"Betbra")</f>
        <v>0</v>
      </c>
      <c r="AY272" s="2">
        <f>SUMIFS(base[L/P Líquido],base[Data],Extrato!$B272,base[Método],Extrato!AY$3,base[Exchange],"Betbra")</f>
        <v>0</v>
      </c>
      <c r="AZ272" s="2">
        <f>SUMIF(BetFlow!B:B,Extrato!B272,BetFlow!M:M)</f>
        <v>0</v>
      </c>
      <c r="BA272" s="2">
        <f>SUMIFS(base[L/P Líquido],base[Data],Extrato!$B272,base[Método],Extrato!BA$3,base[Exchange],"Betbra")</f>
        <v>0</v>
      </c>
      <c r="BB272" s="2">
        <f>SUMIFS(base[L/P Líquido],base[Data],Extrato!$B272,base[Método],Extrato!BB$3,base[Exchange],"Betbra")</f>
        <v>0</v>
      </c>
      <c r="BC272" s="2">
        <f>SUMIFS(base[L/P Líquido],base[Data],Extrato!$B272,base[Método],Extrato!BC$3,base[Exchange],"Betbra")</f>
        <v>0</v>
      </c>
      <c r="BD272" s="2">
        <f>SUMIFS(base[L/P Líquido],base[Data],Extrato!$B272,base[Método],Extrato!BD$3,base[Exchange],"Betbra")</f>
        <v>0</v>
      </c>
      <c r="BE272" s="2">
        <f>SUMIFS(base[L/P Líquido],base[Data],Extrato!$B272,base[Método],Extrato!BE$3,base[Exchange],"Betbra")</f>
        <v>0</v>
      </c>
      <c r="BF272" s="2">
        <f>SUMIFS(base[L/P Líquido],base[Data],Extrato!$B272,base[Método],Extrato!BF$3,base[Exchange],"Betbra")</f>
        <v>0</v>
      </c>
      <c r="BG272" s="2">
        <f>SUMIFS(base[L/P Líquido],base[Data],Extrato!$B272,base[Método],Extrato!BG$3,base[Exchange],"Betbra")</f>
        <v>0</v>
      </c>
      <c r="BH272" s="2">
        <f>SUMIFS(base[L/P Líquido],base[Data],Extrato!$B272,base[Método],Extrato!BH$3,base[Exchange],"Betbra")</f>
        <v>0</v>
      </c>
      <c r="BI272" s="2">
        <v>0</v>
      </c>
      <c r="BJ272" s="2">
        <v>0</v>
      </c>
      <c r="BK272" s="435">
        <f t="shared" ref="BK272" si="245">SUM(AR272:BJ272)</f>
        <v>-24.338430490751261</v>
      </c>
      <c r="BM272" s="2">
        <f t="shared" ref="BM272" si="246">BX271</f>
        <v>743.96</v>
      </c>
      <c r="BN272" s="2">
        <f>SUMIFS(base[L/P Líquido],base[Data],Extrato!$B272,base[Método],Extrato!BN$3,base[Exchange],"Bolsa")</f>
        <v>0</v>
      </c>
      <c r="BO272" s="2">
        <f>SUMIFS(base[L/P Líquido],base[Data],Extrato!$B272,base[Método],Extrato!BO$3,base[Exchange],"Bolsa")</f>
        <v>0</v>
      </c>
      <c r="BP272" s="2">
        <f>SUMIFS(base[L/P Líquido],base[Data],Extrato!$B272,base[Método],Extrato!BP$3,base[Exchange],"Bolsa")</f>
        <v>0</v>
      </c>
      <c r="BQ272" s="2">
        <f>SUMIFS(base[L/P Líquido],base[Data],Extrato!$B272,base[Método],Extrato!BQ$3,base[Exchange],"Bolsa")</f>
        <v>0</v>
      </c>
      <c r="BR272" s="2">
        <f>SUMIFS(base[L/P Líquido],base[Data],Extrato!$B272,base[Método],Extrato!BR$3,base[Exchange],"Bolsa")</f>
        <v>0</v>
      </c>
      <c r="BS272" s="2">
        <f>SUMIFS(base[L/P Líquido],base[Data],Extrato!$B272,base[Método],Extrato!BS$3,base[Exchange],"Bolsa")</f>
        <v>0</v>
      </c>
      <c r="BT272" s="2">
        <f>SUMIFS(base[L/P Líquido],base[Data],Extrato!$B272,base[Método],Extrato!BT$3,base[Exchange],"Bolsa")</f>
        <v>0</v>
      </c>
      <c r="BU272" s="2">
        <f>SUMIFS(base[L/P Líquido],base[Data],Extrato!$B272,base[Método],Extrato!BU$3,base[Exchange],"Bolsa")</f>
        <v>0</v>
      </c>
      <c r="BV272" s="2">
        <v>0</v>
      </c>
      <c r="BW272" s="2">
        <v>0</v>
      </c>
      <c r="BX272" s="435">
        <f t="shared" ref="BX272" si="247">SUM(BM272:BW272)</f>
        <v>743.96</v>
      </c>
    </row>
    <row r="273" spans="2:76" ht="15" customHeight="1">
      <c r="B273" s="33">
        <v>46263</v>
      </c>
      <c r="C273" s="2">
        <f t="shared" ref="C273" si="248">AP272</f>
        <v>4096.5689999999922</v>
      </c>
      <c r="D273" s="2">
        <f>SUMIFS(base[L/P Líquido],base[Data],Extrato!$B273,base[Método],Extrato!D$3,base[Exchange],"Fulltbet")</f>
        <v>0</v>
      </c>
      <c r="E273" s="2">
        <f>SUMIFS(base[L/P Líquido],base[Data],Extrato!$B273,base[Método],Extrato!E$3,base[Exchange],"Fulltbet")</f>
        <v>95.33</v>
      </c>
      <c r="F273" s="2">
        <f>SUMIFS(base[L/P Líquido],base[Data],Extrato!$B273,base[Método],Extrato!F$3)</f>
        <v>60.63000000000001</v>
      </c>
      <c r="G273" s="2">
        <f>SUMIFS(base[L/P Líquido],base[Data],Extrato!$B273,base[Método],Extrato!G$3,base[Exchange],"Fulltbet")</f>
        <v>133.535</v>
      </c>
      <c r="H273" s="2">
        <f>SUMIFS(base[L/P Líquido],base[Data],Extrato!$B273,base[Método],Extrato!H$3)</f>
        <v>42.730000000000018</v>
      </c>
      <c r="I273" s="2">
        <f>SUMIF(BetFlow!B:B,B273,BetFlow!J:J)</f>
        <v>0</v>
      </c>
      <c r="J273" s="2">
        <f>SUMIFS(base[L/P Líquido],base[Data],Extrato!$B273,base[Método],Extrato!J$3,base[Exchange],"Fulltbet")</f>
        <v>0</v>
      </c>
      <c r="K273" s="2">
        <f>SUMIFS(base[L/P Líquido],base[Data],Extrato!$B273,base[Método],Extrato!K$3,base[Exchange],"Fulltbet")</f>
        <v>-399.87055000000004</v>
      </c>
      <c r="L273" s="2">
        <f>SUMIFS(base[L/P Líquido],base[Data],Extrato!$B273,base[Método],Extrato!L$3,base[Exchange],"Fulltbet")</f>
        <v>-245.56000000000003</v>
      </c>
      <c r="M273" s="2">
        <f>SUMIFS(base[L/P Líquido],base[Data],Extrato!$B273,base[Método],Extrato!M$3,base[Exchange],"Fulltbet")</f>
        <v>0</v>
      </c>
      <c r="N273" s="2">
        <f>SUMIFS(base[L/P Líquido],base[Data],Extrato!$B273,base[Método],Extrato!N$3,base[Exchange],"Fulltbet")</f>
        <v>7.24</v>
      </c>
      <c r="O273" s="2">
        <f>SUMIFS(base[L/P Líquido],base[Data],Extrato!$B273,base[Método],Extrato!O$3,base[Exchange],"Fulltbet")</f>
        <v>0</v>
      </c>
      <c r="P273" s="2">
        <f>SUMIFS(base[L/P Líquido],base[Data],Extrato!$B273,base[Método],Extrato!P$3)</f>
        <v>0</v>
      </c>
      <c r="Q273" s="2">
        <f>SUMIFS(base[L/P Líquido],base[Data],Extrato!$B273,base[Método],Extrato!Q$3,base[Exchange],"Fulltbet")</f>
        <v>0</v>
      </c>
      <c r="R273" s="2">
        <f>SUMIFS(base[L/P Líquido],base[Data],Extrato!$B273,base[Método],Extrato!R$3,base[Exchange],"Fulltbet")</f>
        <v>0</v>
      </c>
      <c r="S273" s="2">
        <f>SUMIFS(base[L/P Líquido],base[Data],Extrato!$B273,base[Método],Extrato!S$3,base[Exchange],"Fulltbet")</f>
        <v>0</v>
      </c>
      <c r="T273" s="2">
        <f>SUMIFS(base[L/P Líquido],base[Data],Extrato!$B273,base[Método],Extrato!T$3,base[Exchange],"Fulltbet")</f>
        <v>0</v>
      </c>
      <c r="U273" s="2">
        <f>SUMIFS(base[L/P Líquido],base[Data],Extrato!$B273,base[Método],Extrato!U$3,base[Exchange],"Fulltbet")</f>
        <v>0</v>
      </c>
      <c r="V273" s="2">
        <f>SUMIFS(base[L/P Líquido],base[Data],Extrato!$B273,base[Método],Extrato!V$3,base[Exchange],"Fulltbet")</f>
        <v>86.96</v>
      </c>
      <c r="W273" s="2">
        <f>SUMIFS(base[L/P Líquido],base[Data],Extrato!$B273,base[Método],Extrato!W$3,base[Exchange],"Fulltbet")</f>
        <v>0</v>
      </c>
      <c r="X273" s="2">
        <f>SUMIFS(base[L/P Líquido],base[Data],Extrato!$B273,base[Método],Extrato!X$3,base[Exchange],"Fulltbet")</f>
        <v>0</v>
      </c>
      <c r="Y273" s="2">
        <f>SUMIFS(base[L/P Líquido],base[Data],Extrato!$B273,base[Método],Extrato!Y$3,base[Exchange],"Fulltbet")</f>
        <v>0</v>
      </c>
      <c r="Z273" s="2">
        <f>SUMIFS(base[L/P Líquido],base[Data],Extrato!$B273,base[Método],Extrato!Z$3,base[Exchange],"Fulltbet")</f>
        <v>0</v>
      </c>
      <c r="AA273" s="2">
        <f>SUMIFS(base[L/P Líquido],base[Data],Extrato!$B273,base[Método],Extrato!AA$3,base[Exchange],"Fulltbet")</f>
        <v>0</v>
      </c>
      <c r="AB273" s="2">
        <f>SUMIFS(base[L/P Líquido],base[Data],Extrato!$B273,base[Método],Extrato!AB$3)</f>
        <v>0</v>
      </c>
      <c r="AC273" s="2">
        <f>SUMIFS(base[L/P Líquido],base[Data],Extrato!$B273,base[Método],Extrato!AC$3)</f>
        <v>0</v>
      </c>
      <c r="AD273" s="2">
        <f>SUMIFS(base[L/P Líquido],base[Data],Extrato!$B273,base[Método],Extrato!AD$3)</f>
        <v>0</v>
      </c>
      <c r="AE273" s="2">
        <f>SUMIFS(base[L/P Líquido],base[Data],Extrato!$B273,base[Método],Extrato!AE$3)</f>
        <v>0</v>
      </c>
      <c r="AF273" s="2">
        <f>SUMIFS(base[L/P Líquido],base[Data],Extrato!$B273,base[Método],Extrato!AF$3)</f>
        <v>0</v>
      </c>
      <c r="AG273" s="2">
        <f>SUMIFS(base[L/P Líquido],base[Data],Extrato!$B273,base[Método],Extrato!AG$3)</f>
        <v>0</v>
      </c>
      <c r="AH273" s="2">
        <f>SUMIFS(base[L/P Líquido],base[Data],Extrato!$B273,base[Método],Extrato!AH$3)</f>
        <v>0</v>
      </c>
      <c r="AI273" s="2">
        <f>SUMIFS(base[L/P Líquido],base[Data],Extrato!$B273,base[Método],Extrato!AI$3)</f>
        <v>0</v>
      </c>
      <c r="AJ273" s="2">
        <f>SUMIFS(base[L/P Líquido],base[Data],Extrato!$B273,base[Método],Extrato!AJ$3)</f>
        <v>0</v>
      </c>
      <c r="AK273" s="2">
        <f>SUMIFS(base[L/P Líquido],base[Data],Extrato!$B273,base[Método],Extrato!AK$3)</f>
        <v>0</v>
      </c>
      <c r="AL273" s="2">
        <f>SUMIFS(base[L/P Líquido],base[Data],Extrato!$B273,base[Método],Extrato!AL$3)</f>
        <v>0</v>
      </c>
      <c r="AM273" s="2">
        <f>SUMIFS(base[L/P Líquido],base[Data],Extrato!$B273,base[Método],Extrato!AM$3)</f>
        <v>0</v>
      </c>
      <c r="AN273" s="2">
        <v>0</v>
      </c>
      <c r="AO273" s="2">
        <v>0</v>
      </c>
      <c r="AP273" s="435">
        <f>SUM(C273:AO273)</f>
        <v>3877.5634499999924</v>
      </c>
      <c r="AR273" s="2">
        <f t="shared" ref="AR273" si="249">BK272</f>
        <v>-24.338430490751261</v>
      </c>
      <c r="AS273" s="2">
        <f>SUMIFS(base[L/P Líquido],base[Data],Extrato!$B273,base[Método],Extrato!AS$3,base[Exchange],"Betbra")</f>
        <v>0</v>
      </c>
      <c r="AT273" s="2">
        <f>SUMIFS(base[L/P Líquido],base[Data],Extrato!$B273,base[Método],Extrato!AT$3,base[Exchange],"Betbra")</f>
        <v>0</v>
      </c>
      <c r="AU273" s="2">
        <f>SUMIFS(base[L/P Líquido],base[Data],Extrato!$B273,base[Método],Extrato!AU$3,base[Exchange],"Betbra")</f>
        <v>0</v>
      </c>
      <c r="AV273" s="2">
        <f>SUMIFS(base[L/P Líquido],base[Data],Extrato!$B273,base[Método],Extrato!AV$3,base[Exchange],"Betbra")</f>
        <v>0</v>
      </c>
      <c r="AW273" s="2">
        <f>SUMIFS(base[L/P Líquido],base[Data],Extrato!$B273,base[Método],Extrato!AW$3,base[Exchange],"Betbra")</f>
        <v>0</v>
      </c>
      <c r="AX273" s="2">
        <f>SUMIFS(base[L/P Líquido],base[Data],Extrato!$B273,base[Método],Extrato!AX$3,base[Exchange],"Betbra")</f>
        <v>0</v>
      </c>
      <c r="AY273" s="2">
        <f>SUMIFS(base[L/P Líquido],base[Data],Extrato!$B273,base[Método],Extrato!AY$3,base[Exchange],"Betbra")</f>
        <v>0</v>
      </c>
      <c r="AZ273" s="2">
        <f>SUMIF(BetFlow!B:B,Extrato!B273,BetFlow!M:M)</f>
        <v>0</v>
      </c>
      <c r="BA273" s="2">
        <f>SUMIFS(base[L/P Líquido],base[Data],Extrato!$B273,base[Método],Extrato!BA$3,base[Exchange],"Betbra")</f>
        <v>0</v>
      </c>
      <c r="BB273" s="2">
        <f>SUMIFS(base[L/P Líquido],base[Data],Extrato!$B273,base[Método],Extrato!BB$3,base[Exchange],"Betbra")</f>
        <v>0</v>
      </c>
      <c r="BC273" s="2">
        <f>SUMIFS(base[L/P Líquido],base[Data],Extrato!$B273,base[Método],Extrato!BC$3,base[Exchange],"Betbra")</f>
        <v>0</v>
      </c>
      <c r="BD273" s="2">
        <f>SUMIFS(base[L/P Líquido],base[Data],Extrato!$B273,base[Método],Extrato!BD$3,base[Exchange],"Betbra")</f>
        <v>0</v>
      </c>
      <c r="BE273" s="2">
        <f>SUMIFS(base[L/P Líquido],base[Data],Extrato!$B273,base[Método],Extrato!BE$3,base[Exchange],"Betbra")</f>
        <v>0</v>
      </c>
      <c r="BF273" s="2">
        <f>SUMIFS(base[L/P Líquido],base[Data],Extrato!$B273,base[Método],Extrato!BF$3,base[Exchange],"Betbra")</f>
        <v>0</v>
      </c>
      <c r="BG273" s="2">
        <f>SUMIFS(base[L/P Líquido],base[Data],Extrato!$B273,base[Método],Extrato!BG$3,base[Exchange],"Betbra")</f>
        <v>0</v>
      </c>
      <c r="BH273" s="2">
        <f>SUMIFS(base[L/P Líquido],base[Data],Extrato!$B273,base[Método],Extrato!BH$3,base[Exchange],"Betbra")</f>
        <v>0</v>
      </c>
      <c r="BI273" s="2">
        <v>0</v>
      </c>
      <c r="BJ273" s="2">
        <v>0</v>
      </c>
      <c r="BK273" s="435">
        <f t="shared" ref="BK273" si="250">SUM(AR273:BJ273)</f>
        <v>-24.338430490751261</v>
      </c>
      <c r="BM273" s="2">
        <f t="shared" ref="BM273" si="251">BX272</f>
        <v>743.96</v>
      </c>
      <c r="BN273" s="2">
        <f>SUMIFS(base[L/P Líquido],base[Data],Extrato!$B273,base[Método],Extrato!BN$3,base[Exchange],"Bolsa")</f>
        <v>0</v>
      </c>
      <c r="BO273" s="2">
        <f>SUMIFS(base[L/P Líquido],base[Data],Extrato!$B273,base[Método],Extrato!BO$3,base[Exchange],"Bolsa")</f>
        <v>0</v>
      </c>
      <c r="BP273" s="2">
        <f>SUMIFS(base[L/P Líquido],base[Data],Extrato!$B273,base[Método],Extrato!BP$3,base[Exchange],"Bolsa")</f>
        <v>0</v>
      </c>
      <c r="BQ273" s="2">
        <f>SUMIFS(base[L/P Líquido],base[Data],Extrato!$B273,base[Método],Extrato!BQ$3,base[Exchange],"Bolsa")</f>
        <v>0</v>
      </c>
      <c r="BR273" s="2">
        <f>SUMIFS(base[L/P Líquido],base[Data],Extrato!$B273,base[Método],Extrato!BR$3,base[Exchange],"Bolsa")</f>
        <v>0</v>
      </c>
      <c r="BS273" s="2">
        <f>SUMIFS(base[L/P Líquido],base[Data],Extrato!$B273,base[Método],Extrato!BS$3,base[Exchange],"Bolsa")</f>
        <v>0</v>
      </c>
      <c r="BT273" s="2">
        <f>SUMIFS(base[L/P Líquido],base[Data],Extrato!$B273,base[Método],Extrato!BT$3,base[Exchange],"Bolsa")</f>
        <v>0</v>
      </c>
      <c r="BU273" s="2">
        <f>SUMIFS(base[L/P Líquido],base[Data],Extrato!$B273,base[Método],Extrato!BU$3,base[Exchange],"Bolsa")</f>
        <v>0</v>
      </c>
      <c r="BV273" s="2">
        <v>0</v>
      </c>
      <c r="BW273" s="2">
        <v>0</v>
      </c>
      <c r="BX273" s="435">
        <f t="shared" ref="BX273" si="252">SUM(BM273:BW273)</f>
        <v>743.96</v>
      </c>
    </row>
    <row r="274" spans="2:76" ht="15" customHeight="1">
      <c r="B274" s="33">
        <v>46264</v>
      </c>
      <c r="C274" s="2">
        <f t="shared" ref="C274" si="253">AP273</f>
        <v>3877.5634499999924</v>
      </c>
      <c r="D274" s="2">
        <f>SUMIFS(base[L/P Líquido],base[Data],Extrato!$B274,base[Método],Extrato!D$3,base[Exchange],"Fulltbet")</f>
        <v>0</v>
      </c>
      <c r="E274" s="2">
        <f>SUMIFS(base[L/P Líquido],base[Data],Extrato!$B274,base[Método],Extrato!E$3,base[Exchange],"Fulltbet")</f>
        <v>113.99</v>
      </c>
      <c r="F274" s="2">
        <f>SUMIFS(base[L/P Líquido],base[Data],Extrato!$B274,base[Método],Extrato!F$3)</f>
        <v>32.986249999999998</v>
      </c>
      <c r="G274" s="2">
        <f>SUMIFS(base[L/P Líquido],base[Data],Extrato!$B274,base[Método],Extrato!G$3,base[Exchange],"Fulltbet")</f>
        <v>146.0386</v>
      </c>
      <c r="H274" s="2">
        <f>SUMIFS(base[L/P Líquido],base[Data],Extrato!$B274,base[Método],Extrato!H$3)</f>
        <v>114.6</v>
      </c>
      <c r="I274" s="2">
        <f>SUMIF(BetFlow!B:B,B274,BetFlow!J:J)</f>
        <v>0</v>
      </c>
      <c r="J274" s="2">
        <f>SUMIFS(base[L/P Líquido],base[Data],Extrato!$B274,base[Método],Extrato!J$3,base[Exchange],"Fulltbet")</f>
        <v>0</v>
      </c>
      <c r="K274" s="2">
        <f>SUMIFS(base[L/P Líquido],base[Data],Extrato!$B274,base[Método],Extrato!K$3,base[Exchange],"Fulltbet")</f>
        <v>0</v>
      </c>
      <c r="L274" s="2">
        <f>SUMIFS(base[L/P Líquido],base[Data],Extrato!$B274,base[Método],Extrato!L$3,base[Exchange],"Fulltbet")</f>
        <v>0</v>
      </c>
      <c r="M274" s="2">
        <f>SUMIFS(base[L/P Líquido],base[Data],Extrato!$B274,base[Método],Extrato!M$3,base[Exchange],"Fulltbet")</f>
        <v>0</v>
      </c>
      <c r="N274" s="2">
        <f>SUMIFS(base[L/P Líquido],base[Data],Extrato!$B274,base[Método],Extrato!N$3,base[Exchange],"Fulltbet")</f>
        <v>114.87434999999999</v>
      </c>
      <c r="O274" s="2">
        <f>SUMIFS(base[L/P Líquido],base[Data],Extrato!$B274,base[Método],Extrato!O$3,base[Exchange],"Fulltbet")</f>
        <v>0</v>
      </c>
      <c r="P274" s="2">
        <f>SUMIFS(base[L/P Líquido],base[Data],Extrato!$B274,base[Método],Extrato!P$3)</f>
        <v>0</v>
      </c>
      <c r="Q274" s="2">
        <f>SUMIFS(base[L/P Líquido],base[Data],Extrato!$B274,base[Método],Extrato!Q$3,base[Exchange],"Fulltbet")</f>
        <v>0</v>
      </c>
      <c r="R274" s="2">
        <f>SUMIFS(base[L/P Líquido],base[Data],Extrato!$B274,base[Método],Extrato!R$3,base[Exchange],"Fulltbet")</f>
        <v>0</v>
      </c>
      <c r="S274" s="2">
        <f>SUMIFS(base[L/P Líquido],base[Data],Extrato!$B274,base[Método],Extrato!S$3,base[Exchange],"Fulltbet")</f>
        <v>0</v>
      </c>
      <c r="T274" s="2">
        <f>SUMIFS(base[L/P Líquido],base[Data],Extrato!$B274,base[Método],Extrato!T$3,base[Exchange],"Fulltbet")</f>
        <v>0</v>
      </c>
      <c r="U274" s="2">
        <f>SUMIFS(base[L/P Líquido],base[Data],Extrato!$B274,base[Método],Extrato!U$3,base[Exchange],"Fulltbet")</f>
        <v>0</v>
      </c>
      <c r="V274" s="2">
        <f>SUMIFS(base[L/P Líquido],base[Data],Extrato!$B274,base[Método],Extrato!V$3,base[Exchange],"Fulltbet")</f>
        <v>27.32</v>
      </c>
      <c r="W274" s="2">
        <f>SUMIFS(base[L/P Líquido],base[Data],Extrato!$B274,base[Método],Extrato!W$3,base[Exchange],"Fulltbet")</f>
        <v>0</v>
      </c>
      <c r="X274" s="2">
        <f>SUMIFS(base[L/P Líquido],base[Data],Extrato!$B274,base[Método],Extrato!X$3,base[Exchange],"Fulltbet")</f>
        <v>0</v>
      </c>
      <c r="Y274" s="2">
        <f>SUMIFS(base[L/P Líquido],base[Data],Extrato!$B274,base[Método],Extrato!Y$3,base[Exchange],"Fulltbet")</f>
        <v>0</v>
      </c>
      <c r="Z274" s="2">
        <f>SUMIFS(base[L/P Líquido],base[Data],Extrato!$B274,base[Método],Extrato!Z$3,base[Exchange],"Fulltbet")</f>
        <v>0</v>
      </c>
      <c r="AA274" s="2">
        <f>SUMIFS(base[L/P Líquido],base[Data],Extrato!$B274,base[Método],Extrato!AA$3,base[Exchange],"Fulltbet")</f>
        <v>0</v>
      </c>
      <c r="AB274" s="2">
        <f>SUMIFS(base[L/P Líquido],base[Data],Extrato!$B274,base[Método],Extrato!AB$3)</f>
        <v>0</v>
      </c>
      <c r="AC274" s="2">
        <f>SUMIFS(base[L/P Líquido],base[Data],Extrato!$B274,base[Método],Extrato!AC$3)</f>
        <v>0</v>
      </c>
      <c r="AD274" s="2">
        <f>SUMIFS(base[L/P Líquido],base[Data],Extrato!$B274,base[Método],Extrato!AD$3)</f>
        <v>0</v>
      </c>
      <c r="AE274" s="2">
        <f>SUMIFS(base[L/P Líquido],base[Data],Extrato!$B274,base[Método],Extrato!AE$3)</f>
        <v>0</v>
      </c>
      <c r="AF274" s="2">
        <f>SUMIFS(base[L/P Líquido],base[Data],Extrato!$B274,base[Método],Extrato!AF$3)</f>
        <v>0</v>
      </c>
      <c r="AG274" s="2">
        <f>SUMIFS(base[L/P Líquido],base[Data],Extrato!$B274,base[Método],Extrato!AG$3)</f>
        <v>0</v>
      </c>
      <c r="AH274" s="2">
        <f>SUMIFS(base[L/P Líquido],base[Data],Extrato!$B274,base[Método],Extrato!AH$3)</f>
        <v>0</v>
      </c>
      <c r="AI274" s="2">
        <f>SUMIFS(base[L/P Líquido],base[Data],Extrato!$B274,base[Método],Extrato!AI$3)</f>
        <v>0</v>
      </c>
      <c r="AJ274" s="2">
        <f>SUMIFS(base[L/P Líquido],base[Data],Extrato!$B274,base[Método],Extrato!AJ$3)</f>
        <v>0</v>
      </c>
      <c r="AK274" s="2">
        <f>SUMIFS(base[L/P Líquido],base[Data],Extrato!$B274,base[Método],Extrato!AK$3)</f>
        <v>0</v>
      </c>
      <c r="AL274" s="2">
        <f>SUMIFS(base[L/P Líquido],base[Data],Extrato!$B274,base[Método],Extrato!AL$3)</f>
        <v>0</v>
      </c>
      <c r="AM274" s="2">
        <f>SUMIFS(base[L/P Líquido],base[Data],Extrato!$B274,base[Método],Extrato!AM$3)</f>
        <v>0</v>
      </c>
      <c r="AN274" s="2">
        <v>0</v>
      </c>
      <c r="AO274" s="2">
        <v>0</v>
      </c>
      <c r="AP274" s="435">
        <f>SUM(C274:AO274)</f>
        <v>4427.3726499999921</v>
      </c>
      <c r="AR274" s="2">
        <f t="shared" ref="AR274" si="254">BK273</f>
        <v>-24.338430490751261</v>
      </c>
      <c r="AS274" s="2">
        <f>SUMIFS(base[L/P Líquido],base[Data],Extrato!$B274,base[Método],Extrato!AS$3,base[Exchange],"Betbra")</f>
        <v>0</v>
      </c>
      <c r="AT274" s="2">
        <f>SUMIFS(base[L/P Líquido],base[Data],Extrato!$B274,base[Método],Extrato!AT$3,base[Exchange],"Betbra")</f>
        <v>0</v>
      </c>
      <c r="AU274" s="2">
        <f>SUMIFS(base[L/P Líquido],base[Data],Extrato!$B274,base[Método],Extrato!AU$3,base[Exchange],"Betbra")</f>
        <v>0</v>
      </c>
      <c r="AV274" s="2">
        <f>SUMIFS(base[L/P Líquido],base[Data],Extrato!$B274,base[Método],Extrato!AV$3,base[Exchange],"Betbra")</f>
        <v>0</v>
      </c>
      <c r="AW274" s="2">
        <f>SUMIFS(base[L/P Líquido],base[Data],Extrato!$B274,base[Método],Extrato!AW$3,base[Exchange],"Betbra")</f>
        <v>0</v>
      </c>
      <c r="AX274" s="2">
        <f>SUMIFS(base[L/P Líquido],base[Data],Extrato!$B274,base[Método],Extrato!AX$3,base[Exchange],"Betbra")</f>
        <v>0</v>
      </c>
      <c r="AY274" s="2">
        <f>SUMIFS(base[L/P Líquido],base[Data],Extrato!$B274,base[Método],Extrato!AY$3,base[Exchange],"Betbra")</f>
        <v>0</v>
      </c>
      <c r="AZ274" s="2">
        <f>SUMIF(BetFlow!B:B,Extrato!B274,BetFlow!M:M)</f>
        <v>0</v>
      </c>
      <c r="BA274" s="2">
        <f>SUMIFS(base[L/P Líquido],base[Data],Extrato!$B274,base[Método],Extrato!BA$3,base[Exchange],"Betbra")</f>
        <v>0</v>
      </c>
      <c r="BB274" s="2">
        <f>SUMIFS(base[L/P Líquido],base[Data],Extrato!$B274,base[Método],Extrato!BB$3,base[Exchange],"Betbra")</f>
        <v>0</v>
      </c>
      <c r="BC274" s="2">
        <f>SUMIFS(base[L/P Líquido],base[Data],Extrato!$B274,base[Método],Extrato!BC$3,base[Exchange],"Betbra")</f>
        <v>0</v>
      </c>
      <c r="BD274" s="2">
        <f>SUMIFS(base[L/P Líquido],base[Data],Extrato!$B274,base[Método],Extrato!BD$3,base[Exchange],"Betbra")</f>
        <v>0</v>
      </c>
      <c r="BE274" s="2">
        <f>SUMIFS(base[L/P Líquido],base[Data],Extrato!$B274,base[Método],Extrato!BE$3,base[Exchange],"Betbra")</f>
        <v>0</v>
      </c>
      <c r="BF274" s="2">
        <f>SUMIFS(base[L/P Líquido],base[Data],Extrato!$B274,base[Método],Extrato!BF$3,base[Exchange],"Betbra")</f>
        <v>0</v>
      </c>
      <c r="BG274" s="2">
        <f>SUMIFS(base[L/P Líquido],base[Data],Extrato!$B274,base[Método],Extrato!BG$3,base[Exchange],"Betbra")</f>
        <v>0</v>
      </c>
      <c r="BH274" s="2">
        <f>SUMIFS(base[L/P Líquido],base[Data],Extrato!$B274,base[Método],Extrato!BH$3,base[Exchange],"Betbra")</f>
        <v>0</v>
      </c>
      <c r="BI274" s="2">
        <v>0</v>
      </c>
      <c r="BJ274" s="2">
        <v>0</v>
      </c>
      <c r="BK274" s="435">
        <f t="shared" ref="BK274" si="255">SUM(AR274:BJ274)</f>
        <v>-24.338430490751261</v>
      </c>
      <c r="BM274" s="2">
        <f t="shared" ref="BM274" si="256">BX273</f>
        <v>743.96</v>
      </c>
      <c r="BN274" s="2">
        <f>SUMIFS(base[L/P Líquido],base[Data],Extrato!$B274,base[Método],Extrato!BN$3,base[Exchange],"Bolsa")</f>
        <v>0</v>
      </c>
      <c r="BO274" s="2">
        <f>SUMIFS(base[L/P Líquido],base[Data],Extrato!$B274,base[Método],Extrato!BO$3,base[Exchange],"Bolsa")</f>
        <v>0</v>
      </c>
      <c r="BP274" s="2">
        <f>SUMIFS(base[L/P Líquido],base[Data],Extrato!$B274,base[Método],Extrato!BP$3,base[Exchange],"Bolsa")</f>
        <v>0</v>
      </c>
      <c r="BQ274" s="2">
        <f>SUMIFS(base[L/P Líquido],base[Data],Extrato!$B274,base[Método],Extrato!BQ$3,base[Exchange],"Bolsa")</f>
        <v>0</v>
      </c>
      <c r="BR274" s="2">
        <f>SUMIFS(base[L/P Líquido],base[Data],Extrato!$B274,base[Método],Extrato!BR$3,base[Exchange],"Bolsa")</f>
        <v>0</v>
      </c>
      <c r="BS274" s="2">
        <f>SUMIFS(base[L/P Líquido],base[Data],Extrato!$B274,base[Método],Extrato!BS$3,base[Exchange],"Bolsa")</f>
        <v>0</v>
      </c>
      <c r="BT274" s="2">
        <f>SUMIFS(base[L/P Líquido],base[Data],Extrato!$B274,base[Método],Extrato!BT$3,base[Exchange],"Bolsa")</f>
        <v>0</v>
      </c>
      <c r="BU274" s="2">
        <f>SUMIFS(base[L/P Líquido],base[Data],Extrato!$B274,base[Método],Extrato!BU$3,base[Exchange],"Bolsa")</f>
        <v>0</v>
      </c>
      <c r="BV274" s="2">
        <v>0</v>
      </c>
      <c r="BW274" s="2">
        <v>0</v>
      </c>
      <c r="BX274" s="435">
        <f t="shared" ref="BX274" si="257">SUM(BM274:BW274)</f>
        <v>743.96</v>
      </c>
    </row>
    <row r="275" spans="2:76" ht="15" customHeight="1">
      <c r="B275" s="33">
        <v>46265</v>
      </c>
      <c r="C275" s="2">
        <f t="shared" ref="C275" si="258">AP274</f>
        <v>4427.3726499999921</v>
      </c>
      <c r="D275" s="2">
        <f>SUMIFS(base[L/P Líquido],base[Data],Extrato!$B275,base[Método],Extrato!D$3,base[Exchange],"Fulltbet")</f>
        <v>0</v>
      </c>
      <c r="E275" s="2">
        <f>SUMIFS(base[L/P Líquido],base[Data],Extrato!$B275,base[Método],Extrato!E$3,base[Exchange],"Fulltbet")</f>
        <v>31.78</v>
      </c>
      <c r="F275" s="2">
        <f>SUMIFS(base[L/P Líquido],base[Data],Extrato!$B275,base[Método],Extrato!F$3)</f>
        <v>-0.15000000000000036</v>
      </c>
      <c r="G275" s="2">
        <f>SUMIFS(base[L/P Líquido],base[Data],Extrato!$B275,base[Método],Extrato!G$3,base[Exchange],"Fulltbet")</f>
        <v>7.64</v>
      </c>
      <c r="H275" s="2">
        <f>SUMIFS(base[L/P Líquido],base[Data],Extrato!$B275,base[Método],Extrato!H$3)</f>
        <v>0</v>
      </c>
      <c r="I275" s="2">
        <f>SUMIF(BetFlow!B:B,B275,BetFlow!J:J)</f>
        <v>0</v>
      </c>
      <c r="J275" s="2">
        <f>SUMIFS(base[L/P Líquido],base[Data],Extrato!$B275,base[Método],Extrato!J$3,base[Exchange],"Fulltbet")</f>
        <v>0</v>
      </c>
      <c r="K275" s="2">
        <f>SUMIFS(base[L/P Líquido],base[Data],Extrato!$B275,base[Método],Extrato!K$3,base[Exchange],"Fulltbet")</f>
        <v>0</v>
      </c>
      <c r="L275" s="2">
        <f>SUMIFS(base[L/P Líquido],base[Data],Extrato!$B275,base[Método],Extrato!L$3,base[Exchange],"Fulltbet")</f>
        <v>0</v>
      </c>
      <c r="M275" s="2">
        <f>SUMIFS(base[L/P Líquido],base[Data],Extrato!$B275,base[Método],Extrato!M$3,base[Exchange],"Fulltbet")</f>
        <v>0</v>
      </c>
      <c r="N275" s="2">
        <f>SUMIFS(base[L/P Líquido],base[Data],Extrato!$B275,base[Método],Extrato!N$3,base[Exchange],"Fulltbet")</f>
        <v>-554.79999999999995</v>
      </c>
      <c r="O275" s="2">
        <f>SUMIFS(base[L/P Líquido],base[Data],Extrato!$B275,base[Método],Extrato!O$3,base[Exchange],"Fulltbet")</f>
        <v>0</v>
      </c>
      <c r="P275" s="2">
        <f>SUMIFS(base[L/P Líquido],base[Data],Extrato!$B275,base[Método],Extrato!P$3)</f>
        <v>0</v>
      </c>
      <c r="Q275" s="2">
        <f>SUMIFS(base[L/P Líquido],base[Data],Extrato!$B275,base[Método],Extrato!Q$3,base[Exchange],"Fulltbet")</f>
        <v>0</v>
      </c>
      <c r="R275" s="2">
        <f>SUMIFS(base[L/P Líquido],base[Data],Extrato!$B275,base[Método],Extrato!R$3,base[Exchange],"Fulltbet")</f>
        <v>0</v>
      </c>
      <c r="S275" s="2">
        <f>SUMIFS(base[L/P Líquido],base[Data],Extrato!$B275,base[Método],Extrato!S$3,base[Exchange],"Fulltbet")</f>
        <v>0</v>
      </c>
      <c r="T275" s="2">
        <f>SUMIFS(base[L/P Líquido],base[Data],Extrato!$B275,base[Método],Extrato!T$3,base[Exchange],"Fulltbet")</f>
        <v>0</v>
      </c>
      <c r="U275" s="2">
        <f>SUMIFS(base[L/P Líquido],base[Data],Extrato!$B275,base[Método],Extrato!U$3,base[Exchange],"Fulltbet")</f>
        <v>0</v>
      </c>
      <c r="V275" s="2">
        <f>SUMIFS(base[L/P Líquido],base[Data],Extrato!$B275,base[Método],Extrato!V$3,base[Exchange],"Fulltbet")</f>
        <v>0</v>
      </c>
      <c r="W275" s="2">
        <f>SUMIFS(base[L/P Líquido],base[Data],Extrato!$B275,base[Método],Extrato!W$3,base[Exchange],"Fulltbet")</f>
        <v>0</v>
      </c>
      <c r="X275" s="2">
        <f>SUMIFS(base[L/P Líquido],base[Data],Extrato!$B275,base[Método],Extrato!X$3,base[Exchange],"Fulltbet")</f>
        <v>0</v>
      </c>
      <c r="Y275" s="2">
        <f>SUMIFS(base[L/P Líquido],base[Data],Extrato!$B275,base[Método],Extrato!Y$3,base[Exchange],"Fulltbet")</f>
        <v>0</v>
      </c>
      <c r="Z275" s="2">
        <f>SUMIFS(base[L/P Líquido],base[Data],Extrato!$B275,base[Método],Extrato!Z$3,base[Exchange],"Fulltbet")</f>
        <v>0</v>
      </c>
      <c r="AA275" s="2">
        <f>SUMIFS(base[L/P Líquido],base[Data],Extrato!$B275,base[Método],Extrato!AA$3,base[Exchange],"Fulltbet")</f>
        <v>0</v>
      </c>
      <c r="AB275" s="2">
        <f>SUMIFS(base[L/P Líquido],base[Data],Extrato!$B275,base[Método],Extrato!AB$3)</f>
        <v>0</v>
      </c>
      <c r="AC275" s="2">
        <f>SUMIFS(base[L/P Líquido],base[Data],Extrato!$B275,base[Método],Extrato!AC$3)</f>
        <v>0</v>
      </c>
      <c r="AD275" s="2">
        <f>SUMIFS(base[L/P Líquido],base[Data],Extrato!$B275,base[Método],Extrato!AD$3)</f>
        <v>0</v>
      </c>
      <c r="AE275" s="2">
        <f>SUMIFS(base[L/P Líquido],base[Data],Extrato!$B275,base[Método],Extrato!AE$3)</f>
        <v>0</v>
      </c>
      <c r="AF275" s="2">
        <f>SUMIFS(base[L/P Líquido],base[Data],Extrato!$B275,base[Método],Extrato!AF$3)</f>
        <v>0</v>
      </c>
      <c r="AG275" s="2">
        <f>SUMIFS(base[L/P Líquido],base[Data],Extrato!$B275,base[Método],Extrato!AG$3)</f>
        <v>0</v>
      </c>
      <c r="AH275" s="2">
        <f>SUMIFS(base[L/P Líquido],base[Data],Extrato!$B275,base[Método],Extrato!AH$3)</f>
        <v>0</v>
      </c>
      <c r="AI275" s="2">
        <f>SUMIFS(base[L/P Líquido],base[Data],Extrato!$B275,base[Método],Extrato!AI$3)</f>
        <v>0</v>
      </c>
      <c r="AJ275" s="2">
        <f>SUMIFS(base[L/P Líquido],base[Data],Extrato!$B275,base[Método],Extrato!AJ$3)</f>
        <v>0</v>
      </c>
      <c r="AK275" s="2">
        <f>SUMIFS(base[L/P Líquido],base[Data],Extrato!$B275,base[Método],Extrato!AK$3)</f>
        <v>0</v>
      </c>
      <c r="AL275" s="2">
        <f>SUMIFS(base[L/P Líquido],base[Data],Extrato!$B275,base[Método],Extrato!AL$3)</f>
        <v>0</v>
      </c>
      <c r="AM275" s="2">
        <f>SUMIFS(base[L/P Líquido],base[Data],Extrato!$B275,base[Método],Extrato!AM$3)</f>
        <v>0</v>
      </c>
      <c r="AN275" s="2">
        <v>0</v>
      </c>
      <c r="AO275" s="2">
        <v>0</v>
      </c>
      <c r="AP275" s="435">
        <f>SUM(C275:AO275)</f>
        <v>3911.8426499999923</v>
      </c>
      <c r="AR275" s="2">
        <f t="shared" ref="AR275" si="259">BK274</f>
        <v>-24.338430490751261</v>
      </c>
      <c r="AS275" s="2">
        <f>SUMIFS(base[L/P Líquido],base[Data],Extrato!$B275,base[Método],Extrato!AS$3,base[Exchange],"Betbra")</f>
        <v>0</v>
      </c>
      <c r="AT275" s="2">
        <f>SUMIFS(base[L/P Líquido],base[Data],Extrato!$B275,base[Método],Extrato!AT$3,base[Exchange],"Betbra")</f>
        <v>0</v>
      </c>
      <c r="AU275" s="2">
        <f>SUMIFS(base[L/P Líquido],base[Data],Extrato!$B275,base[Método],Extrato!AU$3,base[Exchange],"Betbra")</f>
        <v>0</v>
      </c>
      <c r="AV275" s="2">
        <f>SUMIFS(base[L/P Líquido],base[Data],Extrato!$B275,base[Método],Extrato!AV$3,base[Exchange],"Betbra")</f>
        <v>0</v>
      </c>
      <c r="AW275" s="2">
        <f>SUMIFS(base[L/P Líquido],base[Data],Extrato!$B275,base[Método],Extrato!AW$3,base[Exchange],"Betbra")</f>
        <v>0</v>
      </c>
      <c r="AX275" s="2">
        <f>SUMIFS(base[L/P Líquido],base[Data],Extrato!$B275,base[Método],Extrato!AX$3,base[Exchange],"Betbra")</f>
        <v>0</v>
      </c>
      <c r="AY275" s="2">
        <f>SUMIFS(base[L/P Líquido],base[Data],Extrato!$B275,base[Método],Extrato!AY$3,base[Exchange],"Betbra")</f>
        <v>0</v>
      </c>
      <c r="AZ275" s="2">
        <f>SUMIF(BetFlow!B:B,Extrato!B275,BetFlow!M:M)</f>
        <v>0</v>
      </c>
      <c r="BA275" s="2">
        <f>SUMIFS(base[L/P Líquido],base[Data],Extrato!$B275,base[Método],Extrato!BA$3,base[Exchange],"Betbra")</f>
        <v>0</v>
      </c>
      <c r="BB275" s="2">
        <f>SUMIFS(base[L/P Líquido],base[Data],Extrato!$B275,base[Método],Extrato!BB$3,base[Exchange],"Betbra")</f>
        <v>0</v>
      </c>
      <c r="BC275" s="2">
        <f>SUMIFS(base[L/P Líquido],base[Data],Extrato!$B275,base[Método],Extrato!BC$3,base[Exchange],"Betbra")</f>
        <v>0</v>
      </c>
      <c r="BD275" s="2">
        <f>SUMIFS(base[L/P Líquido],base[Data],Extrato!$B275,base[Método],Extrato!BD$3,base[Exchange],"Betbra")</f>
        <v>0</v>
      </c>
      <c r="BE275" s="2">
        <f>SUMIFS(base[L/P Líquido],base[Data],Extrato!$B275,base[Método],Extrato!BE$3,base[Exchange],"Betbra")</f>
        <v>0</v>
      </c>
      <c r="BF275" s="2">
        <f>SUMIFS(base[L/P Líquido],base[Data],Extrato!$B275,base[Método],Extrato!BF$3,base[Exchange],"Betbra")</f>
        <v>0</v>
      </c>
      <c r="BG275" s="2">
        <f>SUMIFS(base[L/P Líquido],base[Data],Extrato!$B275,base[Método],Extrato!BG$3,base[Exchange],"Betbra")</f>
        <v>0</v>
      </c>
      <c r="BH275" s="2">
        <f>SUMIFS(base[L/P Líquido],base[Data],Extrato!$B275,base[Método],Extrato!BH$3,base[Exchange],"Betbra")</f>
        <v>0</v>
      </c>
      <c r="BI275" s="2">
        <v>0</v>
      </c>
      <c r="BJ275" s="2">
        <v>0</v>
      </c>
      <c r="BK275" s="435">
        <f t="shared" ref="BK275" si="260">SUM(AR275:BJ275)</f>
        <v>-24.338430490751261</v>
      </c>
      <c r="BM275" s="2">
        <f t="shared" ref="BM275" si="261">BX274</f>
        <v>743.96</v>
      </c>
      <c r="BN275" s="2">
        <f>SUMIFS(base[L/P Líquido],base[Data],Extrato!$B275,base[Método],Extrato!BN$3,base[Exchange],"Bolsa")</f>
        <v>0</v>
      </c>
      <c r="BO275" s="2">
        <f>SUMIFS(base[L/P Líquido],base[Data],Extrato!$B275,base[Método],Extrato!BO$3,base[Exchange],"Bolsa")</f>
        <v>0</v>
      </c>
      <c r="BP275" s="2">
        <f>SUMIFS(base[L/P Líquido],base[Data],Extrato!$B275,base[Método],Extrato!BP$3,base[Exchange],"Bolsa")</f>
        <v>0</v>
      </c>
      <c r="BQ275" s="2">
        <f>SUMIFS(base[L/P Líquido],base[Data],Extrato!$B275,base[Método],Extrato!BQ$3,base[Exchange],"Bolsa")</f>
        <v>0</v>
      </c>
      <c r="BR275" s="2">
        <f>SUMIFS(base[L/P Líquido],base[Data],Extrato!$B275,base[Método],Extrato!BR$3,base[Exchange],"Bolsa")</f>
        <v>0</v>
      </c>
      <c r="BS275" s="2">
        <f>SUMIFS(base[L/P Líquido],base[Data],Extrato!$B275,base[Método],Extrato!BS$3,base[Exchange],"Bolsa")</f>
        <v>0</v>
      </c>
      <c r="BT275" s="2">
        <f>SUMIFS(base[L/P Líquido],base[Data],Extrato!$B275,base[Método],Extrato!BT$3,base[Exchange],"Bolsa")</f>
        <v>0</v>
      </c>
      <c r="BU275" s="2">
        <f>SUMIFS(base[L/P Líquido],base[Data],Extrato!$B275,base[Método],Extrato!BU$3,base[Exchange],"Bolsa")</f>
        <v>0</v>
      </c>
      <c r="BV275" s="2">
        <v>-743.95</v>
      </c>
      <c r="BW275" s="2">
        <v>-0.01</v>
      </c>
      <c r="BX275" s="435">
        <f t="shared" ref="BX275" si="262">SUM(BM275:BW275)</f>
        <v>-9.0951551845463996E-15</v>
      </c>
    </row>
    <row r="276" spans="2:76" ht="15" customHeight="1">
      <c r="B276" s="33">
        <v>46266</v>
      </c>
      <c r="C276" s="2">
        <f t="shared" ref="C276" si="263">AP275</f>
        <v>3911.8426499999923</v>
      </c>
      <c r="D276" s="2">
        <f>SUMIFS(base[L/P Líquido],base[Data],Extrato!$B276,base[Método],Extrato!D$3,base[Exchange],"Fulltbet")</f>
        <v>0</v>
      </c>
      <c r="E276" s="2">
        <f>SUMIFS(base[L/P Líquido],base[Data],Extrato!$B276,base[Método],Extrato!E$3,base[Exchange],"Fulltbet")</f>
        <v>0</v>
      </c>
      <c r="F276" s="2">
        <f>SUMIFS(base[L/P Líquido],base[Data],Extrato!$B276,base[Método],Extrato!F$3)</f>
        <v>-22.48</v>
      </c>
      <c r="G276" s="2">
        <f>SUMIFS(base[L/P Líquido],base[Data],Extrato!$B276,base[Método],Extrato!G$3,base[Exchange],"Fulltbet")</f>
        <v>0</v>
      </c>
      <c r="H276" s="2">
        <f>SUMIFS(base[L/P Líquido],base[Data],Extrato!$B276,base[Método],Extrato!H$3)</f>
        <v>76.81</v>
      </c>
      <c r="I276" s="2">
        <f>SUMIF(BetFlow!B:B,B276,BetFlow!J:J)</f>
        <v>0</v>
      </c>
      <c r="J276" s="2">
        <f>SUMIFS(base[L/P Líquido],base[Data],Extrato!$B276,base[Método],Extrato!J$3,base[Exchange],"Fulltbet")</f>
        <v>0</v>
      </c>
      <c r="K276" s="2">
        <f>SUMIFS(base[L/P Líquido],base[Data],Extrato!$B276,base[Método],Extrato!K$3,base[Exchange],"Fulltbet")</f>
        <v>0</v>
      </c>
      <c r="L276" s="2">
        <f>SUMIFS(base[L/P Líquido],base[Data],Extrato!$B276,base[Método],Extrato!L$3,base[Exchange],"Fulltbet")</f>
        <v>0</v>
      </c>
      <c r="M276" s="2">
        <f>SUMIFS(base[L/P Líquido],base[Data],Extrato!$B276,base[Método],Extrato!M$3,base[Exchange],"Fulltbet")</f>
        <v>0</v>
      </c>
      <c r="N276" s="2">
        <f>SUMIFS(base[L/P Líquido],base[Data],Extrato!$B276,base[Método],Extrato!N$3,base[Exchange],"Fulltbet")</f>
        <v>0</v>
      </c>
      <c r="O276" s="2">
        <f>SUMIFS(base[L/P Líquido],base[Data],Extrato!$B276,base[Método],Extrato!O$3,base[Exchange],"Fulltbet")</f>
        <v>0</v>
      </c>
      <c r="P276" s="2">
        <f>SUMIFS(base[L/P Líquido],base[Data],Extrato!$B276,base[Método],Extrato!P$3)</f>
        <v>0</v>
      </c>
      <c r="Q276" s="2">
        <f>SUMIFS(base[L/P Líquido],base[Data],Extrato!$B276,base[Método],Extrato!Q$3,base[Exchange],"Fulltbet")</f>
        <v>0</v>
      </c>
      <c r="R276" s="2">
        <f>SUMIFS(base[L/P Líquido],base[Data],Extrato!$B276,base[Método],Extrato!R$3,base[Exchange],"Fulltbet")</f>
        <v>0</v>
      </c>
      <c r="S276" s="2">
        <f>SUMIFS(base[L/P Líquido],base[Data],Extrato!$B276,base[Método],Extrato!S$3,base[Exchange],"Fulltbet")</f>
        <v>0</v>
      </c>
      <c r="T276" s="2">
        <f>SUMIFS(base[L/P Líquido],base[Data],Extrato!$B276,base[Método],Extrato!T$3,base[Exchange],"Fulltbet")</f>
        <v>0</v>
      </c>
      <c r="U276" s="2">
        <f>SUMIFS(base[L/P Líquido],base[Data],Extrato!$B276,base[Método],Extrato!U$3,base[Exchange],"Fulltbet")</f>
        <v>0</v>
      </c>
      <c r="V276" s="2">
        <f>SUMIFS(base[L/P Líquido],base[Data],Extrato!$B276,base[Método],Extrato!V$3,base[Exchange],"Fulltbet")</f>
        <v>0</v>
      </c>
      <c r="W276" s="2">
        <f>SUMIFS(base[L/P Líquido],base[Data],Extrato!$B276,base[Método],Extrato!W$3,base[Exchange],"Fulltbet")</f>
        <v>0</v>
      </c>
      <c r="X276" s="2">
        <f>SUMIFS(base[L/P Líquido],base[Data],Extrato!$B276,base[Método],Extrato!X$3,base[Exchange],"Fulltbet")</f>
        <v>0</v>
      </c>
      <c r="Y276" s="2">
        <f>SUMIFS(base[L/P Líquido],base[Data],Extrato!$B276,base[Método],Extrato!Y$3,base[Exchange],"Fulltbet")</f>
        <v>0</v>
      </c>
      <c r="Z276" s="2">
        <f>SUMIFS(base[L/P Líquido],base[Data],Extrato!$B276,base[Método],Extrato!Z$3,base[Exchange],"Fulltbet")</f>
        <v>0</v>
      </c>
      <c r="AA276" s="2">
        <f>SUMIFS(base[L/P Líquido],base[Data],Extrato!$B276,base[Método],Extrato!AA$3,base[Exchange],"Fulltbet")</f>
        <v>0</v>
      </c>
      <c r="AB276" s="2">
        <f>SUMIFS(base[L/P Líquido],base[Data],Extrato!$B276,base[Método],Extrato!AB$3)</f>
        <v>0</v>
      </c>
      <c r="AC276" s="2">
        <f>SUMIFS(base[L/P Líquido],base[Data],Extrato!$B276,base[Método],Extrato!AC$3)</f>
        <v>0</v>
      </c>
      <c r="AD276" s="2">
        <f>SUMIFS(base[L/P Líquido],base[Data],Extrato!$B276,base[Método],Extrato!AD$3)</f>
        <v>0</v>
      </c>
      <c r="AE276" s="2">
        <f>SUMIFS(base[L/P Líquido],base[Data],Extrato!$B276,base[Método],Extrato!AE$3)</f>
        <v>0</v>
      </c>
      <c r="AF276" s="2">
        <f>SUMIFS(base[L/P Líquido],base[Data],Extrato!$B276,base[Método],Extrato!AF$3)</f>
        <v>0</v>
      </c>
      <c r="AG276" s="2">
        <f>SUMIFS(base[L/P Líquido],base[Data],Extrato!$B276,base[Método],Extrato!AG$3)</f>
        <v>0</v>
      </c>
      <c r="AH276" s="2">
        <f>SUMIFS(base[L/P Líquido],base[Data],Extrato!$B276,base[Método],Extrato!AH$3)</f>
        <v>0</v>
      </c>
      <c r="AI276" s="2">
        <f>SUMIFS(base[L/P Líquido],base[Data],Extrato!$B276,base[Método],Extrato!AI$3)</f>
        <v>0</v>
      </c>
      <c r="AJ276" s="2">
        <f>SUMIFS(base[L/P Líquido],base[Data],Extrato!$B276,base[Método],Extrato!AJ$3)</f>
        <v>0</v>
      </c>
      <c r="AK276" s="2">
        <f>SUMIFS(base[L/P Líquido],base[Data],Extrato!$B276,base[Método],Extrato!AK$3)</f>
        <v>0</v>
      </c>
      <c r="AL276" s="2">
        <f>SUMIFS(base[L/P Líquido],base[Data],Extrato!$B276,base[Método],Extrato!AL$3)</f>
        <v>0</v>
      </c>
      <c r="AM276" s="2">
        <f>SUMIFS(base[L/P Líquido],base[Data],Extrato!$B276,base[Método],Extrato!AM$3)</f>
        <v>0</v>
      </c>
      <c r="AN276" s="2">
        <v>743.95</v>
      </c>
      <c r="AO276" s="2">
        <v>0</v>
      </c>
      <c r="AP276" s="435">
        <f>SUM(C276:AO276)</f>
        <v>4710.1226499999921</v>
      </c>
      <c r="AR276" s="2">
        <f t="shared" ref="AR276" si="264">BK275</f>
        <v>-24.338430490751261</v>
      </c>
      <c r="AS276" s="2">
        <f>SUMIFS(base[L/P Líquido],base[Data],Extrato!$B276,base[Método],Extrato!AS$3,base[Exchange],"Betbra")</f>
        <v>0</v>
      </c>
      <c r="AT276" s="2">
        <f>SUMIFS(base[L/P Líquido],base[Data],Extrato!$B276,base[Método],Extrato!AT$3,base[Exchange],"Betbra")</f>
        <v>0</v>
      </c>
      <c r="AU276" s="2">
        <f>SUMIFS(base[L/P Líquido],base[Data],Extrato!$B276,base[Método],Extrato!AU$3,base[Exchange],"Betbra")</f>
        <v>0</v>
      </c>
      <c r="AV276" s="2">
        <f>SUMIFS(base[L/P Líquido],base[Data],Extrato!$B276,base[Método],Extrato!AV$3,base[Exchange],"Betbra")</f>
        <v>0</v>
      </c>
      <c r="AW276" s="2">
        <f>SUMIFS(base[L/P Líquido],base[Data],Extrato!$B276,base[Método],Extrato!AW$3,base[Exchange],"Betbra")</f>
        <v>0</v>
      </c>
      <c r="AX276" s="2">
        <f>SUMIFS(base[L/P Líquido],base[Data],Extrato!$B276,base[Método],Extrato!AX$3,base[Exchange],"Betbra")</f>
        <v>0</v>
      </c>
      <c r="AY276" s="2">
        <f>SUMIFS(base[L/P Líquido],base[Data],Extrato!$B276,base[Método],Extrato!AY$3,base[Exchange],"Betbra")</f>
        <v>0</v>
      </c>
      <c r="AZ276" s="2">
        <f>SUMIF(BetFlow!B:B,Extrato!B276,BetFlow!M:M)</f>
        <v>0</v>
      </c>
      <c r="BA276" s="2">
        <f>SUMIFS(base[L/P Líquido],base[Data],Extrato!$B276,base[Método],Extrato!BA$3,base[Exchange],"Betbra")</f>
        <v>0</v>
      </c>
      <c r="BB276" s="2">
        <f>SUMIFS(base[L/P Líquido],base[Data],Extrato!$B276,base[Método],Extrato!BB$3,base[Exchange],"Betbra")</f>
        <v>0</v>
      </c>
      <c r="BC276" s="2">
        <f>SUMIFS(base[L/P Líquido],base[Data],Extrato!$B276,base[Método],Extrato!BC$3,base[Exchange],"Betbra")</f>
        <v>0</v>
      </c>
      <c r="BD276" s="2">
        <f>SUMIFS(base[L/P Líquido],base[Data],Extrato!$B276,base[Método],Extrato!BD$3,base[Exchange],"Betbra")</f>
        <v>0</v>
      </c>
      <c r="BE276" s="2">
        <f>SUMIFS(base[L/P Líquido],base[Data],Extrato!$B276,base[Método],Extrato!BE$3,base[Exchange],"Betbra")</f>
        <v>0</v>
      </c>
      <c r="BF276" s="2">
        <f>SUMIFS(base[L/P Líquido],base[Data],Extrato!$B276,base[Método],Extrato!BF$3,base[Exchange],"Betbra")</f>
        <v>0</v>
      </c>
      <c r="BG276" s="2">
        <f>SUMIFS(base[L/P Líquido],base[Data],Extrato!$B276,base[Método],Extrato!BG$3,base[Exchange],"Betbra")</f>
        <v>0</v>
      </c>
      <c r="BH276" s="2">
        <f>SUMIFS(base[L/P Líquido],base[Data],Extrato!$B276,base[Método],Extrato!BH$3,base[Exchange],"Betbra")</f>
        <v>0</v>
      </c>
      <c r="BI276" s="2">
        <v>0</v>
      </c>
      <c r="BJ276" s="2">
        <v>0</v>
      </c>
      <c r="BK276" s="435">
        <f t="shared" ref="BK276" si="265">SUM(AR276:BJ276)</f>
        <v>-24.338430490751261</v>
      </c>
      <c r="BM276" s="2">
        <f t="shared" ref="BM276" si="266">BX275</f>
        <v>-9.0951551845463996E-15</v>
      </c>
      <c r="BN276" s="2">
        <f>SUMIFS(base[L/P Líquido],base[Data],Extrato!$B276,base[Método],Extrato!BN$3,base[Exchange],"Bolsa")</f>
        <v>0</v>
      </c>
      <c r="BO276" s="2">
        <f>SUMIFS(base[L/P Líquido],base[Data],Extrato!$B276,base[Método],Extrato!BO$3,base[Exchange],"Bolsa")</f>
        <v>0</v>
      </c>
      <c r="BP276" s="2">
        <f>SUMIFS(base[L/P Líquido],base[Data],Extrato!$B276,base[Método],Extrato!BP$3,base[Exchange],"Bolsa")</f>
        <v>0</v>
      </c>
      <c r="BQ276" s="2">
        <f>SUMIFS(base[L/P Líquido],base[Data],Extrato!$B276,base[Método],Extrato!BQ$3,base[Exchange],"Bolsa")</f>
        <v>0</v>
      </c>
      <c r="BR276" s="2">
        <f>SUMIFS(base[L/P Líquido],base[Data],Extrato!$B276,base[Método],Extrato!BR$3,base[Exchange],"Bolsa")</f>
        <v>0</v>
      </c>
      <c r="BS276" s="2">
        <f>SUMIFS(base[L/P Líquido],base[Data],Extrato!$B276,base[Método],Extrato!BS$3,base[Exchange],"Bolsa")</f>
        <v>0</v>
      </c>
      <c r="BT276" s="2">
        <f>SUMIFS(base[L/P Líquido],base[Data],Extrato!$B276,base[Método],Extrato!BT$3,base[Exchange],"Bolsa")</f>
        <v>0</v>
      </c>
      <c r="BU276" s="2">
        <f>SUMIFS(base[L/P Líquido],base[Data],Extrato!$B276,base[Método],Extrato!BU$3,base[Exchange],"Bolsa")</f>
        <v>0</v>
      </c>
      <c r="BV276" s="2">
        <v>0</v>
      </c>
      <c r="BW276" s="2">
        <v>0</v>
      </c>
      <c r="BX276" s="435">
        <f t="shared" ref="BX276" si="267">SUM(BM276:BW276)</f>
        <v>-9.0951551845463996E-15</v>
      </c>
    </row>
    <row r="277" spans="2:76" ht="15" customHeight="1">
      <c r="B277" s="33">
        <v>46267</v>
      </c>
      <c r="C277" s="2">
        <f t="shared" ref="C277" si="268">AP276</f>
        <v>4710.1226499999921</v>
      </c>
      <c r="D277" s="2">
        <f>SUMIFS(base[L/P Líquido],base[Data],Extrato!$B277,base[Método],Extrato!D$3,base[Exchange],"Fulltbet")</f>
        <v>0</v>
      </c>
      <c r="E277" s="2">
        <f>SUMIFS(base[L/P Líquido],base[Data],Extrato!$B277,base[Método],Extrato!E$3,base[Exchange],"Fulltbet")</f>
        <v>63.62</v>
      </c>
      <c r="F277" s="2">
        <f>SUMIFS(base[L/P Líquido],base[Data],Extrato!$B277,base[Método],Extrato!F$3)</f>
        <v>42.46</v>
      </c>
      <c r="G277" s="2">
        <f>SUMIFS(base[L/P Líquido],base[Data],Extrato!$B277,base[Método],Extrato!G$3,base[Exchange],"Fulltbet")</f>
        <v>45.099999999999994</v>
      </c>
      <c r="H277" s="2">
        <f>SUMIFS(base[L/P Líquido],base[Data],Extrato!$B277,base[Método],Extrato!H$3)</f>
        <v>0</v>
      </c>
      <c r="I277" s="2">
        <f>SUMIF(BetFlow!B:B,B277,BetFlow!J:J)</f>
        <v>0</v>
      </c>
      <c r="J277" s="2">
        <f>SUMIFS(base[L/P Líquido],base[Data],Extrato!$B277,base[Método],Extrato!J$3,base[Exchange],"Fulltbet")</f>
        <v>0</v>
      </c>
      <c r="K277" s="2">
        <f>SUMIFS(base[L/P Líquido],base[Data],Extrato!$B277,base[Método],Extrato!K$3,base[Exchange],"Fulltbet")</f>
        <v>0</v>
      </c>
      <c r="L277" s="2">
        <f>SUMIFS(base[L/P Líquido],base[Data],Extrato!$B277,base[Método],Extrato!L$3,base[Exchange],"Fulltbet")</f>
        <v>0</v>
      </c>
      <c r="M277" s="2">
        <f>SUMIFS(base[L/P Líquido],base[Data],Extrato!$B277,base[Método],Extrato!M$3,base[Exchange],"Fulltbet")</f>
        <v>0</v>
      </c>
      <c r="N277" s="2">
        <f>SUMIFS(base[L/P Líquido],base[Data],Extrato!$B277,base[Método],Extrato!N$3,base[Exchange],"Fulltbet")</f>
        <v>0</v>
      </c>
      <c r="O277" s="2">
        <f>SUMIFS(base[L/P Líquido],base[Data],Extrato!$B277,base[Método],Extrato!O$3,base[Exchange],"Fulltbet")</f>
        <v>0</v>
      </c>
      <c r="P277" s="2">
        <f>SUMIFS(base[L/P Líquido],base[Data],Extrato!$B277,base[Método],Extrato!P$3)</f>
        <v>0</v>
      </c>
      <c r="Q277" s="2">
        <f>SUMIFS(base[L/P Líquido],base[Data],Extrato!$B277,base[Método],Extrato!Q$3,base[Exchange],"Fulltbet")</f>
        <v>0</v>
      </c>
      <c r="R277" s="2">
        <f>SUMIFS(base[L/P Líquido],base[Data],Extrato!$B277,base[Método],Extrato!R$3,base[Exchange],"Fulltbet")</f>
        <v>0</v>
      </c>
      <c r="S277" s="2">
        <f>SUMIFS(base[L/P Líquido],base[Data],Extrato!$B277,base[Método],Extrato!S$3,base[Exchange],"Fulltbet")</f>
        <v>0</v>
      </c>
      <c r="T277" s="2">
        <f>SUMIFS(base[L/P Líquido],base[Data],Extrato!$B277,base[Método],Extrato!T$3,base[Exchange],"Fulltbet")</f>
        <v>0</v>
      </c>
      <c r="U277" s="2">
        <f>SUMIFS(base[L/P Líquido],base[Data],Extrato!$B277,base[Método],Extrato!U$3,base[Exchange],"Fulltbet")</f>
        <v>0</v>
      </c>
      <c r="V277" s="2">
        <f>SUMIFS(base[L/P Líquido],base[Data],Extrato!$B277,base[Método],Extrato!V$3,base[Exchange],"Fulltbet")</f>
        <v>0</v>
      </c>
      <c r="W277" s="2">
        <f>SUMIFS(base[L/P Líquido],base[Data],Extrato!$B277,base[Método],Extrato!W$3,base[Exchange],"Fulltbet")</f>
        <v>0</v>
      </c>
      <c r="X277" s="2">
        <f>SUMIFS(base[L/P Líquido],base[Data],Extrato!$B277,base[Método],Extrato!X$3,base[Exchange],"Fulltbet")</f>
        <v>0</v>
      </c>
      <c r="Y277" s="2">
        <f>SUMIFS(base[L/P Líquido],base[Data],Extrato!$B277,base[Método],Extrato!Y$3,base[Exchange],"Fulltbet")</f>
        <v>0</v>
      </c>
      <c r="Z277" s="2">
        <f>SUMIFS(base[L/P Líquido],base[Data],Extrato!$B277,base[Método],Extrato!Z$3,base[Exchange],"Fulltbet")</f>
        <v>0</v>
      </c>
      <c r="AA277" s="2">
        <f>SUMIFS(base[L/P Líquido],base[Data],Extrato!$B277,base[Método],Extrato!AA$3,base[Exchange],"Fulltbet")</f>
        <v>0</v>
      </c>
      <c r="AB277" s="2">
        <f>SUMIFS(base[L/P Líquido],base[Data],Extrato!$B277,base[Método],Extrato!AB$3)</f>
        <v>0</v>
      </c>
      <c r="AC277" s="2">
        <f>SUMIFS(base[L/P Líquido],base[Data],Extrato!$B277,base[Método],Extrato!AC$3)</f>
        <v>0</v>
      </c>
      <c r="AD277" s="2">
        <f>SUMIFS(base[L/P Líquido],base[Data],Extrato!$B277,base[Método],Extrato!AD$3)</f>
        <v>0</v>
      </c>
      <c r="AE277" s="2">
        <f>SUMIFS(base[L/P Líquido],base[Data],Extrato!$B277,base[Método],Extrato!AE$3)</f>
        <v>0</v>
      </c>
      <c r="AF277" s="2">
        <f>SUMIFS(base[L/P Líquido],base[Data],Extrato!$B277,base[Método],Extrato!AF$3)</f>
        <v>0</v>
      </c>
      <c r="AG277" s="2">
        <f>SUMIFS(base[L/P Líquido],base[Data],Extrato!$B277,base[Método],Extrato!AG$3)</f>
        <v>0</v>
      </c>
      <c r="AH277" s="2">
        <f>SUMIFS(base[L/P Líquido],base[Data],Extrato!$B277,base[Método],Extrato!AH$3)</f>
        <v>0</v>
      </c>
      <c r="AI277" s="2">
        <f>SUMIFS(base[L/P Líquido],base[Data],Extrato!$B277,base[Método],Extrato!AI$3)</f>
        <v>0</v>
      </c>
      <c r="AJ277" s="2">
        <f>SUMIFS(base[L/P Líquido],base[Data],Extrato!$B277,base[Método],Extrato!AJ$3)</f>
        <v>0</v>
      </c>
      <c r="AK277" s="2">
        <f>SUMIFS(base[L/P Líquido],base[Data],Extrato!$B277,base[Método],Extrato!AK$3)</f>
        <v>0</v>
      </c>
      <c r="AL277" s="2">
        <f>SUMIFS(base[L/P Líquido],base[Data],Extrato!$B277,base[Método],Extrato!AL$3)</f>
        <v>0</v>
      </c>
      <c r="AM277" s="2">
        <f>SUMIFS(base[L/P Líquido],base[Data],Extrato!$B277,base[Método],Extrato!AM$3)</f>
        <v>0</v>
      </c>
      <c r="AN277" s="2">
        <v>0</v>
      </c>
      <c r="AO277" s="2">
        <v>0</v>
      </c>
      <c r="AP277" s="435">
        <f>SUM(C277:AO277)</f>
        <v>4861.3026499999924</v>
      </c>
      <c r="AR277" s="2">
        <f t="shared" ref="AR277" si="269">BK276</f>
        <v>-24.338430490751261</v>
      </c>
      <c r="AS277" s="2">
        <f>SUMIFS(base[L/P Líquido],base[Data],Extrato!$B277,base[Método],Extrato!AS$3,base[Exchange],"Betbra")</f>
        <v>0</v>
      </c>
      <c r="AT277" s="2">
        <f>SUMIFS(base[L/P Líquido],base[Data],Extrato!$B277,base[Método],Extrato!AT$3,base[Exchange],"Betbra")</f>
        <v>0</v>
      </c>
      <c r="AU277" s="2">
        <f>SUMIFS(base[L/P Líquido],base[Data],Extrato!$B277,base[Método],Extrato!AU$3,base[Exchange],"Betbra")</f>
        <v>0</v>
      </c>
      <c r="AV277" s="2">
        <f>SUMIFS(base[L/P Líquido],base[Data],Extrato!$B277,base[Método],Extrato!AV$3,base[Exchange],"Betbra")</f>
        <v>0</v>
      </c>
      <c r="AW277" s="2">
        <f>SUMIFS(base[L/P Líquido],base[Data],Extrato!$B277,base[Método],Extrato!AW$3,base[Exchange],"Betbra")</f>
        <v>0</v>
      </c>
      <c r="AX277" s="2">
        <f>SUMIFS(base[L/P Líquido],base[Data],Extrato!$B277,base[Método],Extrato!AX$3,base[Exchange],"Betbra")</f>
        <v>0</v>
      </c>
      <c r="AY277" s="2">
        <f>SUMIFS(base[L/P Líquido],base[Data],Extrato!$B277,base[Método],Extrato!AY$3,base[Exchange],"Betbra")</f>
        <v>0</v>
      </c>
      <c r="AZ277" s="2">
        <f>SUMIF(BetFlow!B:B,Extrato!B277,BetFlow!M:M)</f>
        <v>0</v>
      </c>
      <c r="BA277" s="2">
        <f>SUMIFS(base[L/P Líquido],base[Data],Extrato!$B277,base[Método],Extrato!BA$3,base[Exchange],"Betbra")</f>
        <v>0</v>
      </c>
      <c r="BB277" s="2">
        <f>SUMIFS(base[L/P Líquido],base[Data],Extrato!$B277,base[Método],Extrato!BB$3,base[Exchange],"Betbra")</f>
        <v>0</v>
      </c>
      <c r="BC277" s="2">
        <f>SUMIFS(base[L/P Líquido],base[Data],Extrato!$B277,base[Método],Extrato!BC$3,base[Exchange],"Betbra")</f>
        <v>0</v>
      </c>
      <c r="BD277" s="2">
        <f>SUMIFS(base[L/P Líquido],base[Data],Extrato!$B277,base[Método],Extrato!BD$3,base[Exchange],"Betbra")</f>
        <v>0</v>
      </c>
      <c r="BE277" s="2">
        <f>SUMIFS(base[L/P Líquido],base[Data],Extrato!$B277,base[Método],Extrato!BE$3,base[Exchange],"Betbra")</f>
        <v>0</v>
      </c>
      <c r="BF277" s="2">
        <f>SUMIFS(base[L/P Líquido],base[Data],Extrato!$B277,base[Método],Extrato!BF$3,base[Exchange],"Betbra")</f>
        <v>0</v>
      </c>
      <c r="BG277" s="2">
        <f>SUMIFS(base[L/P Líquido],base[Data],Extrato!$B277,base[Método],Extrato!BG$3,base[Exchange],"Betbra")</f>
        <v>0</v>
      </c>
      <c r="BH277" s="2">
        <f>SUMIFS(base[L/P Líquido],base[Data],Extrato!$B277,base[Método],Extrato!BH$3,base[Exchange],"Betbra")</f>
        <v>0</v>
      </c>
      <c r="BI277" s="2">
        <v>0</v>
      </c>
      <c r="BJ277" s="2">
        <v>0</v>
      </c>
      <c r="BK277" s="435">
        <f t="shared" ref="BK277" si="270">SUM(AR277:BJ277)</f>
        <v>-24.338430490751261</v>
      </c>
      <c r="BM277" s="2">
        <f t="shared" ref="BM277" si="271">BX276</f>
        <v>-9.0951551845463996E-15</v>
      </c>
      <c r="BN277" s="2">
        <f>SUMIFS(base[L/P Líquido],base[Data],Extrato!$B277,base[Método],Extrato!BN$3,base[Exchange],"Bolsa")</f>
        <v>0</v>
      </c>
      <c r="BO277" s="2">
        <f>SUMIFS(base[L/P Líquido],base[Data],Extrato!$B277,base[Método],Extrato!BO$3,base[Exchange],"Bolsa")</f>
        <v>0</v>
      </c>
      <c r="BP277" s="2">
        <f>SUMIFS(base[L/P Líquido],base[Data],Extrato!$B277,base[Método],Extrato!BP$3,base[Exchange],"Bolsa")</f>
        <v>0</v>
      </c>
      <c r="BQ277" s="2">
        <f>SUMIFS(base[L/P Líquido],base[Data],Extrato!$B277,base[Método],Extrato!BQ$3,base[Exchange],"Bolsa")</f>
        <v>0</v>
      </c>
      <c r="BR277" s="2">
        <f>SUMIFS(base[L/P Líquido],base[Data],Extrato!$B277,base[Método],Extrato!BR$3,base[Exchange],"Bolsa")</f>
        <v>0</v>
      </c>
      <c r="BS277" s="2">
        <f>SUMIFS(base[L/P Líquido],base[Data],Extrato!$B277,base[Método],Extrato!BS$3,base[Exchange],"Bolsa")</f>
        <v>0</v>
      </c>
      <c r="BT277" s="2">
        <f>SUMIFS(base[L/P Líquido],base[Data],Extrato!$B277,base[Método],Extrato!BT$3,base[Exchange],"Bolsa")</f>
        <v>0</v>
      </c>
      <c r="BU277" s="2">
        <f>SUMIFS(base[L/P Líquido],base[Data],Extrato!$B277,base[Método],Extrato!BU$3,base[Exchange],"Bolsa")</f>
        <v>0</v>
      </c>
      <c r="BV277" s="2">
        <v>0</v>
      </c>
      <c r="BW277" s="2">
        <v>0</v>
      </c>
      <c r="BX277" s="435">
        <f t="shared" ref="BX277" si="272">SUM(BM277:BW277)</f>
        <v>-9.0951551845463996E-15</v>
      </c>
    </row>
    <row r="278" spans="2:76" ht="15" customHeight="1">
      <c r="B278" s="33">
        <v>46268</v>
      </c>
      <c r="C278" s="2">
        <f t="shared" ref="C278" si="273">AP277</f>
        <v>4861.3026499999924</v>
      </c>
      <c r="D278" s="2">
        <f>SUMIFS(base[L/P Líquido],base[Data],Extrato!$B278,base[Método],Extrato!D$3,base[Exchange],"Fulltbet")</f>
        <v>0</v>
      </c>
      <c r="E278" s="2">
        <f>SUMIFS(base[L/P Líquido],base[Data],Extrato!$B278,base[Método],Extrato!E$3,base[Exchange],"Fulltbet")</f>
        <v>0</v>
      </c>
      <c r="F278" s="2">
        <f>SUMIFS(base[L/P Líquido],base[Data],Extrato!$B278,base[Método],Extrato!F$3)</f>
        <v>10.61</v>
      </c>
      <c r="G278" s="2">
        <f>SUMIFS(base[L/P Líquido],base[Data],Extrato!$B278,base[Método],Extrato!G$3,base[Exchange],"Fulltbet")</f>
        <v>89.33</v>
      </c>
      <c r="H278" s="2">
        <f>SUMIFS(base[L/P Líquido],base[Data],Extrato!$B278,base[Método],Extrato!H$3)</f>
        <v>75.64</v>
      </c>
      <c r="I278" s="2">
        <f>SUMIF(BetFlow!B:B,B278,BetFlow!J:J)</f>
        <v>0</v>
      </c>
      <c r="J278" s="2">
        <f>SUMIFS(base[L/P Líquido],base[Data],Extrato!$B278,base[Método],Extrato!J$3,base[Exchange],"Fulltbet")</f>
        <v>0</v>
      </c>
      <c r="K278" s="2">
        <f>SUMIFS(base[L/P Líquido],base[Data],Extrato!$B278,base[Método],Extrato!K$3,base[Exchange],"Fulltbet")</f>
        <v>0</v>
      </c>
      <c r="L278" s="2">
        <f>SUMIFS(base[L/P Líquido],base[Data],Extrato!$B278,base[Método],Extrato!L$3,base[Exchange],"Fulltbet")</f>
        <v>0</v>
      </c>
      <c r="M278" s="2">
        <f>SUMIFS(base[L/P Líquido],base[Data],Extrato!$B278,base[Método],Extrato!M$3,base[Exchange],"Fulltbet")</f>
        <v>0</v>
      </c>
      <c r="N278" s="2">
        <f>SUMIFS(base[L/P Líquido],base[Data],Extrato!$B278,base[Método],Extrato!N$3,base[Exchange],"Fulltbet")</f>
        <v>0</v>
      </c>
      <c r="O278" s="2">
        <f>SUMIFS(base[L/P Líquido],base[Data],Extrato!$B278,base[Método],Extrato!O$3,base[Exchange],"Fulltbet")</f>
        <v>0</v>
      </c>
      <c r="P278" s="2">
        <f>SUMIFS(base[L/P Líquido],base[Data],Extrato!$B278,base[Método],Extrato!P$3)</f>
        <v>0</v>
      </c>
      <c r="Q278" s="2">
        <f>SUMIFS(base[L/P Líquido],base[Data],Extrato!$B278,base[Método],Extrato!Q$3,base[Exchange],"Fulltbet")</f>
        <v>0</v>
      </c>
      <c r="R278" s="2">
        <f>SUMIFS(base[L/P Líquido],base[Data],Extrato!$B278,base[Método],Extrato!R$3,base[Exchange],"Fulltbet")</f>
        <v>0</v>
      </c>
      <c r="S278" s="2">
        <f>SUMIFS(base[L/P Líquido],base[Data],Extrato!$B278,base[Método],Extrato!S$3,base[Exchange],"Fulltbet")</f>
        <v>0</v>
      </c>
      <c r="T278" s="2">
        <f>SUMIFS(base[L/P Líquido],base[Data],Extrato!$B278,base[Método],Extrato!T$3,base[Exchange],"Fulltbet")</f>
        <v>0</v>
      </c>
      <c r="U278" s="2">
        <f>SUMIFS(base[L/P Líquido],base[Data],Extrato!$B278,base[Método],Extrato!U$3,base[Exchange],"Fulltbet")</f>
        <v>0</v>
      </c>
      <c r="V278" s="2">
        <f>SUMIFS(base[L/P Líquido],base[Data],Extrato!$B278,base[Método],Extrato!V$3,base[Exchange],"Fulltbet")</f>
        <v>0</v>
      </c>
      <c r="W278" s="2">
        <f>SUMIFS(base[L/P Líquido],base[Data],Extrato!$B278,base[Método],Extrato!W$3,base[Exchange],"Fulltbet")</f>
        <v>0</v>
      </c>
      <c r="X278" s="2">
        <f>SUMIFS(base[L/P Líquido],base[Data],Extrato!$B278,base[Método],Extrato!X$3,base[Exchange],"Fulltbet")</f>
        <v>0</v>
      </c>
      <c r="Y278" s="2">
        <f>SUMIFS(base[L/P Líquido],base[Data],Extrato!$B278,base[Método],Extrato!Y$3,base[Exchange],"Fulltbet")</f>
        <v>0</v>
      </c>
      <c r="Z278" s="2">
        <f>SUMIFS(base[L/P Líquido],base[Data],Extrato!$B278,base[Método],Extrato!Z$3,base[Exchange],"Fulltbet")</f>
        <v>0</v>
      </c>
      <c r="AA278" s="2">
        <f>SUMIFS(base[L/P Líquido],base[Data],Extrato!$B278,base[Método],Extrato!AA$3,base[Exchange],"Fulltbet")</f>
        <v>0</v>
      </c>
      <c r="AB278" s="2">
        <f>SUMIFS(base[L/P Líquido],base[Data],Extrato!$B278,base[Método],Extrato!AB$3)</f>
        <v>0</v>
      </c>
      <c r="AC278" s="2">
        <f>SUMIFS(base[L/P Líquido],base[Data],Extrato!$B278,base[Método],Extrato!AC$3)</f>
        <v>0</v>
      </c>
      <c r="AD278" s="2">
        <f>SUMIFS(base[L/P Líquido],base[Data],Extrato!$B278,base[Método],Extrato!AD$3)</f>
        <v>0</v>
      </c>
      <c r="AE278" s="2">
        <f>SUMIFS(base[L/P Líquido],base[Data],Extrato!$B278,base[Método],Extrato!AE$3)</f>
        <v>0</v>
      </c>
      <c r="AF278" s="2">
        <f>SUMIFS(base[L/P Líquido],base[Data],Extrato!$B278,base[Método],Extrato!AF$3)</f>
        <v>0</v>
      </c>
      <c r="AG278" s="2">
        <f>SUMIFS(base[L/P Líquido],base[Data],Extrato!$B278,base[Método],Extrato!AG$3)</f>
        <v>0</v>
      </c>
      <c r="AH278" s="2">
        <f>SUMIFS(base[L/P Líquido],base[Data],Extrato!$B278,base[Método],Extrato!AH$3)</f>
        <v>0</v>
      </c>
      <c r="AI278" s="2">
        <f>SUMIFS(base[L/P Líquido],base[Data],Extrato!$B278,base[Método],Extrato!AI$3)</f>
        <v>0</v>
      </c>
      <c r="AJ278" s="2">
        <f>SUMIFS(base[L/P Líquido],base[Data],Extrato!$B278,base[Método],Extrato!AJ$3)</f>
        <v>0</v>
      </c>
      <c r="AK278" s="2">
        <f>SUMIFS(base[L/P Líquido],base[Data],Extrato!$B278,base[Método],Extrato!AK$3)</f>
        <v>0</v>
      </c>
      <c r="AL278" s="2">
        <f>SUMIFS(base[L/P Líquido],base[Data],Extrato!$B278,base[Método],Extrato!AL$3)</f>
        <v>0</v>
      </c>
      <c r="AM278" s="2">
        <f>SUMIFS(base[L/P Líquido],base[Data],Extrato!$B278,base[Método],Extrato!AM$3)</f>
        <v>0</v>
      </c>
      <c r="AN278" s="2">
        <v>0</v>
      </c>
      <c r="AO278" s="2">
        <v>-0.01</v>
      </c>
      <c r="AP278" s="435">
        <f>SUM(C278:AO278)</f>
        <v>5036.8726499999921</v>
      </c>
      <c r="AR278" s="2">
        <f t="shared" ref="AR278" si="274">BK277</f>
        <v>-24.338430490751261</v>
      </c>
      <c r="AS278" s="2">
        <f>SUMIFS(base[L/P Líquido],base[Data],Extrato!$B278,base[Método],Extrato!AS$3,base[Exchange],"Betbra")</f>
        <v>0</v>
      </c>
      <c r="AT278" s="2">
        <f>SUMIFS(base[L/P Líquido],base[Data],Extrato!$B278,base[Método],Extrato!AT$3,base[Exchange],"Betbra")</f>
        <v>0</v>
      </c>
      <c r="AU278" s="2">
        <f>SUMIFS(base[L/P Líquido],base[Data],Extrato!$B278,base[Método],Extrato!AU$3,base[Exchange],"Betbra")</f>
        <v>0</v>
      </c>
      <c r="AV278" s="2">
        <f>SUMIFS(base[L/P Líquido],base[Data],Extrato!$B278,base[Método],Extrato!AV$3,base[Exchange],"Betbra")</f>
        <v>0</v>
      </c>
      <c r="AW278" s="2">
        <f>SUMIFS(base[L/P Líquido],base[Data],Extrato!$B278,base[Método],Extrato!AW$3,base[Exchange],"Betbra")</f>
        <v>0</v>
      </c>
      <c r="AX278" s="2">
        <f>SUMIFS(base[L/P Líquido],base[Data],Extrato!$B278,base[Método],Extrato!AX$3,base[Exchange],"Betbra")</f>
        <v>0</v>
      </c>
      <c r="AY278" s="2">
        <f>SUMIFS(base[L/P Líquido],base[Data],Extrato!$B278,base[Método],Extrato!AY$3,base[Exchange],"Betbra")</f>
        <v>0</v>
      </c>
      <c r="AZ278" s="2">
        <f>SUMIF(BetFlow!B:B,Extrato!B278,BetFlow!M:M)</f>
        <v>0</v>
      </c>
      <c r="BA278" s="2">
        <f>SUMIFS(base[L/P Líquido],base[Data],Extrato!$B278,base[Método],Extrato!BA$3,base[Exchange],"Betbra")</f>
        <v>0</v>
      </c>
      <c r="BB278" s="2">
        <f>SUMIFS(base[L/P Líquido],base[Data],Extrato!$B278,base[Método],Extrato!BB$3,base[Exchange],"Betbra")</f>
        <v>0</v>
      </c>
      <c r="BC278" s="2">
        <f>SUMIFS(base[L/P Líquido],base[Data],Extrato!$B278,base[Método],Extrato!BC$3,base[Exchange],"Betbra")</f>
        <v>0</v>
      </c>
      <c r="BD278" s="2">
        <f>SUMIFS(base[L/P Líquido],base[Data],Extrato!$B278,base[Método],Extrato!BD$3,base[Exchange],"Betbra")</f>
        <v>0</v>
      </c>
      <c r="BE278" s="2">
        <f>SUMIFS(base[L/P Líquido],base[Data],Extrato!$B278,base[Método],Extrato!BE$3,base[Exchange],"Betbra")</f>
        <v>0</v>
      </c>
      <c r="BF278" s="2">
        <f>SUMIFS(base[L/P Líquido],base[Data],Extrato!$B278,base[Método],Extrato!BF$3,base[Exchange],"Betbra")</f>
        <v>0</v>
      </c>
      <c r="BG278" s="2">
        <f>SUMIFS(base[L/P Líquido],base[Data],Extrato!$B278,base[Método],Extrato!BG$3,base[Exchange],"Betbra")</f>
        <v>0</v>
      </c>
      <c r="BH278" s="2">
        <f>SUMIFS(base[L/P Líquido],base[Data],Extrato!$B278,base[Método],Extrato!BH$3,base[Exchange],"Betbra")</f>
        <v>0</v>
      </c>
      <c r="BI278" s="2">
        <v>0</v>
      </c>
      <c r="BJ278" s="2">
        <v>0</v>
      </c>
      <c r="BK278" s="435">
        <f t="shared" ref="BK278" si="275">SUM(AR278:BJ278)</f>
        <v>-24.338430490751261</v>
      </c>
      <c r="BM278" s="2">
        <f t="shared" ref="BM278" si="276">BX277</f>
        <v>-9.0951551845463996E-15</v>
      </c>
      <c r="BN278" s="2">
        <f>SUMIFS(base[L/P Líquido],base[Data],Extrato!$B278,base[Método],Extrato!BN$3,base[Exchange],"Bolsa")</f>
        <v>0</v>
      </c>
      <c r="BO278" s="2">
        <f>SUMIFS(base[L/P Líquido],base[Data],Extrato!$B278,base[Método],Extrato!BO$3,base[Exchange],"Bolsa")</f>
        <v>0</v>
      </c>
      <c r="BP278" s="2">
        <f>SUMIFS(base[L/P Líquido],base[Data],Extrato!$B278,base[Método],Extrato!BP$3,base[Exchange],"Bolsa")</f>
        <v>0</v>
      </c>
      <c r="BQ278" s="2">
        <f>SUMIFS(base[L/P Líquido],base[Data],Extrato!$B278,base[Método],Extrato!BQ$3,base[Exchange],"Bolsa")</f>
        <v>0</v>
      </c>
      <c r="BR278" s="2">
        <f>SUMIFS(base[L/P Líquido],base[Data],Extrato!$B278,base[Método],Extrato!BR$3,base[Exchange],"Bolsa")</f>
        <v>0</v>
      </c>
      <c r="BS278" s="2">
        <f>SUMIFS(base[L/P Líquido],base[Data],Extrato!$B278,base[Método],Extrato!BS$3,base[Exchange],"Bolsa")</f>
        <v>0</v>
      </c>
      <c r="BT278" s="2">
        <f>SUMIFS(base[L/P Líquido],base[Data],Extrato!$B278,base[Método],Extrato!BT$3,base[Exchange],"Bolsa")</f>
        <v>0</v>
      </c>
      <c r="BU278" s="2">
        <f>SUMIFS(base[L/P Líquido],base[Data],Extrato!$B278,base[Método],Extrato!BU$3,base[Exchange],"Bolsa")</f>
        <v>0</v>
      </c>
      <c r="BV278" s="2">
        <v>0</v>
      </c>
      <c r="BW278" s="2">
        <v>0</v>
      </c>
      <c r="BX278" s="435">
        <f t="shared" ref="BX278" si="277">SUM(BM278:BW278)</f>
        <v>-9.0951551845463996E-15</v>
      </c>
    </row>
    <row r="279" spans="2:76" ht="15" customHeight="1">
      <c r="B279" s="33">
        <v>46269</v>
      </c>
      <c r="C279" s="2">
        <f t="shared" ref="C279" si="278">AP278</f>
        <v>5036.8726499999921</v>
      </c>
      <c r="D279" s="2">
        <f>SUMIFS(base[L/P Líquido],base[Data],Extrato!$B279,base[Método],Extrato!D$3,base[Exchange],"Fulltbet")</f>
        <v>0</v>
      </c>
      <c r="E279" s="2">
        <f>SUMIFS(base[L/P Líquido],base[Data],Extrato!$B279,base[Método],Extrato!E$3,base[Exchange],"Fulltbet")</f>
        <v>172.44</v>
      </c>
      <c r="F279" s="2">
        <f>SUMIFS(base[L/P Líquido],base[Data],Extrato!$B279,base[Método],Extrato!F$3)</f>
        <v>-5.2600000000000033</v>
      </c>
      <c r="G279" s="2">
        <f>SUMIFS(base[L/P Líquido],base[Data],Extrato!$B279,base[Método],Extrato!G$3,base[Exchange],"Fulltbet")</f>
        <v>-358.81</v>
      </c>
      <c r="H279" s="2">
        <f>SUMIFS(base[L/P Líquido],base[Data],Extrato!$B279,base[Método],Extrato!H$3)</f>
        <v>75.64</v>
      </c>
      <c r="I279" s="2">
        <f>SUMIF(BetFlow!B:B,B279,BetFlow!J:J)</f>
        <v>0</v>
      </c>
      <c r="J279" s="2">
        <f>SUMIFS(base[L/P Líquido],base[Data],Extrato!$B279,base[Método],Extrato!J$3,base[Exchange],"Fulltbet")</f>
        <v>0</v>
      </c>
      <c r="K279" s="2">
        <f>SUMIFS(base[L/P Líquido],base[Data],Extrato!$B279,base[Método],Extrato!K$3,base[Exchange],"Fulltbet")</f>
        <v>0</v>
      </c>
      <c r="L279" s="2">
        <f>SUMIFS(base[L/P Líquido],base[Data],Extrato!$B279,base[Método],Extrato!L$3,base[Exchange],"Fulltbet")</f>
        <v>0</v>
      </c>
      <c r="M279" s="2">
        <f>SUMIFS(base[L/P Líquido],base[Data],Extrato!$B279,base[Método],Extrato!M$3,base[Exchange],"Fulltbet")</f>
        <v>0</v>
      </c>
      <c r="N279" s="2">
        <f>SUMIFS(base[L/P Líquido],base[Data],Extrato!$B279,base[Método],Extrato!N$3,base[Exchange],"Fulltbet")</f>
        <v>0</v>
      </c>
      <c r="O279" s="2">
        <f>SUMIFS(base[L/P Líquido],base[Data],Extrato!$B279,base[Método],Extrato!O$3,base[Exchange],"Fulltbet")</f>
        <v>0</v>
      </c>
      <c r="P279" s="2">
        <f>SUMIFS(base[L/P Líquido],base[Data],Extrato!$B279,base[Método],Extrato!P$3)</f>
        <v>0</v>
      </c>
      <c r="Q279" s="2">
        <f>SUMIFS(base[L/P Líquido],base[Data],Extrato!$B279,base[Método],Extrato!Q$3,base[Exchange],"Fulltbet")</f>
        <v>0</v>
      </c>
      <c r="R279" s="2">
        <f>SUMIFS(base[L/P Líquido],base[Data],Extrato!$B279,base[Método],Extrato!R$3,base[Exchange],"Fulltbet")</f>
        <v>0</v>
      </c>
      <c r="S279" s="2">
        <f>SUMIFS(base[L/P Líquido],base[Data],Extrato!$B279,base[Método],Extrato!S$3,base[Exchange],"Fulltbet")</f>
        <v>0</v>
      </c>
      <c r="T279" s="2">
        <f>SUMIFS(base[L/P Líquido],base[Data],Extrato!$B279,base[Método],Extrato!T$3,base[Exchange],"Fulltbet")</f>
        <v>0</v>
      </c>
      <c r="U279" s="2">
        <f>SUMIFS(base[L/P Líquido],base[Data],Extrato!$B279,base[Método],Extrato!U$3,base[Exchange],"Fulltbet")</f>
        <v>0</v>
      </c>
      <c r="V279" s="2">
        <f>SUMIFS(base[L/P Líquido],base[Data],Extrato!$B279,base[Método],Extrato!V$3,base[Exchange],"Fulltbet")</f>
        <v>36.83</v>
      </c>
      <c r="W279" s="2">
        <f>SUMIFS(base[L/P Líquido],base[Data],Extrato!$B279,base[Método],Extrato!W$3,base[Exchange],"Fulltbet")</f>
        <v>0</v>
      </c>
      <c r="X279" s="2">
        <f>SUMIFS(base[L/P Líquido],base[Data],Extrato!$B279,base[Método],Extrato!X$3,base[Exchange],"Fulltbet")</f>
        <v>0</v>
      </c>
      <c r="Y279" s="2">
        <f>SUMIFS(base[L/P Líquido],base[Data],Extrato!$B279,base[Método],Extrato!Y$3,base[Exchange],"Fulltbet")</f>
        <v>0</v>
      </c>
      <c r="Z279" s="2">
        <f>SUMIFS(base[L/P Líquido],base[Data],Extrato!$B279,base[Método],Extrato!Z$3,base[Exchange],"Fulltbet")</f>
        <v>0</v>
      </c>
      <c r="AA279" s="2">
        <f>SUMIFS(base[L/P Líquido],base[Data],Extrato!$B279,base[Método],Extrato!AA$3,base[Exchange],"Fulltbet")</f>
        <v>0</v>
      </c>
      <c r="AB279" s="2">
        <f>SUMIFS(base[L/P Líquido],base[Data],Extrato!$B279,base[Método],Extrato!AB$3)</f>
        <v>0</v>
      </c>
      <c r="AC279" s="2">
        <f>SUMIFS(base[L/P Líquido],base[Data],Extrato!$B279,base[Método],Extrato!AC$3)</f>
        <v>0</v>
      </c>
      <c r="AD279" s="2">
        <f>SUMIFS(base[L/P Líquido],base[Data],Extrato!$B279,base[Método],Extrato!AD$3)</f>
        <v>0</v>
      </c>
      <c r="AE279" s="2">
        <f>SUMIFS(base[L/P Líquido],base[Data],Extrato!$B279,base[Método],Extrato!AE$3)</f>
        <v>0</v>
      </c>
      <c r="AF279" s="2">
        <f>SUMIFS(base[L/P Líquido],base[Data],Extrato!$B279,base[Método],Extrato!AF$3)</f>
        <v>0</v>
      </c>
      <c r="AG279" s="2">
        <f>SUMIFS(base[L/P Líquido],base[Data],Extrato!$B279,base[Método],Extrato!AG$3)</f>
        <v>0</v>
      </c>
      <c r="AH279" s="2">
        <f>SUMIFS(base[L/P Líquido],base[Data],Extrato!$B279,base[Método],Extrato!AH$3)</f>
        <v>0</v>
      </c>
      <c r="AI279" s="2">
        <f>SUMIFS(base[L/P Líquido],base[Data],Extrato!$B279,base[Método],Extrato!AI$3)</f>
        <v>0</v>
      </c>
      <c r="AJ279" s="2">
        <f>SUMIFS(base[L/P Líquido],base[Data],Extrato!$B279,base[Método],Extrato!AJ$3)</f>
        <v>0</v>
      </c>
      <c r="AK279" s="2">
        <f>SUMIFS(base[L/P Líquido],base[Data],Extrato!$B279,base[Método],Extrato!AK$3)</f>
        <v>0</v>
      </c>
      <c r="AL279" s="2">
        <f>SUMIFS(base[L/P Líquido],base[Data],Extrato!$B279,base[Método],Extrato!AL$3)</f>
        <v>0</v>
      </c>
      <c r="AM279" s="2">
        <f>SUMIFS(base[L/P Líquido],base[Data],Extrato!$B279,base[Método],Extrato!AM$3)</f>
        <v>0</v>
      </c>
      <c r="AN279" s="2">
        <v>0</v>
      </c>
      <c r="AO279" s="2">
        <v>0.01</v>
      </c>
      <c r="AP279" s="435">
        <f>SUM(C279:AO279)</f>
        <v>4957.7226499999915</v>
      </c>
      <c r="AR279" s="2">
        <f t="shared" ref="AR279" si="279">BK278</f>
        <v>-24.338430490751261</v>
      </c>
      <c r="AS279" s="2">
        <f>SUMIFS(base[L/P Líquido],base[Data],Extrato!$B279,base[Método],Extrato!AS$3,base[Exchange],"Betbra")</f>
        <v>0</v>
      </c>
      <c r="AT279" s="2">
        <f>SUMIFS(base[L/P Líquido],base[Data],Extrato!$B279,base[Método],Extrato!AT$3,base[Exchange],"Betbra")</f>
        <v>0</v>
      </c>
      <c r="AU279" s="2">
        <f>SUMIFS(base[L/P Líquido],base[Data],Extrato!$B279,base[Método],Extrato!AU$3,base[Exchange],"Betbra")</f>
        <v>0</v>
      </c>
      <c r="AV279" s="2">
        <f>SUMIFS(base[L/P Líquido],base[Data],Extrato!$B279,base[Método],Extrato!AV$3,base[Exchange],"Betbra")</f>
        <v>0</v>
      </c>
      <c r="AW279" s="2">
        <f>SUMIFS(base[L/P Líquido],base[Data],Extrato!$B279,base[Método],Extrato!AW$3,base[Exchange],"Betbra")</f>
        <v>0</v>
      </c>
      <c r="AX279" s="2">
        <f>SUMIFS(base[L/P Líquido],base[Data],Extrato!$B279,base[Método],Extrato!AX$3,base[Exchange],"Betbra")</f>
        <v>0</v>
      </c>
      <c r="AY279" s="2">
        <f>SUMIFS(base[L/P Líquido],base[Data],Extrato!$B279,base[Método],Extrato!AY$3,base[Exchange],"Betbra")</f>
        <v>0</v>
      </c>
      <c r="AZ279" s="2">
        <f>SUMIF(BetFlow!B:B,Extrato!B279,BetFlow!M:M)</f>
        <v>0</v>
      </c>
      <c r="BA279" s="2">
        <f>SUMIFS(base[L/P Líquido],base[Data],Extrato!$B279,base[Método],Extrato!BA$3,base[Exchange],"Betbra")</f>
        <v>0</v>
      </c>
      <c r="BB279" s="2">
        <f>SUMIFS(base[L/P Líquido],base[Data],Extrato!$B279,base[Método],Extrato!BB$3,base[Exchange],"Betbra")</f>
        <v>0</v>
      </c>
      <c r="BC279" s="2">
        <f>SUMIFS(base[L/P Líquido],base[Data],Extrato!$B279,base[Método],Extrato!BC$3,base[Exchange],"Betbra")</f>
        <v>0</v>
      </c>
      <c r="BD279" s="2">
        <f>SUMIFS(base[L/P Líquido],base[Data],Extrato!$B279,base[Método],Extrato!BD$3,base[Exchange],"Betbra")</f>
        <v>0</v>
      </c>
      <c r="BE279" s="2">
        <f>SUMIFS(base[L/P Líquido],base[Data],Extrato!$B279,base[Método],Extrato!BE$3,base[Exchange],"Betbra")</f>
        <v>0</v>
      </c>
      <c r="BF279" s="2">
        <f>SUMIFS(base[L/P Líquido],base[Data],Extrato!$B279,base[Método],Extrato!BF$3,base[Exchange],"Betbra")</f>
        <v>0</v>
      </c>
      <c r="BG279" s="2">
        <f>SUMIFS(base[L/P Líquido],base[Data],Extrato!$B279,base[Método],Extrato!BG$3,base[Exchange],"Betbra")</f>
        <v>0</v>
      </c>
      <c r="BH279" s="2">
        <f>SUMIFS(base[L/P Líquido],base[Data],Extrato!$B279,base[Método],Extrato!BH$3,base[Exchange],"Betbra")</f>
        <v>0</v>
      </c>
      <c r="BI279" s="2">
        <v>0</v>
      </c>
      <c r="BJ279" s="2">
        <v>0</v>
      </c>
      <c r="BK279" s="435">
        <f t="shared" ref="BK279" si="280">SUM(AR279:BJ279)</f>
        <v>-24.338430490751261</v>
      </c>
      <c r="BM279" s="2">
        <f t="shared" ref="BM279" si="281">BX278</f>
        <v>-9.0951551845463996E-15</v>
      </c>
      <c r="BN279" s="2">
        <f>SUMIFS(base[L/P Líquido],base[Data],Extrato!$B279,base[Método],Extrato!BN$3,base[Exchange],"Bolsa")</f>
        <v>0</v>
      </c>
      <c r="BO279" s="2">
        <f>SUMIFS(base[L/P Líquido],base[Data],Extrato!$B279,base[Método],Extrato!BO$3,base[Exchange],"Bolsa")</f>
        <v>0</v>
      </c>
      <c r="BP279" s="2">
        <f>SUMIFS(base[L/P Líquido],base[Data],Extrato!$B279,base[Método],Extrato!BP$3,base[Exchange],"Bolsa")</f>
        <v>0</v>
      </c>
      <c r="BQ279" s="2">
        <f>SUMIFS(base[L/P Líquido],base[Data],Extrato!$B279,base[Método],Extrato!BQ$3,base[Exchange],"Bolsa")</f>
        <v>0</v>
      </c>
      <c r="BR279" s="2">
        <f>SUMIFS(base[L/P Líquido],base[Data],Extrato!$B279,base[Método],Extrato!BR$3,base[Exchange],"Bolsa")</f>
        <v>0</v>
      </c>
      <c r="BS279" s="2">
        <f>SUMIFS(base[L/P Líquido],base[Data],Extrato!$B279,base[Método],Extrato!BS$3,base[Exchange],"Bolsa")</f>
        <v>0</v>
      </c>
      <c r="BT279" s="2">
        <f>SUMIFS(base[L/P Líquido],base[Data],Extrato!$B279,base[Método],Extrato!BT$3,base[Exchange],"Bolsa")</f>
        <v>0</v>
      </c>
      <c r="BU279" s="2">
        <f>SUMIFS(base[L/P Líquido],base[Data],Extrato!$B279,base[Método],Extrato!BU$3,base[Exchange],"Bolsa")</f>
        <v>0</v>
      </c>
      <c r="BV279" s="2">
        <v>0</v>
      </c>
      <c r="BW279" s="2">
        <v>0</v>
      </c>
      <c r="BX279" s="435">
        <f t="shared" ref="BX279" si="282">SUM(BM279:BW279)</f>
        <v>-9.0951551845463996E-15</v>
      </c>
    </row>
    <row r="280" spans="2:76" ht="15" customHeight="1">
      <c r="B280" s="33">
        <v>46270</v>
      </c>
      <c r="C280" s="2">
        <f t="shared" ref="C280" si="283">AP279</f>
        <v>4957.7226499999915</v>
      </c>
      <c r="D280" s="2">
        <f>SUMIFS(base[L/P Líquido],base[Data],Extrato!$B280,base[Método],Extrato!D$3,base[Exchange],"Fulltbet")</f>
        <v>0</v>
      </c>
      <c r="E280" s="2">
        <f>SUMIFS(base[L/P Líquido],base[Data],Extrato!$B280,base[Método],Extrato!E$3,base[Exchange],"Fulltbet")</f>
        <v>66.94</v>
      </c>
      <c r="F280" s="2">
        <f>SUMIFS(base[L/P Líquido],base[Data],Extrato!$B280,base[Método],Extrato!F$3)</f>
        <v>11.32</v>
      </c>
      <c r="G280" s="2">
        <f>SUMIFS(base[L/P Líquido],base[Data],Extrato!$B280,base[Método],Extrato!G$3,base[Exchange],"Fulltbet")</f>
        <v>-209.29000000000005</v>
      </c>
      <c r="H280" s="2">
        <f>SUMIFS(base[L/P Líquido],base[Data],Extrato!$B280,base[Método],Extrato!H$3)</f>
        <v>-480</v>
      </c>
      <c r="I280" s="2">
        <f>SUMIF(BetFlow!B:B,B280,BetFlow!J:J)</f>
        <v>0</v>
      </c>
      <c r="J280" s="2">
        <f>SUMIFS(base[L/P Líquido],base[Data],Extrato!$B280,base[Método],Extrato!J$3,base[Exchange],"Fulltbet")</f>
        <v>0</v>
      </c>
      <c r="K280" s="2">
        <f>SUMIFS(base[L/P Líquido],base[Data],Extrato!$B280,base[Método],Extrato!K$3,base[Exchange],"Fulltbet")</f>
        <v>0</v>
      </c>
      <c r="L280" s="2">
        <f>SUMIFS(base[L/P Líquido],base[Data],Extrato!$B280,base[Método],Extrato!L$3,base[Exchange],"Fulltbet")</f>
        <v>0</v>
      </c>
      <c r="M280" s="2">
        <f>SUMIFS(base[L/P Líquido],base[Data],Extrato!$B280,base[Método],Extrato!M$3,base[Exchange],"Fulltbet")</f>
        <v>0</v>
      </c>
      <c r="N280" s="2">
        <f>SUMIFS(base[L/P Líquido],base[Data],Extrato!$B280,base[Método],Extrato!N$3,base[Exchange],"Fulltbet")</f>
        <v>0</v>
      </c>
      <c r="O280" s="2">
        <f>SUMIFS(base[L/P Líquido],base[Data],Extrato!$B280,base[Método],Extrato!O$3,base[Exchange],"Fulltbet")</f>
        <v>0</v>
      </c>
      <c r="P280" s="2">
        <f>SUMIFS(base[L/P Líquido],base[Data],Extrato!$B280,base[Método],Extrato!P$3)</f>
        <v>0</v>
      </c>
      <c r="Q280" s="2">
        <f>SUMIFS(base[L/P Líquido],base[Data],Extrato!$B280,base[Método],Extrato!Q$3,base[Exchange],"Fulltbet")</f>
        <v>0</v>
      </c>
      <c r="R280" s="2">
        <f>SUMIFS(base[L/P Líquido],base[Data],Extrato!$B280,base[Método],Extrato!R$3,base[Exchange],"Fulltbet")</f>
        <v>0</v>
      </c>
      <c r="S280" s="2">
        <f>SUMIFS(base[L/P Líquido],base[Data],Extrato!$B280,base[Método],Extrato!S$3,base[Exchange],"Fulltbet")</f>
        <v>0</v>
      </c>
      <c r="T280" s="2">
        <f>SUMIFS(base[L/P Líquido],base[Data],Extrato!$B280,base[Método],Extrato!T$3,base[Exchange],"Fulltbet")</f>
        <v>0</v>
      </c>
      <c r="U280" s="2">
        <f>SUMIFS(base[L/P Líquido],base[Data],Extrato!$B280,base[Método],Extrato!U$3,base[Exchange],"Fulltbet")</f>
        <v>0</v>
      </c>
      <c r="V280" s="2">
        <f>SUMIFS(base[L/P Líquido],base[Data],Extrato!$B280,base[Método],Extrato!V$3,base[Exchange],"Fulltbet")</f>
        <v>-561.97</v>
      </c>
      <c r="W280" s="2">
        <f>SUMIFS(base[L/P Líquido],base[Data],Extrato!$B280,base[Método],Extrato!W$3,base[Exchange],"Fulltbet")</f>
        <v>0</v>
      </c>
      <c r="X280" s="2">
        <f>SUMIFS(base[L/P Líquido],base[Data],Extrato!$B280,base[Método],Extrato!X$3,base[Exchange],"Fulltbet")</f>
        <v>0</v>
      </c>
      <c r="Y280" s="2">
        <f>SUMIFS(base[L/P Líquido],base[Data],Extrato!$B280,base[Método],Extrato!Y$3,base[Exchange],"Fulltbet")</f>
        <v>0</v>
      </c>
      <c r="Z280" s="2">
        <f>SUMIFS(base[L/P Líquido],base[Data],Extrato!$B280,base[Método],Extrato!Z$3,base[Exchange],"Fulltbet")</f>
        <v>0</v>
      </c>
      <c r="AA280" s="2">
        <f>SUMIFS(base[L/P Líquido],base[Data],Extrato!$B280,base[Método],Extrato!AA$3,base[Exchange],"Fulltbet")</f>
        <v>0</v>
      </c>
      <c r="AB280" s="2">
        <f>SUMIFS(base[L/P Líquido],base[Data],Extrato!$B280,base[Método],Extrato!AB$3)</f>
        <v>0</v>
      </c>
      <c r="AC280" s="2">
        <f>SUMIFS(base[L/P Líquido],base[Data],Extrato!$B280,base[Método],Extrato!AC$3)</f>
        <v>0</v>
      </c>
      <c r="AD280" s="2">
        <f>SUMIFS(base[L/P Líquido],base[Data],Extrato!$B280,base[Método],Extrato!AD$3)</f>
        <v>0</v>
      </c>
      <c r="AE280" s="2">
        <f>SUMIFS(base[L/P Líquido],base[Data],Extrato!$B280,base[Método],Extrato!AE$3)</f>
        <v>0</v>
      </c>
      <c r="AF280" s="2">
        <f>SUMIFS(base[L/P Líquido],base[Data],Extrato!$B280,base[Método],Extrato!AF$3)</f>
        <v>0</v>
      </c>
      <c r="AG280" s="2">
        <f>SUMIFS(base[L/P Líquido],base[Data],Extrato!$B280,base[Método],Extrato!AG$3)</f>
        <v>0</v>
      </c>
      <c r="AH280" s="2">
        <f>SUMIFS(base[L/P Líquido],base[Data],Extrato!$B280,base[Método],Extrato!AH$3)</f>
        <v>0</v>
      </c>
      <c r="AI280" s="2">
        <f>SUMIFS(base[L/P Líquido],base[Data],Extrato!$B280,base[Método],Extrato!AI$3)</f>
        <v>0</v>
      </c>
      <c r="AJ280" s="2">
        <f>SUMIFS(base[L/P Líquido],base[Data],Extrato!$B280,base[Método],Extrato!AJ$3)</f>
        <v>0</v>
      </c>
      <c r="AK280" s="2">
        <f>SUMIFS(base[L/P Líquido],base[Data],Extrato!$B280,base[Método],Extrato!AK$3)</f>
        <v>0</v>
      </c>
      <c r="AL280" s="2">
        <f>SUMIFS(base[L/P Líquido],base[Data],Extrato!$B280,base[Método],Extrato!AL$3)</f>
        <v>0</v>
      </c>
      <c r="AM280" s="2">
        <f>SUMIFS(base[L/P Líquido],base[Data],Extrato!$B280,base[Método],Extrato!AM$3)</f>
        <v>0</v>
      </c>
      <c r="AN280" s="2">
        <v>0</v>
      </c>
      <c r="AO280" s="2">
        <v>0</v>
      </c>
      <c r="AP280" s="435">
        <f>SUM(C280:AO280)</f>
        <v>3784.7226499999906</v>
      </c>
      <c r="AR280" s="2">
        <f t="shared" ref="AR280" si="284">BK279</f>
        <v>-24.338430490751261</v>
      </c>
      <c r="AS280" s="2">
        <f>SUMIFS(base[L/P Líquido],base[Data],Extrato!$B280,base[Método],Extrato!AS$3,base[Exchange],"Betbra")</f>
        <v>0</v>
      </c>
      <c r="AT280" s="2">
        <f>SUMIFS(base[L/P Líquido],base[Data],Extrato!$B280,base[Método],Extrato!AT$3,base[Exchange],"Betbra")</f>
        <v>0</v>
      </c>
      <c r="AU280" s="2">
        <f>SUMIFS(base[L/P Líquido],base[Data],Extrato!$B280,base[Método],Extrato!AU$3,base[Exchange],"Betbra")</f>
        <v>0</v>
      </c>
      <c r="AV280" s="2">
        <f>SUMIFS(base[L/P Líquido],base[Data],Extrato!$B280,base[Método],Extrato!AV$3,base[Exchange],"Betbra")</f>
        <v>0</v>
      </c>
      <c r="AW280" s="2">
        <f>SUMIFS(base[L/P Líquido],base[Data],Extrato!$B280,base[Método],Extrato!AW$3,base[Exchange],"Betbra")</f>
        <v>0</v>
      </c>
      <c r="AX280" s="2">
        <f>SUMIFS(base[L/P Líquido],base[Data],Extrato!$B280,base[Método],Extrato!AX$3,base[Exchange],"Betbra")</f>
        <v>0</v>
      </c>
      <c r="AY280" s="2">
        <f>SUMIFS(base[L/P Líquido],base[Data],Extrato!$B280,base[Método],Extrato!AY$3,base[Exchange],"Betbra")</f>
        <v>0</v>
      </c>
      <c r="AZ280" s="2">
        <f>SUMIF(BetFlow!B:B,Extrato!B280,BetFlow!M:M)</f>
        <v>0</v>
      </c>
      <c r="BA280" s="2">
        <f>SUMIFS(base[L/P Líquido],base[Data],Extrato!$B280,base[Método],Extrato!BA$3,base[Exchange],"Betbra")</f>
        <v>0</v>
      </c>
      <c r="BB280" s="2">
        <f>SUMIFS(base[L/P Líquido],base[Data],Extrato!$B280,base[Método],Extrato!BB$3,base[Exchange],"Betbra")</f>
        <v>0</v>
      </c>
      <c r="BC280" s="2">
        <f>SUMIFS(base[L/P Líquido],base[Data],Extrato!$B280,base[Método],Extrato!BC$3,base[Exchange],"Betbra")</f>
        <v>0</v>
      </c>
      <c r="BD280" s="2">
        <f>SUMIFS(base[L/P Líquido],base[Data],Extrato!$B280,base[Método],Extrato!BD$3,base[Exchange],"Betbra")</f>
        <v>0</v>
      </c>
      <c r="BE280" s="2">
        <f>SUMIFS(base[L/P Líquido],base[Data],Extrato!$B280,base[Método],Extrato!BE$3,base[Exchange],"Betbra")</f>
        <v>0</v>
      </c>
      <c r="BF280" s="2">
        <f>SUMIFS(base[L/P Líquido],base[Data],Extrato!$B280,base[Método],Extrato!BF$3,base[Exchange],"Betbra")</f>
        <v>0</v>
      </c>
      <c r="BG280" s="2">
        <f>SUMIFS(base[L/P Líquido],base[Data],Extrato!$B280,base[Método],Extrato!BG$3,base[Exchange],"Betbra")</f>
        <v>0</v>
      </c>
      <c r="BH280" s="2">
        <f>SUMIFS(base[L/P Líquido],base[Data],Extrato!$B280,base[Método],Extrato!BH$3,base[Exchange],"Betbra")</f>
        <v>0</v>
      </c>
      <c r="BI280" s="2">
        <v>0</v>
      </c>
      <c r="BJ280" s="2">
        <v>0</v>
      </c>
      <c r="BK280" s="435">
        <f t="shared" ref="BK280" si="285">SUM(AR280:BJ280)</f>
        <v>-24.338430490751261</v>
      </c>
      <c r="BM280" s="2">
        <f t="shared" ref="BM280" si="286">BX279</f>
        <v>-9.0951551845463996E-15</v>
      </c>
      <c r="BN280" s="2">
        <f>SUMIFS(base[L/P Líquido],base[Data],Extrato!$B280,base[Método],Extrato!BN$3,base[Exchange],"Bolsa")</f>
        <v>0</v>
      </c>
      <c r="BO280" s="2">
        <f>SUMIFS(base[L/P Líquido],base[Data],Extrato!$B280,base[Método],Extrato!BO$3,base[Exchange],"Bolsa")</f>
        <v>0</v>
      </c>
      <c r="BP280" s="2">
        <f>SUMIFS(base[L/P Líquido],base[Data],Extrato!$B280,base[Método],Extrato!BP$3,base[Exchange],"Bolsa")</f>
        <v>0</v>
      </c>
      <c r="BQ280" s="2">
        <f>SUMIFS(base[L/P Líquido],base[Data],Extrato!$B280,base[Método],Extrato!BQ$3,base[Exchange],"Bolsa")</f>
        <v>0</v>
      </c>
      <c r="BR280" s="2">
        <f>SUMIFS(base[L/P Líquido],base[Data],Extrato!$B280,base[Método],Extrato!BR$3,base[Exchange],"Bolsa")</f>
        <v>0</v>
      </c>
      <c r="BS280" s="2">
        <f>SUMIFS(base[L/P Líquido],base[Data],Extrato!$B280,base[Método],Extrato!BS$3,base[Exchange],"Bolsa")</f>
        <v>0</v>
      </c>
      <c r="BT280" s="2">
        <f>SUMIFS(base[L/P Líquido],base[Data],Extrato!$B280,base[Método],Extrato!BT$3,base[Exchange],"Bolsa")</f>
        <v>0</v>
      </c>
      <c r="BU280" s="2">
        <f>SUMIFS(base[L/P Líquido],base[Data],Extrato!$B280,base[Método],Extrato!BU$3,base[Exchange],"Bolsa")</f>
        <v>0</v>
      </c>
      <c r="BV280" s="2">
        <v>0</v>
      </c>
      <c r="BW280" s="2">
        <v>0</v>
      </c>
      <c r="BX280" s="435">
        <f t="shared" ref="BX280" si="287">SUM(BM280:BW280)</f>
        <v>-9.0951551845463996E-15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19" sqref="F19"/>
    </sheetView>
  </sheetViews>
  <sheetFormatPr defaultRowHeight="15" customHeight="1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>
      <c r="B2" s="1464" t="s">
        <v>266</v>
      </c>
      <c r="C2" s="1465" t="s">
        <v>385</v>
      </c>
      <c r="E2" s="1464" t="s">
        <v>266</v>
      </c>
      <c r="F2" s="1465" t="s">
        <v>385</v>
      </c>
      <c r="G2" s="641"/>
      <c r="H2" s="1464" t="s">
        <v>266</v>
      </c>
      <c r="I2" s="1465" t="s">
        <v>385</v>
      </c>
      <c r="J2" s="641"/>
      <c r="K2" s="1464" t="s">
        <v>266</v>
      </c>
      <c r="L2" s="1465" t="s">
        <v>385</v>
      </c>
      <c r="M2" s="641"/>
      <c r="N2" s="1464" t="s">
        <v>266</v>
      </c>
      <c r="O2" s="1465" t="s">
        <v>385</v>
      </c>
      <c r="P2" s="641"/>
      <c r="Q2" s="1464" t="s">
        <v>464</v>
      </c>
      <c r="R2" s="1465" t="s">
        <v>463</v>
      </c>
      <c r="S2" s="1465" t="s">
        <v>156</v>
      </c>
      <c r="T2" s="1465" t="s">
        <v>255</v>
      </c>
      <c r="U2" s="641"/>
      <c r="V2" s="1464" t="s">
        <v>266</v>
      </c>
      <c r="W2" s="1465" t="s">
        <v>385</v>
      </c>
    </row>
    <row r="3" spans="2:23" ht="13.2">
      <c r="B3" s="1466" t="s">
        <v>4685</v>
      </c>
      <c r="C3" s="1467">
        <v>542.94060000000002</v>
      </c>
      <c r="E3" s="1468">
        <v>46204</v>
      </c>
      <c r="F3" s="1467">
        <v>8.9599999999999973</v>
      </c>
      <c r="G3" s="641"/>
      <c r="H3" s="1466" t="s">
        <v>3615</v>
      </c>
      <c r="I3" s="1467">
        <v>540.82715000000121</v>
      </c>
      <c r="J3" s="641"/>
      <c r="K3" s="1466" t="s">
        <v>3615</v>
      </c>
      <c r="L3" s="1467">
        <v>540.82715000000121</v>
      </c>
      <c r="M3" s="641"/>
      <c r="N3" s="1466" t="s">
        <v>3615</v>
      </c>
      <c r="O3" s="1467">
        <v>540.82715000000121</v>
      </c>
      <c r="P3" s="641"/>
      <c r="Q3" s="1466" t="s">
        <v>74</v>
      </c>
      <c r="R3" s="1467">
        <v>401.42245000000008</v>
      </c>
      <c r="S3" s="1470">
        <v>1</v>
      </c>
      <c r="T3" s="1467">
        <v>17.033333333333335</v>
      </c>
      <c r="U3" s="641"/>
      <c r="V3" s="1466" t="s">
        <v>626</v>
      </c>
      <c r="W3" s="1467">
        <v>966.17275000000018</v>
      </c>
    </row>
    <row r="4" spans="2:23" ht="13.2">
      <c r="B4" s="1466" t="s">
        <v>3294</v>
      </c>
      <c r="C4" s="1467">
        <v>540.80250000000012</v>
      </c>
      <c r="E4" s="1468">
        <v>46205</v>
      </c>
      <c r="F4" s="1467">
        <v>151.97</v>
      </c>
      <c r="G4" s="641"/>
      <c r="H4" s="1466" t="s">
        <v>267</v>
      </c>
      <c r="I4" s="1467">
        <v>540.82715000000121</v>
      </c>
      <c r="J4" s="641"/>
      <c r="K4" s="1466" t="s">
        <v>267</v>
      </c>
      <c r="L4" s="1467">
        <v>540.82715000000121</v>
      </c>
      <c r="M4" s="641"/>
      <c r="N4" s="1469" t="s">
        <v>3742</v>
      </c>
      <c r="O4" s="1467">
        <v>-445.83000000000004</v>
      </c>
      <c r="P4" s="641"/>
      <c r="Q4" s="1469" t="s">
        <v>692</v>
      </c>
      <c r="R4" s="1467">
        <v>302.65244999999999</v>
      </c>
      <c r="S4" s="1470">
        <v>1</v>
      </c>
      <c r="T4" s="1467">
        <v>14.8</v>
      </c>
      <c r="U4" s="641"/>
      <c r="V4" s="1466" t="s">
        <v>3214</v>
      </c>
      <c r="W4" s="1467">
        <v>489.20999999999941</v>
      </c>
    </row>
    <row r="5" spans="2:23" ht="13.8">
      <c r="B5" s="1466" t="s">
        <v>74</v>
      </c>
      <c r="C5" s="1467">
        <v>401.42245000000008</v>
      </c>
      <c r="E5" s="1468">
        <v>46206</v>
      </c>
      <c r="F5" s="1467">
        <v>359.24</v>
      </c>
      <c r="G5" s="641"/>
      <c r="H5"/>
      <c r="I5"/>
      <c r="J5" s="641"/>
      <c r="K5"/>
      <c r="L5"/>
      <c r="M5" s="641"/>
      <c r="N5" s="1469" t="s">
        <v>75</v>
      </c>
      <c r="O5" s="1467">
        <v>-76.100000000000009</v>
      </c>
      <c r="P5" s="641"/>
      <c r="Q5" s="1469" t="s">
        <v>626</v>
      </c>
      <c r="R5" s="1467">
        <v>17.36</v>
      </c>
      <c r="S5" s="1470">
        <v>1</v>
      </c>
      <c r="T5" s="1467">
        <v>23</v>
      </c>
      <c r="U5" s="641"/>
      <c r="V5" s="1466" t="s">
        <v>693</v>
      </c>
      <c r="W5" s="1467">
        <v>344.90035</v>
      </c>
    </row>
    <row r="6" spans="2:23" ht="13.8">
      <c r="B6" s="1466" t="s">
        <v>3367</v>
      </c>
      <c r="C6" s="1467">
        <v>371.12999999999994</v>
      </c>
      <c r="E6" s="1468">
        <v>46207</v>
      </c>
      <c r="F6" s="1467">
        <v>811.24</v>
      </c>
      <c r="G6" s="641"/>
      <c r="H6"/>
      <c r="I6"/>
      <c r="J6" s="641"/>
      <c r="K6"/>
      <c r="L6"/>
      <c r="M6" s="641"/>
      <c r="N6" s="1469" t="s">
        <v>13</v>
      </c>
      <c r="O6" s="1467">
        <v>82.90000000000002</v>
      </c>
      <c r="P6" s="641"/>
      <c r="Q6" s="1469" t="s">
        <v>693</v>
      </c>
      <c r="R6" s="1467">
        <v>81.41</v>
      </c>
      <c r="S6" s="1470">
        <v>1</v>
      </c>
      <c r="T6" s="1467">
        <v>21.125</v>
      </c>
      <c r="U6" s="641"/>
      <c r="V6" s="1466" t="s">
        <v>692</v>
      </c>
      <c r="W6" s="1467">
        <v>302.65244999999999</v>
      </c>
    </row>
    <row r="7" spans="2:23" ht="13.8">
      <c r="B7" s="1466" t="s">
        <v>3290</v>
      </c>
      <c r="C7" s="1467">
        <v>358.90999999999985</v>
      </c>
      <c r="E7" s="1468">
        <v>46208</v>
      </c>
      <c r="F7" s="1467">
        <v>447.78620000000001</v>
      </c>
      <c r="G7" s="641"/>
      <c r="H7"/>
      <c r="I7"/>
      <c r="J7" s="641"/>
      <c r="K7"/>
      <c r="L7"/>
      <c r="M7" s="641"/>
      <c r="N7" s="1469" t="s">
        <v>692</v>
      </c>
      <c r="O7" s="1467">
        <v>302.65244999999999</v>
      </c>
      <c r="P7" s="641"/>
      <c r="Q7" s="1466" t="s">
        <v>179</v>
      </c>
      <c r="R7" s="1467">
        <v>-843.23</v>
      </c>
      <c r="S7" s="1470">
        <v>0.33333333333333331</v>
      </c>
      <c r="T7" s="1467">
        <v>5.5601027241598731</v>
      </c>
      <c r="U7" s="641"/>
      <c r="V7" s="1466" t="s">
        <v>4305</v>
      </c>
      <c r="W7" s="1467">
        <v>288.30999999999995</v>
      </c>
    </row>
    <row r="8" spans="2:23" ht="13.8">
      <c r="B8" s="1466" t="s">
        <v>3819</v>
      </c>
      <c r="C8" s="1467">
        <v>133.67000000000002</v>
      </c>
      <c r="E8" s="1468">
        <v>46209</v>
      </c>
      <c r="F8" s="1467">
        <v>530.38620000000003</v>
      </c>
      <c r="G8" s="641"/>
      <c r="H8"/>
      <c r="I8"/>
      <c r="J8" s="641"/>
      <c r="K8"/>
      <c r="L8"/>
      <c r="M8" s="641"/>
      <c r="N8" s="1469" t="s">
        <v>626</v>
      </c>
      <c r="O8" s="1467">
        <v>966.17275000000018</v>
      </c>
      <c r="P8" s="641"/>
      <c r="Q8" s="1469" t="s">
        <v>3350</v>
      </c>
      <c r="R8" s="1467">
        <v>-533.34</v>
      </c>
      <c r="S8" s="1470">
        <v>0</v>
      </c>
      <c r="T8" s="1467">
        <v>5.3</v>
      </c>
      <c r="U8" s="641"/>
      <c r="V8" s="1466" t="s">
        <v>1736</v>
      </c>
      <c r="W8" s="1467">
        <v>88.024000000000015</v>
      </c>
    </row>
    <row r="9" spans="2:23" ht="13.8">
      <c r="B9" s="1466" t="s">
        <v>3293</v>
      </c>
      <c r="C9" s="1467">
        <v>76.600000000000009</v>
      </c>
      <c r="E9" s="1468">
        <v>46210</v>
      </c>
      <c r="F9" s="1467">
        <v>581.73620000000005</v>
      </c>
      <c r="G9" s="641"/>
      <c r="H9"/>
      <c r="I9"/>
      <c r="J9" s="641"/>
      <c r="K9"/>
      <c r="L9"/>
      <c r="M9" s="641"/>
      <c r="N9" s="1469" t="s">
        <v>3347</v>
      </c>
      <c r="O9" s="1467">
        <v>-6.2999999999999829</v>
      </c>
      <c r="P9" s="641"/>
      <c r="Q9" s="1469" t="s">
        <v>391</v>
      </c>
      <c r="R9" s="1467">
        <v>-309.89</v>
      </c>
      <c r="S9" s="1470">
        <v>0.5</v>
      </c>
      <c r="T9" s="1467">
        <v>5.6901540862398114</v>
      </c>
      <c r="U9" s="641"/>
      <c r="V9" s="1466" t="s">
        <v>13</v>
      </c>
      <c r="W9" s="1467">
        <v>82.90000000000002</v>
      </c>
    </row>
    <row r="10" spans="2:23" ht="13.8">
      <c r="B10" s="1466" t="s">
        <v>314</v>
      </c>
      <c r="C10" s="1467">
        <v>59.400000000000006</v>
      </c>
      <c r="E10" s="1468">
        <v>46211</v>
      </c>
      <c r="F10" s="1467">
        <v>427.96620000000007</v>
      </c>
      <c r="G10" s="641"/>
      <c r="H10"/>
      <c r="I10"/>
      <c r="J10" s="641"/>
      <c r="K10"/>
      <c r="L10"/>
      <c r="M10" s="641"/>
      <c r="N10" s="1469" t="s">
        <v>693</v>
      </c>
      <c r="O10" s="1467">
        <v>344.90035</v>
      </c>
      <c r="P10" s="641"/>
      <c r="Q10" s="1466" t="s">
        <v>314</v>
      </c>
      <c r="R10" s="1467">
        <v>59.400000000000006</v>
      </c>
      <c r="S10" s="1470">
        <v>0.5714285714285714</v>
      </c>
      <c r="T10" s="1467">
        <v>1.8485714285714285</v>
      </c>
      <c r="U10" s="641"/>
      <c r="V10" s="1466" t="s">
        <v>349</v>
      </c>
      <c r="W10" s="1467">
        <v>59.400000000000006</v>
      </c>
    </row>
    <row r="11" spans="2:23" ht="13.8">
      <c r="B11" s="1466" t="s">
        <v>3614</v>
      </c>
      <c r="C11" s="1467">
        <v>6.3999999999999844</v>
      </c>
      <c r="E11" s="1468">
        <v>46212</v>
      </c>
      <c r="F11" s="1467">
        <v>536.34620000000007</v>
      </c>
      <c r="G11" s="641"/>
      <c r="H11"/>
      <c r="I11"/>
      <c r="J11" s="641"/>
      <c r="K11"/>
      <c r="L11"/>
      <c r="M11" s="641"/>
      <c r="N11" s="1469" t="s">
        <v>3214</v>
      </c>
      <c r="O11" s="1467">
        <v>489.20999999999941</v>
      </c>
      <c r="P11" s="641"/>
      <c r="Q11" s="1469" t="s">
        <v>349</v>
      </c>
      <c r="R11" s="1467">
        <v>59.400000000000006</v>
      </c>
      <c r="S11" s="1470">
        <v>0.5714285714285714</v>
      </c>
      <c r="T11" s="1467">
        <v>1.8485714285714285</v>
      </c>
      <c r="U11" s="641"/>
      <c r="V11" s="1466" t="s">
        <v>3523</v>
      </c>
      <c r="W11" s="1467">
        <v>49.19</v>
      </c>
    </row>
    <row r="12" spans="2:23" ht="13.8">
      <c r="B12" s="1466" t="s">
        <v>3585</v>
      </c>
      <c r="C12" s="1467">
        <v>3.5600000000000014</v>
      </c>
      <c r="E12" s="1468">
        <v>46213</v>
      </c>
      <c r="F12" s="1467">
        <v>622.38620000000003</v>
      </c>
      <c r="G12" s="641"/>
      <c r="H12"/>
      <c r="I12"/>
      <c r="J12" s="641"/>
      <c r="K12"/>
      <c r="L12"/>
      <c r="M12" s="641"/>
      <c r="N12" s="1469" t="s">
        <v>3170</v>
      </c>
      <c r="O12" s="1467">
        <v>-100</v>
      </c>
      <c r="P12" s="641"/>
      <c r="Q12" s="1466" t="s">
        <v>267</v>
      </c>
      <c r="R12" s="1467">
        <v>-382.40755000000001</v>
      </c>
      <c r="S12" s="1470">
        <v>0.75</v>
      </c>
      <c r="T12" s="1467">
        <v>10.778593440891402</v>
      </c>
      <c r="U12" s="641"/>
      <c r="V12" s="1466" t="s">
        <v>315</v>
      </c>
      <c r="W12" s="1467">
        <v>47.75</v>
      </c>
    </row>
    <row r="13" spans="2:23" ht="13.8">
      <c r="B13" s="1466" t="s">
        <v>3768</v>
      </c>
      <c r="C13" s="1467">
        <v>-30.89</v>
      </c>
      <c r="E13" s="1468">
        <v>46214</v>
      </c>
      <c r="F13" s="1467">
        <v>686.93619999999999</v>
      </c>
      <c r="G13" s="641"/>
      <c r="H13" s="641"/>
      <c r="I13" s="641"/>
      <c r="J13" s="641"/>
      <c r="K13" s="641"/>
      <c r="L13" s="641"/>
      <c r="M13" s="641"/>
      <c r="N13" s="1469" t="s">
        <v>3171</v>
      </c>
      <c r="O13" s="1467">
        <v>-67.789999999999992</v>
      </c>
      <c r="P13" s="641"/>
      <c r="Q13"/>
      <c r="R13"/>
      <c r="S13"/>
      <c r="T13"/>
      <c r="U13" s="641"/>
      <c r="V13" s="1466" t="s">
        <v>1757</v>
      </c>
      <c r="W13" s="1467">
        <v>47.75</v>
      </c>
    </row>
    <row r="14" spans="2:23" ht="13.8">
      <c r="B14" s="1466" t="s">
        <v>3368</v>
      </c>
      <c r="C14" s="1467">
        <v>-51.85</v>
      </c>
      <c r="E14" s="1468">
        <v>46215</v>
      </c>
      <c r="F14" s="1467">
        <v>1018.5762</v>
      </c>
      <c r="G14" s="641"/>
      <c r="H14" s="641"/>
      <c r="I14" s="641"/>
      <c r="J14" s="641"/>
      <c r="K14" s="641"/>
      <c r="L14" s="641"/>
      <c r="M14" s="641"/>
      <c r="N14" s="1469" t="s">
        <v>2274</v>
      </c>
      <c r="O14" s="1467">
        <v>43.545750000000005</v>
      </c>
      <c r="P14" s="641"/>
      <c r="Q14"/>
      <c r="R14"/>
      <c r="S14"/>
      <c r="T14"/>
      <c r="U14" s="641"/>
      <c r="V14" s="1466" t="s">
        <v>2274</v>
      </c>
      <c r="W14" s="1467">
        <v>43.545750000000005</v>
      </c>
    </row>
    <row r="15" spans="2:23" ht="13.8">
      <c r="B15" s="1466" t="s">
        <v>1646</v>
      </c>
      <c r="C15" s="1467">
        <v>-113.37839999999994</v>
      </c>
      <c r="E15" s="1468">
        <v>46216</v>
      </c>
      <c r="F15" s="1467">
        <v>1074.9061999999999</v>
      </c>
      <c r="G15" s="641"/>
      <c r="H15" s="641"/>
      <c r="I15" s="641"/>
      <c r="J15" s="641"/>
      <c r="K15" s="641"/>
      <c r="L15" s="641"/>
      <c r="M15" s="641"/>
      <c r="N15" s="1469" t="s">
        <v>2534</v>
      </c>
      <c r="O15" s="1467">
        <v>2.9294500000000001</v>
      </c>
      <c r="P15" s="641"/>
      <c r="Q15"/>
      <c r="R15"/>
      <c r="S15"/>
      <c r="T15"/>
      <c r="U15" s="641"/>
      <c r="V15" s="1466" t="s">
        <v>4101</v>
      </c>
      <c r="W15" s="1467">
        <v>37.729999999999997</v>
      </c>
    </row>
    <row r="16" spans="2:23" ht="13.8">
      <c r="B16" s="1466" t="s">
        <v>3213</v>
      </c>
      <c r="C16" s="1467">
        <v>-132.01999999999978</v>
      </c>
      <c r="E16" s="1468">
        <v>46217</v>
      </c>
      <c r="F16" s="1467">
        <v>1126.3162</v>
      </c>
      <c r="G16" s="641"/>
      <c r="H16" s="641"/>
      <c r="I16" s="641"/>
      <c r="J16" s="641"/>
      <c r="K16" s="641"/>
      <c r="L16" s="641"/>
      <c r="M16" s="641"/>
      <c r="N16" s="1469" t="s">
        <v>1735</v>
      </c>
      <c r="O16" s="1467">
        <v>-2</v>
      </c>
      <c r="P16" s="641"/>
      <c r="Q16"/>
      <c r="R16"/>
      <c r="S16"/>
      <c r="T16"/>
      <c r="U16" s="641"/>
      <c r="V16" s="1466" t="s">
        <v>390</v>
      </c>
      <c r="W16" s="1467">
        <v>36.08</v>
      </c>
    </row>
    <row r="17" spans="2:23" ht="13.8">
      <c r="B17" s="1466" t="s">
        <v>3169</v>
      </c>
      <c r="C17" s="1467">
        <v>-167.79</v>
      </c>
      <c r="E17" s="1468">
        <v>46218</v>
      </c>
      <c r="F17" s="1467">
        <v>1094.9861999999998</v>
      </c>
      <c r="G17" s="641"/>
      <c r="H17" s="641"/>
      <c r="I17" s="641"/>
      <c r="J17" s="641"/>
      <c r="K17" s="641"/>
      <c r="L17" s="641"/>
      <c r="M17" s="641"/>
      <c r="N17" s="1469" t="s">
        <v>349</v>
      </c>
      <c r="O17" s="1467">
        <v>59.400000000000006</v>
      </c>
      <c r="P17" s="641"/>
      <c r="Q17"/>
      <c r="R17"/>
      <c r="S17"/>
      <c r="T17"/>
      <c r="U17" s="641"/>
      <c r="V17" s="1466" t="s">
        <v>3743</v>
      </c>
      <c r="W17" s="1467">
        <v>28.3</v>
      </c>
    </row>
    <row r="18" spans="2:23" ht="13.8">
      <c r="B18" s="1466" t="s">
        <v>3535</v>
      </c>
      <c r="C18" s="1467">
        <v>-196.35</v>
      </c>
      <c r="E18" s="1468">
        <v>46219</v>
      </c>
      <c r="F18" s="1467">
        <v>1216.1061999999997</v>
      </c>
      <c r="G18" s="641"/>
      <c r="H18" s="641"/>
      <c r="I18" s="641"/>
      <c r="J18" s="641"/>
      <c r="K18" s="641"/>
      <c r="L18" s="641"/>
      <c r="M18" s="641"/>
      <c r="N18" s="1469" t="s">
        <v>2851</v>
      </c>
      <c r="O18" s="1467">
        <v>3.2367500000000007</v>
      </c>
      <c r="P18" s="641"/>
      <c r="Q18"/>
      <c r="R18"/>
      <c r="S18"/>
      <c r="T18"/>
      <c r="U18" s="641"/>
      <c r="V18" s="1466" t="s">
        <v>3753</v>
      </c>
      <c r="W18" s="1467">
        <v>21.23</v>
      </c>
    </row>
    <row r="19" spans="2:23" ht="13.8">
      <c r="B19" s="1466" t="s">
        <v>3873</v>
      </c>
      <c r="C19" s="1467">
        <v>-208.82</v>
      </c>
      <c r="E19" s="1468">
        <v>46220</v>
      </c>
      <c r="F19" s="1467">
        <v>1516.5406999999996</v>
      </c>
      <c r="G19" s="641"/>
      <c r="H19" s="641"/>
      <c r="I19" s="641"/>
      <c r="J19" s="641"/>
      <c r="K19" s="641"/>
      <c r="L19" s="641"/>
      <c r="M19" s="641"/>
      <c r="N19" s="1469" t="s">
        <v>2334</v>
      </c>
      <c r="O19" s="1467">
        <v>5.22</v>
      </c>
      <c r="P19" s="641"/>
      <c r="Q19"/>
      <c r="R19"/>
      <c r="S19"/>
      <c r="T19"/>
      <c r="U19" s="641"/>
      <c r="V19" s="1466" t="s">
        <v>3522</v>
      </c>
      <c r="W19" s="1467">
        <v>16.360000000000042</v>
      </c>
    </row>
    <row r="20" spans="2:23" ht="13.8">
      <c r="B20" s="1466" t="s">
        <v>3872</v>
      </c>
      <c r="C20" s="1467">
        <v>-209.68</v>
      </c>
      <c r="E20" s="1468">
        <v>46221</v>
      </c>
      <c r="F20" s="1467">
        <v>1310.8406999999995</v>
      </c>
      <c r="H20" s="641"/>
      <c r="I20" s="641"/>
      <c r="K20" s="641"/>
      <c r="N20" s="1469" t="s">
        <v>3781</v>
      </c>
      <c r="O20" s="1467">
        <v>-51.85</v>
      </c>
      <c r="Q20"/>
      <c r="R20"/>
      <c r="S20"/>
      <c r="T20"/>
      <c r="V20" s="1466" t="s">
        <v>1542</v>
      </c>
      <c r="W20" s="1467">
        <v>9.6900000000000084</v>
      </c>
    </row>
    <row r="21" spans="2:23" ht="13.8">
      <c r="B21" s="1466" t="s">
        <v>179</v>
      </c>
      <c r="C21" s="1467">
        <v>-843.23</v>
      </c>
      <c r="E21" s="1468">
        <v>46222</v>
      </c>
      <c r="F21" s="1467">
        <v>1592.5050999999994</v>
      </c>
      <c r="H21" s="641"/>
      <c r="I21" s="641"/>
      <c r="K21" s="641"/>
      <c r="N21" s="1469" t="s">
        <v>390</v>
      </c>
      <c r="O21" s="1467">
        <v>36.08</v>
      </c>
      <c r="Q21"/>
      <c r="R21"/>
      <c r="S21"/>
      <c r="T21"/>
      <c r="V21" s="1466" t="s">
        <v>2334</v>
      </c>
      <c r="W21" s="1467">
        <v>5.22</v>
      </c>
    </row>
    <row r="22" spans="2:23" ht="13.8">
      <c r="B22" s="1466" t="s">
        <v>267</v>
      </c>
      <c r="C22" s="1467">
        <v>540.82715000000121</v>
      </c>
      <c r="E22" s="1468">
        <v>46223</v>
      </c>
      <c r="F22" s="1467">
        <v>1657.8187499999995</v>
      </c>
      <c r="H22" s="641"/>
      <c r="I22" s="641"/>
      <c r="K22" s="641"/>
      <c r="N22" s="1469" t="s">
        <v>1645</v>
      </c>
      <c r="O22" s="1467">
        <v>-10</v>
      </c>
      <c r="Q22"/>
      <c r="R22"/>
      <c r="S22"/>
      <c r="T22"/>
      <c r="V22" s="1466" t="s">
        <v>2851</v>
      </c>
      <c r="W22" s="1467">
        <v>3.2367500000000007</v>
      </c>
    </row>
    <row r="23" spans="2:23" ht="13.8">
      <c r="B23"/>
      <c r="C23"/>
      <c r="E23" s="1468">
        <v>46224</v>
      </c>
      <c r="F23" s="1467">
        <v>1596.9544999999994</v>
      </c>
      <c r="H23" s="641"/>
      <c r="I23" s="641"/>
      <c r="K23" s="641"/>
      <c r="N23" s="1469" t="s">
        <v>2335</v>
      </c>
      <c r="O23" s="1467">
        <v>-4</v>
      </c>
      <c r="Q23"/>
      <c r="R23"/>
      <c r="S23"/>
      <c r="T23"/>
      <c r="V23" s="1466" t="s">
        <v>2534</v>
      </c>
      <c r="W23" s="1467">
        <v>2.9294500000000001</v>
      </c>
    </row>
    <row r="24" spans="2:23" ht="13.8">
      <c r="B24"/>
      <c r="C24"/>
      <c r="E24" s="1468">
        <v>46225</v>
      </c>
      <c r="F24" s="1467">
        <v>1725.3244999999993</v>
      </c>
      <c r="H24" s="641"/>
      <c r="I24" s="641"/>
      <c r="K24" s="641"/>
      <c r="N24" s="1469" t="s">
        <v>1542</v>
      </c>
      <c r="O24" s="1467">
        <v>9.6900000000000084</v>
      </c>
      <c r="Q24"/>
      <c r="R24"/>
      <c r="S24"/>
      <c r="T24"/>
      <c r="V24" s="1466" t="s">
        <v>1698</v>
      </c>
      <c r="W24" s="1467">
        <v>2.7504</v>
      </c>
    </row>
    <row r="25" spans="2:23" ht="13.8">
      <c r="B25"/>
      <c r="C25"/>
      <c r="E25" s="1468">
        <v>46226</v>
      </c>
      <c r="F25" s="1467">
        <v>1257.8044999999993</v>
      </c>
      <c r="H25" s="641"/>
      <c r="I25" s="641"/>
      <c r="K25" s="641"/>
      <c r="N25" s="1469" t="s">
        <v>2917</v>
      </c>
      <c r="O25" s="1467">
        <v>-44.69</v>
      </c>
      <c r="Q25"/>
      <c r="R25"/>
      <c r="S25"/>
      <c r="T25"/>
      <c r="V25" s="1466" t="s">
        <v>3293</v>
      </c>
      <c r="W25" s="1467">
        <v>2.0699999999999998</v>
      </c>
    </row>
    <row r="26" spans="2:23" ht="13.8">
      <c r="B26"/>
      <c r="C26"/>
      <c r="E26" s="1468">
        <v>46227</v>
      </c>
      <c r="F26" s="1467">
        <v>1410.6325499999994</v>
      </c>
      <c r="H26" s="641"/>
      <c r="I26" s="641"/>
      <c r="K26" s="641"/>
      <c r="N26" s="1469" t="s">
        <v>2918</v>
      </c>
      <c r="O26" s="1467">
        <v>0.71</v>
      </c>
      <c r="Q26"/>
      <c r="R26"/>
      <c r="S26"/>
      <c r="T26"/>
      <c r="V26" s="1466" t="s">
        <v>2304</v>
      </c>
      <c r="W26" s="1467">
        <v>2.0099999999999998</v>
      </c>
    </row>
    <row r="27" spans="2:23" ht="13.8">
      <c r="B27"/>
      <c r="C27"/>
      <c r="E27" s="1468">
        <v>46228</v>
      </c>
      <c r="F27" s="1467">
        <v>1086.1525499999993</v>
      </c>
      <c r="H27" s="641"/>
      <c r="I27" s="641"/>
      <c r="K27" s="641"/>
      <c r="N27" s="1469" t="s">
        <v>3743</v>
      </c>
      <c r="O27" s="1467">
        <v>28.3</v>
      </c>
      <c r="Q27"/>
      <c r="R27"/>
      <c r="S27"/>
      <c r="T27"/>
      <c r="V27" s="1466" t="s">
        <v>2918</v>
      </c>
      <c r="W27" s="1467">
        <v>0.71</v>
      </c>
    </row>
    <row r="28" spans="2:23" ht="13.8">
      <c r="B28"/>
      <c r="C28"/>
      <c r="E28" s="1468">
        <v>46229</v>
      </c>
      <c r="F28" s="1467">
        <v>682.97714999999926</v>
      </c>
      <c r="H28" s="641"/>
      <c r="I28" s="641"/>
      <c r="N28" s="1469" t="s">
        <v>4684</v>
      </c>
      <c r="O28" s="1467">
        <v>-19.214749999999995</v>
      </c>
      <c r="Q28"/>
      <c r="R28"/>
      <c r="S28"/>
      <c r="T28"/>
      <c r="V28" s="1466" t="s">
        <v>1735</v>
      </c>
      <c r="W28" s="1467">
        <v>-2</v>
      </c>
    </row>
    <row r="29" spans="2:23" ht="13.8">
      <c r="B29"/>
      <c r="C29"/>
      <c r="E29" s="1468">
        <v>46230</v>
      </c>
      <c r="F29" s="1467">
        <v>680.02714999999921</v>
      </c>
      <c r="H29" s="641"/>
      <c r="I29" s="641"/>
      <c r="N29" s="1469" t="s">
        <v>1695</v>
      </c>
      <c r="O29" s="1467">
        <v>-128.77000000000001</v>
      </c>
      <c r="Q29" s="641"/>
      <c r="R29" s="641"/>
      <c r="S29" s="641"/>
      <c r="T29" s="641"/>
      <c r="V29" s="1466" t="s">
        <v>1771</v>
      </c>
      <c r="W29" s="1467">
        <v>-2</v>
      </c>
    </row>
    <row r="30" spans="2:23" ht="13.8">
      <c r="B30"/>
      <c r="C30"/>
      <c r="E30" s="1468">
        <v>46231</v>
      </c>
      <c r="F30" s="1467">
        <v>734.21714999999926</v>
      </c>
      <c r="H30" s="641"/>
      <c r="I30" s="641"/>
      <c r="N30" s="1469" t="s">
        <v>1539</v>
      </c>
      <c r="O30" s="1467">
        <v>-621.2299999999999</v>
      </c>
      <c r="Q30" s="641"/>
      <c r="R30" s="641"/>
      <c r="S30" s="641"/>
      <c r="T30" s="641"/>
      <c r="V30" s="1466" t="s">
        <v>2335</v>
      </c>
      <c r="W30" s="1467">
        <v>-4</v>
      </c>
    </row>
    <row r="31" spans="2:23" ht="13.8">
      <c r="B31"/>
      <c r="C31"/>
      <c r="E31" s="1468">
        <v>46232</v>
      </c>
      <c r="F31" s="1467">
        <v>684.4271499999993</v>
      </c>
      <c r="H31" s="641"/>
      <c r="I31" s="641"/>
      <c r="N31" s="1469" t="s">
        <v>1698</v>
      </c>
      <c r="O31" s="1467">
        <v>2.7504</v>
      </c>
      <c r="V31" s="1466" t="s">
        <v>3347</v>
      </c>
      <c r="W31" s="1467">
        <v>-6.2999999999999829</v>
      </c>
    </row>
    <row r="32" spans="2:23" ht="13.8">
      <c r="B32"/>
      <c r="C32"/>
      <c r="E32" s="1468">
        <v>46233</v>
      </c>
      <c r="F32" s="1467">
        <v>711.59714999999926</v>
      </c>
      <c r="H32" s="641"/>
      <c r="I32" s="641"/>
      <c r="N32" s="1469" t="s">
        <v>3350</v>
      </c>
      <c r="O32" s="1467">
        <v>-435.7</v>
      </c>
      <c r="V32" s="1466" t="s">
        <v>1645</v>
      </c>
      <c r="W32" s="1467">
        <v>-10</v>
      </c>
    </row>
    <row r="33" spans="5:23" ht="13.2">
      <c r="E33" s="1468">
        <v>46234</v>
      </c>
      <c r="F33" s="1467">
        <v>540.82714999999916</v>
      </c>
      <c r="H33" s="641"/>
      <c r="I33" s="641"/>
      <c r="N33" s="1469" t="s">
        <v>1757</v>
      </c>
      <c r="O33" s="1467">
        <v>47.75</v>
      </c>
      <c r="V33" s="1466" t="s">
        <v>4304</v>
      </c>
      <c r="W33" s="1467">
        <v>-16.180000000000035</v>
      </c>
    </row>
    <row r="34" spans="5:23" ht="13.2">
      <c r="E34" s="1466" t="s">
        <v>267</v>
      </c>
      <c r="F34" s="1467"/>
      <c r="H34" s="641"/>
      <c r="I34" s="641"/>
      <c r="N34" s="1469" t="s">
        <v>410</v>
      </c>
      <c r="O34" s="1467">
        <v>-215.75</v>
      </c>
      <c r="V34" s="1466" t="s">
        <v>4684</v>
      </c>
      <c r="W34" s="1467">
        <v>-19.214749999999995</v>
      </c>
    </row>
    <row r="35" spans="5:23" ht="13.8">
      <c r="E35"/>
      <c r="F35"/>
      <c r="H35" s="641"/>
      <c r="I35" s="641"/>
      <c r="N35" s="1469" t="s">
        <v>315</v>
      </c>
      <c r="O35" s="1467">
        <v>47.75</v>
      </c>
      <c r="V35" s="1466" t="s">
        <v>4106</v>
      </c>
      <c r="W35" s="1467">
        <v>-32.620000000000005</v>
      </c>
    </row>
    <row r="36" spans="5:23" ht="13.8">
      <c r="E36"/>
      <c r="F36"/>
      <c r="N36" s="1469" t="s">
        <v>1771</v>
      </c>
      <c r="O36" s="1467">
        <v>-2</v>
      </c>
      <c r="V36" s="1466" t="s">
        <v>2917</v>
      </c>
      <c r="W36" s="1467">
        <v>-44.69</v>
      </c>
    </row>
    <row r="37" spans="5:23" ht="13.8">
      <c r="E37"/>
      <c r="F37"/>
      <c r="N37" s="1469" t="s">
        <v>4106</v>
      </c>
      <c r="O37" s="1467">
        <v>-32.620000000000005</v>
      </c>
      <c r="V37" s="1466" t="s">
        <v>3781</v>
      </c>
      <c r="W37" s="1467">
        <v>-51.85</v>
      </c>
    </row>
    <row r="38" spans="5:23" ht="13.8">
      <c r="E38"/>
      <c r="F38"/>
      <c r="N38" s="1469" t="s">
        <v>4101</v>
      </c>
      <c r="O38" s="1467">
        <v>37.729999999999997</v>
      </c>
      <c r="V38" s="1466" t="s">
        <v>1753</v>
      </c>
      <c r="W38" s="1467">
        <v>-62.89</v>
      </c>
    </row>
    <row r="39" spans="5:23" ht="13.8">
      <c r="E39"/>
      <c r="F39"/>
      <c r="N39" s="1469" t="s">
        <v>1736</v>
      </c>
      <c r="O39" s="1467">
        <v>88.024000000000015</v>
      </c>
      <c r="V39" s="1466" t="s">
        <v>3171</v>
      </c>
      <c r="W39" s="1467">
        <v>-67.789999999999992</v>
      </c>
    </row>
    <row r="40" spans="5:23" ht="13.8">
      <c r="E40"/>
      <c r="F40"/>
      <c r="N40" s="1469" t="s">
        <v>3753</v>
      </c>
      <c r="O40" s="1467">
        <v>21.23</v>
      </c>
      <c r="V40" s="1466" t="s">
        <v>75</v>
      </c>
      <c r="W40" s="1467">
        <v>-76.100000000000009</v>
      </c>
    </row>
    <row r="41" spans="5:23" ht="13.8">
      <c r="E41"/>
      <c r="F41"/>
      <c r="N41" s="1469" t="s">
        <v>3523</v>
      </c>
      <c r="O41" s="1467">
        <v>49.19</v>
      </c>
      <c r="V41" s="1466" t="s">
        <v>391</v>
      </c>
      <c r="W41" s="1467">
        <v>-94.379999999999967</v>
      </c>
    </row>
    <row r="42" spans="5:23" ht="13.8">
      <c r="E42"/>
      <c r="F42"/>
      <c r="N42" s="1469" t="s">
        <v>1753</v>
      </c>
      <c r="O42" s="1467">
        <v>-62.89</v>
      </c>
      <c r="V42" s="1466" t="s">
        <v>3170</v>
      </c>
      <c r="W42" s="1467">
        <v>-100</v>
      </c>
    </row>
    <row r="43" spans="5:23" ht="13.8">
      <c r="E43"/>
      <c r="F43"/>
      <c r="N43" s="1469" t="s">
        <v>3293</v>
      </c>
      <c r="O43" s="1467">
        <v>2.0699999999999998</v>
      </c>
      <c r="V43" s="1466" t="s">
        <v>1695</v>
      </c>
      <c r="W43" s="1467">
        <v>-128.77000000000001</v>
      </c>
    </row>
    <row r="44" spans="5:23" ht="13.8">
      <c r="E44"/>
      <c r="F44"/>
      <c r="N44" s="1469" t="s">
        <v>3522</v>
      </c>
      <c r="O44" s="1467">
        <v>16.360000000000042</v>
      </c>
      <c r="V44" s="1466" t="s">
        <v>410</v>
      </c>
      <c r="W44" s="1467">
        <v>-215.75</v>
      </c>
    </row>
    <row r="45" spans="5:23" ht="13.8">
      <c r="E45"/>
      <c r="F45"/>
      <c r="N45" s="1469" t="s">
        <v>391</v>
      </c>
      <c r="O45" s="1467">
        <v>-94.379999999999967</v>
      </c>
      <c r="V45" s="1466" t="s">
        <v>3350</v>
      </c>
      <c r="W45" s="1467">
        <v>-435.7</v>
      </c>
    </row>
    <row r="46" spans="5:23" ht="13.8">
      <c r="E46"/>
      <c r="F46"/>
      <c r="N46" s="1469" t="s">
        <v>2304</v>
      </c>
      <c r="O46" s="1467">
        <v>2.0099999999999998</v>
      </c>
      <c r="V46" s="1466" t="s">
        <v>3742</v>
      </c>
      <c r="W46" s="1467">
        <v>-445.83000000000004</v>
      </c>
    </row>
    <row r="47" spans="5:23" ht="13.8">
      <c r="E47"/>
      <c r="F47"/>
      <c r="N47" s="1469" t="s">
        <v>4305</v>
      </c>
      <c r="O47" s="1467">
        <v>288.30999999999995</v>
      </c>
      <c r="V47" s="1466" t="s">
        <v>1539</v>
      </c>
      <c r="W47" s="1467">
        <v>-621.2299999999999</v>
      </c>
    </row>
    <row r="48" spans="5:23" ht="13.8">
      <c r="E48"/>
      <c r="F48"/>
      <c r="N48" s="1469" t="s">
        <v>4304</v>
      </c>
      <c r="O48" s="1467">
        <v>-16.180000000000035</v>
      </c>
      <c r="V48" s="1466" t="s">
        <v>267</v>
      </c>
      <c r="W48" s="1467">
        <v>540.82715000000121</v>
      </c>
    </row>
    <row r="49" spans="5:23" ht="13.8">
      <c r="E49"/>
      <c r="F49"/>
      <c r="N49" s="1466" t="s">
        <v>267</v>
      </c>
      <c r="O49" s="1467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1"/>
      <c r="N226"/>
      <c r="O226"/>
    </row>
    <row r="227" spans="5:15" ht="15" customHeight="1">
      <c r="E227" s="641"/>
      <c r="N227"/>
      <c r="O227"/>
    </row>
    <row r="228" spans="5:15" ht="15" customHeight="1">
      <c r="E228" s="641"/>
      <c r="N228"/>
      <c r="O228"/>
    </row>
    <row r="229" spans="5:15" ht="15" customHeight="1">
      <c r="E229" s="641"/>
      <c r="N229"/>
      <c r="O229"/>
    </row>
    <row r="230" spans="5:15" ht="15" customHeight="1">
      <c r="E230" s="641"/>
      <c r="N230"/>
      <c r="O230"/>
    </row>
    <row r="231" spans="5:15" ht="15" customHeight="1">
      <c r="E231" s="641"/>
      <c r="N231"/>
      <c r="O231"/>
    </row>
    <row r="232" spans="5:15" ht="15" customHeight="1">
      <c r="E232" s="641"/>
      <c r="N232"/>
      <c r="O232"/>
    </row>
    <row r="233" spans="5:15" ht="15" customHeight="1">
      <c r="E233" s="641"/>
      <c r="N233"/>
      <c r="O233"/>
    </row>
    <row r="234" spans="5:15" ht="15" customHeight="1">
      <c r="E234" s="641"/>
      <c r="N234"/>
      <c r="O234"/>
    </row>
    <row r="235" spans="5:15" ht="15" customHeight="1">
      <c r="E235" s="641"/>
      <c r="N235"/>
      <c r="O235"/>
    </row>
    <row r="236" spans="5:15" ht="15" customHeight="1">
      <c r="E236" s="641"/>
      <c r="N236"/>
      <c r="O236"/>
    </row>
    <row r="237" spans="5:15" ht="15" customHeight="1">
      <c r="E237" s="641"/>
      <c r="N237"/>
      <c r="O237"/>
    </row>
    <row r="238" spans="5:15" ht="15" customHeight="1">
      <c r="E238" s="641"/>
      <c r="N238"/>
      <c r="O238"/>
    </row>
    <row r="239" spans="5:15" ht="15" customHeight="1">
      <c r="E239" s="641"/>
      <c r="N239"/>
      <c r="O239"/>
    </row>
    <row r="240" spans="5:15" ht="15" customHeight="1">
      <c r="E240" s="641"/>
      <c r="N240"/>
      <c r="O240"/>
    </row>
    <row r="241" spans="5:15" ht="15" customHeight="1">
      <c r="E241" s="641"/>
      <c r="N241"/>
      <c r="O241"/>
    </row>
    <row r="242" spans="5:15" ht="15" customHeight="1">
      <c r="E242" s="641"/>
      <c r="N242"/>
      <c r="O242"/>
    </row>
    <row r="243" spans="5:15" ht="15" customHeight="1">
      <c r="E243" s="641"/>
      <c r="N243"/>
      <c r="O243"/>
    </row>
    <row r="244" spans="5:15" ht="15" customHeight="1">
      <c r="E244" s="641"/>
      <c r="N244"/>
      <c r="O244"/>
    </row>
    <row r="245" spans="5:15" ht="15" customHeight="1">
      <c r="E245" s="641"/>
      <c r="N245"/>
      <c r="O245"/>
    </row>
    <row r="246" spans="5:15" ht="15" customHeight="1">
      <c r="E246" s="641"/>
      <c r="N246"/>
      <c r="O246"/>
    </row>
    <row r="247" spans="5:15" ht="15" customHeight="1">
      <c r="E247" s="641"/>
    </row>
    <row r="248" spans="5:15" ht="15" customHeight="1">
      <c r="E248" s="641"/>
    </row>
    <row r="249" spans="5:15" ht="15" customHeight="1">
      <c r="E249" s="641"/>
    </row>
    <row r="250" spans="5:15" ht="15" customHeight="1">
      <c r="E250" s="641"/>
    </row>
    <row r="251" spans="5:15" ht="15" customHeight="1">
      <c r="E251" s="641"/>
    </row>
    <row r="252" spans="5:15" ht="15" customHeight="1">
      <c r="E252" s="641"/>
    </row>
    <row r="253" spans="5:15" ht="15" customHeight="1">
      <c r="E253" s="641"/>
    </row>
    <row r="254" spans="5:15" ht="15" customHeight="1">
      <c r="E254" s="641"/>
    </row>
    <row r="255" spans="5:15" ht="15" customHeight="1">
      <c r="E255" s="641"/>
    </row>
    <row r="256" spans="5:15" ht="15" customHeight="1">
      <c r="E256" s="641"/>
    </row>
    <row r="257" spans="5:5" ht="15" customHeight="1">
      <c r="E257" s="641"/>
    </row>
    <row r="258" spans="5:5" ht="15" customHeight="1">
      <c r="E258" s="641"/>
    </row>
    <row r="259" spans="5:5" ht="15" customHeight="1">
      <c r="E259" s="641"/>
    </row>
    <row r="260" spans="5:5" ht="15" customHeight="1">
      <c r="E260" s="641"/>
    </row>
    <row r="261" spans="5:5" ht="15" customHeight="1">
      <c r="E261" s="641"/>
    </row>
    <row r="262" spans="5:5" ht="15" customHeight="1">
      <c r="E262" s="641"/>
    </row>
    <row r="263" spans="5:5" ht="15" customHeight="1">
      <c r="E263" s="641"/>
    </row>
    <row r="264" spans="5:5" ht="15" customHeight="1">
      <c r="E264" s="641"/>
    </row>
    <row r="265" spans="5:5" ht="15" customHeight="1">
      <c r="E265" s="641"/>
    </row>
    <row r="266" spans="5:5" ht="15" customHeight="1">
      <c r="E266" s="641"/>
    </row>
    <row r="267" spans="5:5" ht="15" customHeight="1">
      <c r="E267" s="641"/>
    </row>
    <row r="268" spans="5:5" ht="15" customHeight="1">
      <c r="E268" s="641"/>
    </row>
    <row r="269" spans="5:5" ht="15" customHeight="1">
      <c r="E269" s="641"/>
    </row>
    <row r="270" spans="5:5" ht="15" customHeight="1">
      <c r="E270" s="641"/>
    </row>
    <row r="271" spans="5:5" ht="15" customHeight="1">
      <c r="E271" s="641"/>
    </row>
    <row r="272" spans="5:5" ht="15" customHeight="1">
      <c r="E272" s="641"/>
    </row>
    <row r="273" spans="5:5" ht="15" customHeight="1">
      <c r="E273" s="641"/>
    </row>
    <row r="274" spans="5:5" ht="15" customHeight="1">
      <c r="E274" s="641"/>
    </row>
    <row r="275" spans="5:5" ht="15" customHeight="1">
      <c r="E275" s="641"/>
    </row>
    <row r="276" spans="5:5" ht="15" customHeight="1">
      <c r="E276" s="641"/>
    </row>
    <row r="277" spans="5:5" ht="15" customHeight="1">
      <c r="E277" s="641"/>
    </row>
    <row r="278" spans="5:5" ht="15" customHeight="1">
      <c r="E278" s="641"/>
    </row>
    <row r="279" spans="5:5" ht="15" customHeight="1">
      <c r="E279" s="641"/>
    </row>
    <row r="280" spans="5:5" ht="15" customHeight="1">
      <c r="E280" s="641"/>
    </row>
    <row r="281" spans="5:5" ht="15" customHeight="1">
      <c r="E281" s="641"/>
    </row>
    <row r="282" spans="5:5" ht="15" customHeight="1">
      <c r="E282" s="641"/>
    </row>
    <row r="283" spans="5:5" ht="15" customHeight="1">
      <c r="E283" s="641"/>
    </row>
    <row r="284" spans="5:5" ht="15" customHeight="1">
      <c r="E284" s="641"/>
    </row>
    <row r="285" spans="5:5" ht="15" customHeight="1">
      <c r="E285" s="641"/>
    </row>
    <row r="286" spans="5:5" ht="15" customHeight="1">
      <c r="E286" s="641"/>
    </row>
    <row r="287" spans="5:5" ht="15" customHeight="1">
      <c r="E287" s="641"/>
    </row>
    <row r="288" spans="5:5" ht="15" customHeight="1">
      <c r="E288" s="641"/>
    </row>
    <row r="289" spans="5:5" ht="15" customHeight="1">
      <c r="E289" s="641"/>
    </row>
    <row r="290" spans="5:5" ht="15" customHeight="1">
      <c r="E290" s="641"/>
    </row>
    <row r="291" spans="5:5" ht="15" customHeight="1">
      <c r="E291" s="641"/>
    </row>
    <row r="292" spans="5:5" ht="15" customHeight="1">
      <c r="E292" s="641"/>
    </row>
    <row r="293" spans="5:5" ht="15" customHeight="1">
      <c r="E293" s="641"/>
    </row>
    <row r="294" spans="5:5" ht="15" customHeight="1">
      <c r="E294" s="641"/>
    </row>
    <row r="295" spans="5:5" ht="15" customHeight="1">
      <c r="E295" s="641"/>
    </row>
    <row r="296" spans="5:5" ht="15" customHeight="1">
      <c r="E296" s="641"/>
    </row>
    <row r="297" spans="5:5" ht="15" customHeight="1">
      <c r="E297" s="641"/>
    </row>
    <row r="298" spans="5:5" ht="15" customHeight="1">
      <c r="E298" s="641"/>
    </row>
    <row r="299" spans="5:5" ht="15" customHeight="1">
      <c r="E299" s="641"/>
    </row>
    <row r="300" spans="5:5" ht="15" customHeight="1">
      <c r="E300" s="641"/>
    </row>
    <row r="301" spans="5:5" ht="15" customHeight="1">
      <c r="E301" s="641"/>
    </row>
    <row r="302" spans="5:5" ht="15" customHeight="1">
      <c r="E302" s="641"/>
    </row>
    <row r="303" spans="5:5" ht="15" customHeight="1">
      <c r="E303" s="641"/>
    </row>
    <row r="304" spans="5:5" ht="15" customHeight="1">
      <c r="E304" s="641"/>
    </row>
    <row r="305" spans="5:5" ht="15" customHeight="1">
      <c r="E305" s="641"/>
    </row>
    <row r="306" spans="5:5" ht="15" customHeight="1">
      <c r="E306" s="641"/>
    </row>
    <row r="307" spans="5:5" ht="15" customHeight="1">
      <c r="E307" s="641"/>
    </row>
    <row r="308" spans="5:5" ht="15" customHeight="1">
      <c r="E308" s="641"/>
    </row>
    <row r="309" spans="5:5" ht="15" customHeight="1">
      <c r="E309" s="641"/>
    </row>
    <row r="310" spans="5:5" ht="15" customHeight="1">
      <c r="E310" s="641"/>
    </row>
    <row r="311" spans="5:5" ht="15" customHeight="1">
      <c r="E311" s="641"/>
    </row>
    <row r="312" spans="5:5" ht="15" customHeight="1">
      <c r="E312" s="641"/>
    </row>
    <row r="313" spans="5:5" ht="15" customHeight="1">
      <c r="E313" s="641"/>
    </row>
    <row r="314" spans="5:5" ht="15" customHeight="1">
      <c r="E314" s="641"/>
    </row>
    <row r="315" spans="5:5" ht="15" customHeight="1">
      <c r="E315" s="641"/>
    </row>
    <row r="316" spans="5:5" ht="15" customHeight="1">
      <c r="E316" s="641"/>
    </row>
    <row r="317" spans="5:5" ht="15" customHeight="1">
      <c r="E317" s="641"/>
    </row>
    <row r="318" spans="5:5" ht="15" customHeight="1">
      <c r="E318" s="641"/>
    </row>
    <row r="319" spans="5:5" ht="15" customHeight="1">
      <c r="E319" s="641"/>
    </row>
    <row r="320" spans="5:5" ht="15" customHeight="1">
      <c r="E320" s="641"/>
    </row>
    <row r="321" spans="5:5" ht="15" customHeight="1">
      <c r="E321" s="641"/>
    </row>
    <row r="322" spans="5:5" ht="15" customHeight="1">
      <c r="E322" s="641"/>
    </row>
    <row r="323" spans="5:5" ht="15" customHeight="1">
      <c r="E323" s="641"/>
    </row>
    <row r="324" spans="5:5" ht="15" customHeight="1">
      <c r="E324" s="641"/>
    </row>
    <row r="325" spans="5:5" ht="15" customHeight="1">
      <c r="E325" s="641"/>
    </row>
    <row r="326" spans="5:5" ht="15" customHeight="1">
      <c r="E326" s="641"/>
    </row>
    <row r="327" spans="5:5" ht="15" customHeight="1">
      <c r="E327" s="641"/>
    </row>
    <row r="328" spans="5:5" ht="15" customHeight="1">
      <c r="E328" s="641"/>
    </row>
    <row r="329" spans="5:5" ht="15" customHeight="1">
      <c r="E329" s="641"/>
    </row>
    <row r="330" spans="5:5" ht="15" customHeight="1">
      <c r="E330" s="641"/>
    </row>
    <row r="331" spans="5:5" ht="15" customHeight="1">
      <c r="E331" s="641"/>
    </row>
    <row r="332" spans="5:5" ht="15" customHeight="1">
      <c r="E332" s="641"/>
    </row>
    <row r="333" spans="5:5" ht="15" customHeight="1">
      <c r="E333" s="641"/>
    </row>
    <row r="334" spans="5:5" ht="15" customHeight="1">
      <c r="E334" s="641"/>
    </row>
    <row r="335" spans="5:5" ht="15" customHeight="1">
      <c r="E335" s="641"/>
    </row>
    <row r="336" spans="5:5" ht="15" customHeight="1">
      <c r="E336" s="641"/>
    </row>
    <row r="337" spans="5:5" ht="15" customHeight="1">
      <c r="E337" s="641"/>
    </row>
    <row r="338" spans="5:5" ht="15" customHeight="1">
      <c r="E338" s="641"/>
    </row>
    <row r="339" spans="5:5" ht="15" customHeight="1">
      <c r="E339" s="641"/>
    </row>
    <row r="340" spans="5:5" ht="15" customHeight="1">
      <c r="E340" s="641"/>
    </row>
    <row r="341" spans="5:5" ht="15" customHeight="1">
      <c r="E341" s="641"/>
    </row>
    <row r="342" spans="5:5" ht="15" customHeight="1">
      <c r="E342" s="641"/>
    </row>
    <row r="343" spans="5:5" ht="15" customHeight="1">
      <c r="E343" s="641"/>
    </row>
    <row r="344" spans="5:5" ht="15" customHeight="1">
      <c r="E344" s="641"/>
    </row>
    <row r="345" spans="5:5" ht="15" customHeight="1">
      <c r="E345" s="641"/>
    </row>
    <row r="346" spans="5:5" ht="15" customHeight="1">
      <c r="E346" s="641"/>
    </row>
    <row r="347" spans="5:5" ht="15" customHeight="1">
      <c r="E347" s="641"/>
    </row>
    <row r="348" spans="5:5" ht="15" customHeight="1">
      <c r="E348" s="641"/>
    </row>
    <row r="349" spans="5:5" ht="15" customHeight="1">
      <c r="E349" s="641"/>
    </row>
    <row r="350" spans="5:5" ht="15" customHeight="1">
      <c r="E350" s="641"/>
    </row>
    <row r="351" spans="5:5" ht="15" customHeight="1">
      <c r="E351" s="641"/>
    </row>
    <row r="352" spans="5:5" ht="15" customHeight="1">
      <c r="E352" s="641"/>
    </row>
    <row r="353" spans="5:5" ht="15" customHeight="1">
      <c r="E353" s="641"/>
    </row>
    <row r="354" spans="5:5" ht="15" customHeight="1">
      <c r="E354" s="641"/>
    </row>
    <row r="355" spans="5:5" ht="15" customHeight="1">
      <c r="E355" s="641"/>
    </row>
    <row r="356" spans="5:5" ht="15" customHeight="1">
      <c r="E356" s="641"/>
    </row>
    <row r="357" spans="5:5" ht="15" customHeight="1">
      <c r="E357" s="641"/>
    </row>
    <row r="358" spans="5:5" ht="15" customHeight="1">
      <c r="E358" s="641"/>
    </row>
    <row r="359" spans="5:5" ht="15" customHeight="1">
      <c r="E359" s="641"/>
    </row>
    <row r="360" spans="5:5" ht="15" customHeight="1">
      <c r="E360" s="641"/>
    </row>
    <row r="361" spans="5:5" ht="15" customHeight="1">
      <c r="E361" s="641"/>
    </row>
    <row r="362" spans="5:5" ht="15" customHeight="1">
      <c r="E362" s="641"/>
    </row>
    <row r="363" spans="5:5" ht="15" customHeight="1">
      <c r="E363" s="641"/>
    </row>
    <row r="364" spans="5:5" ht="15" customHeight="1">
      <c r="E364" s="641"/>
    </row>
    <row r="365" spans="5:5" ht="15" customHeight="1">
      <c r="E365" s="641"/>
    </row>
    <row r="366" spans="5:5" ht="15" customHeight="1">
      <c r="E366" s="641"/>
    </row>
    <row r="367" spans="5:5" ht="15" customHeight="1">
      <c r="E367" s="641"/>
    </row>
    <row r="368" spans="5:5" ht="15" customHeight="1">
      <c r="E368" s="641"/>
    </row>
    <row r="369" spans="5:5" ht="15" customHeight="1">
      <c r="E369" s="641"/>
    </row>
    <row r="370" spans="5:5" ht="15" customHeight="1">
      <c r="E370" s="641"/>
    </row>
    <row r="371" spans="5:5" ht="15" customHeight="1">
      <c r="E371" s="641"/>
    </row>
    <row r="372" spans="5:5" ht="15" customHeight="1">
      <c r="E372" s="641"/>
    </row>
    <row r="373" spans="5:5" ht="15" customHeight="1">
      <c r="E373" s="641"/>
    </row>
    <row r="374" spans="5:5" ht="15" customHeight="1">
      <c r="E374" s="641"/>
    </row>
    <row r="375" spans="5:5" ht="15" customHeight="1">
      <c r="E375" s="641"/>
    </row>
    <row r="376" spans="5:5" ht="15" customHeight="1">
      <c r="E376" s="641"/>
    </row>
    <row r="377" spans="5:5" ht="15" customHeight="1">
      <c r="E377" s="641"/>
    </row>
    <row r="378" spans="5:5" ht="15" customHeight="1">
      <c r="E378" s="641"/>
    </row>
    <row r="379" spans="5:5" ht="15" customHeight="1">
      <c r="E379" s="641"/>
    </row>
    <row r="380" spans="5:5" ht="15" customHeight="1">
      <c r="E380" s="641"/>
    </row>
    <row r="381" spans="5:5" ht="15" customHeight="1">
      <c r="E381" s="641"/>
    </row>
    <row r="382" spans="5:5" ht="15" customHeight="1">
      <c r="E382" s="641"/>
    </row>
    <row r="383" spans="5:5" ht="15" customHeight="1">
      <c r="E383" s="641"/>
    </row>
    <row r="384" spans="5:5" ht="15" customHeight="1">
      <c r="E384" s="641"/>
    </row>
    <row r="385" spans="5:5" ht="15" customHeight="1">
      <c r="E385" s="641"/>
    </row>
    <row r="386" spans="5:5" ht="15" customHeight="1">
      <c r="E386" s="641"/>
    </row>
    <row r="387" spans="5:5" ht="15" customHeight="1">
      <c r="E387" s="641"/>
    </row>
    <row r="388" spans="5:5" ht="15" customHeight="1">
      <c r="E388" s="641"/>
    </row>
    <row r="389" spans="5:5" ht="15" customHeight="1">
      <c r="E389" s="641"/>
    </row>
    <row r="390" spans="5:5" ht="15" customHeight="1">
      <c r="E390" s="641"/>
    </row>
    <row r="391" spans="5:5" ht="15" customHeight="1">
      <c r="E391" s="641"/>
    </row>
    <row r="392" spans="5:5" ht="15" customHeight="1">
      <c r="E392" s="641"/>
    </row>
    <row r="393" spans="5:5" ht="15" customHeight="1">
      <c r="E393" s="641"/>
    </row>
    <row r="394" spans="5:5" ht="15" customHeight="1">
      <c r="E394" s="641"/>
    </row>
    <row r="395" spans="5:5" ht="15" customHeight="1">
      <c r="E395" s="641"/>
    </row>
    <row r="396" spans="5:5" ht="15" customHeight="1">
      <c r="E396" s="641"/>
    </row>
    <row r="397" spans="5:5" ht="15" customHeight="1">
      <c r="E397" s="641"/>
    </row>
    <row r="398" spans="5:5" ht="15" customHeight="1">
      <c r="E398" s="641"/>
    </row>
    <row r="399" spans="5:5" ht="15" customHeight="1">
      <c r="E399" s="641"/>
    </row>
    <row r="400" spans="5:5" ht="15" customHeight="1">
      <c r="E400" s="641"/>
    </row>
    <row r="401" spans="5:5" ht="15" customHeight="1">
      <c r="E401" s="641"/>
    </row>
    <row r="402" spans="5:5" ht="15" customHeight="1">
      <c r="E402" s="641"/>
    </row>
    <row r="403" spans="5:5" ht="15" customHeight="1">
      <c r="E403" s="641"/>
    </row>
    <row r="404" spans="5:5" ht="15" customHeight="1">
      <c r="E404" s="641"/>
    </row>
    <row r="405" spans="5:5" ht="15" customHeight="1">
      <c r="E405" s="641"/>
    </row>
    <row r="406" spans="5:5" ht="15" customHeight="1">
      <c r="E406" s="641"/>
    </row>
    <row r="407" spans="5:5" ht="15" customHeight="1">
      <c r="E407" s="641"/>
    </row>
    <row r="408" spans="5:5" ht="15" customHeight="1">
      <c r="E408" s="641"/>
    </row>
    <row r="409" spans="5:5" ht="15" customHeight="1">
      <c r="E409" s="641"/>
    </row>
    <row r="410" spans="5:5" ht="15" customHeight="1">
      <c r="E410" s="641"/>
    </row>
    <row r="411" spans="5:5" ht="15" customHeight="1">
      <c r="E411" s="641"/>
    </row>
    <row r="412" spans="5:5" ht="15" customHeight="1">
      <c r="E412" s="641"/>
    </row>
    <row r="413" spans="5:5" ht="15" customHeight="1">
      <c r="E413" s="641"/>
    </row>
    <row r="414" spans="5:5" ht="15" customHeight="1">
      <c r="E414" s="641"/>
    </row>
    <row r="415" spans="5:5" ht="15" customHeight="1">
      <c r="E415" s="641"/>
    </row>
    <row r="416" spans="5:5" ht="15" customHeight="1">
      <c r="E416" s="641"/>
    </row>
    <row r="417" spans="5:5" ht="15" customHeight="1">
      <c r="E417" s="641"/>
    </row>
    <row r="418" spans="5:5" ht="15" customHeight="1">
      <c r="E418" s="641"/>
    </row>
    <row r="419" spans="5:5" ht="15" customHeight="1">
      <c r="E419" s="641"/>
    </row>
    <row r="420" spans="5:5" ht="15" customHeight="1">
      <c r="E420" s="641"/>
    </row>
    <row r="421" spans="5:5" ht="15" customHeight="1">
      <c r="E421" s="641"/>
    </row>
    <row r="422" spans="5:5" ht="15" customHeight="1">
      <c r="E422" s="641"/>
    </row>
    <row r="423" spans="5:5" ht="15" customHeight="1">
      <c r="E423" s="641"/>
    </row>
    <row r="424" spans="5:5" ht="15" customHeight="1">
      <c r="E424" s="641"/>
    </row>
    <row r="425" spans="5:5" ht="15" customHeight="1">
      <c r="E425" s="641"/>
    </row>
    <row r="426" spans="5:5" ht="15" customHeight="1">
      <c r="E426" s="641"/>
    </row>
    <row r="427" spans="5:5" ht="15" customHeight="1">
      <c r="E427" s="641"/>
    </row>
    <row r="428" spans="5:5" ht="15" customHeight="1">
      <c r="E428" s="641"/>
    </row>
    <row r="429" spans="5:5" ht="15" customHeight="1">
      <c r="E429" s="641"/>
    </row>
    <row r="430" spans="5:5" ht="15" customHeight="1">
      <c r="E430" s="641"/>
    </row>
    <row r="431" spans="5:5" ht="15" customHeight="1">
      <c r="E431" s="641"/>
    </row>
    <row r="432" spans="5:5" ht="15" customHeight="1">
      <c r="E432" s="641"/>
    </row>
    <row r="433" spans="5:5" ht="15" customHeight="1">
      <c r="E433" s="641"/>
    </row>
    <row r="434" spans="5:5" ht="15" customHeight="1">
      <c r="E434" s="641"/>
    </row>
    <row r="435" spans="5:5" ht="15" customHeight="1">
      <c r="E435" s="641"/>
    </row>
    <row r="436" spans="5:5" ht="15" customHeight="1">
      <c r="E436" s="641"/>
    </row>
    <row r="437" spans="5:5" ht="15" customHeight="1">
      <c r="E437" s="641"/>
    </row>
    <row r="438" spans="5:5" ht="15" customHeight="1">
      <c r="E438" s="641"/>
    </row>
    <row r="439" spans="5:5" ht="15" customHeight="1">
      <c r="E439" s="641"/>
    </row>
    <row r="440" spans="5:5" ht="15" customHeight="1">
      <c r="E440" s="641"/>
    </row>
    <row r="441" spans="5:5" ht="15" customHeight="1">
      <c r="E441" s="641"/>
    </row>
    <row r="442" spans="5:5" ht="15" customHeight="1">
      <c r="E442" s="641"/>
    </row>
    <row r="443" spans="5:5" ht="15" customHeight="1">
      <c r="E443" s="641"/>
    </row>
    <row r="444" spans="5:5" ht="15" customHeight="1">
      <c r="E444" s="641"/>
    </row>
    <row r="445" spans="5:5" ht="15" customHeight="1">
      <c r="E445" s="641"/>
    </row>
    <row r="446" spans="5:5" ht="15" customHeight="1">
      <c r="E446" s="641"/>
    </row>
    <row r="447" spans="5:5" ht="15" customHeight="1">
      <c r="E447" s="641"/>
    </row>
    <row r="448" spans="5:5" ht="15" customHeight="1">
      <c r="E448" s="641"/>
    </row>
    <row r="449" spans="5:5" ht="15" customHeight="1">
      <c r="E449" s="641"/>
    </row>
    <row r="450" spans="5:5" ht="15" customHeight="1">
      <c r="E450" s="641"/>
    </row>
    <row r="451" spans="5:5" ht="15" customHeight="1">
      <c r="E451" s="641"/>
    </row>
    <row r="452" spans="5:5" ht="15" customHeight="1">
      <c r="E452" s="641"/>
    </row>
    <row r="453" spans="5:5" ht="15" customHeight="1">
      <c r="E453" s="641"/>
    </row>
    <row r="454" spans="5:5" ht="15" customHeight="1">
      <c r="E454" s="641"/>
    </row>
    <row r="455" spans="5:5" ht="15" customHeight="1">
      <c r="E455" s="641"/>
    </row>
    <row r="456" spans="5:5" ht="15" customHeight="1">
      <c r="E456" s="641"/>
    </row>
    <row r="457" spans="5:5" ht="15" customHeight="1">
      <c r="E457" s="641"/>
    </row>
    <row r="458" spans="5:5" ht="15" customHeight="1">
      <c r="E458" s="641"/>
    </row>
    <row r="459" spans="5:5" ht="15" customHeight="1">
      <c r="E459" s="641"/>
    </row>
    <row r="460" spans="5:5" ht="15" customHeight="1">
      <c r="E460" s="641"/>
    </row>
    <row r="461" spans="5:5" ht="15" customHeight="1">
      <c r="E461" s="641"/>
    </row>
    <row r="462" spans="5:5" ht="15" customHeight="1">
      <c r="E462" s="641"/>
    </row>
    <row r="463" spans="5:5" ht="15" customHeight="1">
      <c r="E463" s="641"/>
    </row>
    <row r="464" spans="5:5" ht="15" customHeight="1">
      <c r="E464" s="641"/>
    </row>
    <row r="465" spans="5:5" ht="15" customHeight="1">
      <c r="E465" s="641"/>
    </row>
    <row r="466" spans="5:5" ht="15" customHeight="1">
      <c r="E466" s="641"/>
    </row>
    <row r="467" spans="5:5" ht="15" customHeight="1">
      <c r="E467" s="641"/>
    </row>
    <row r="468" spans="5:5" ht="15" customHeight="1">
      <c r="E468" s="641"/>
    </row>
    <row r="469" spans="5:5" ht="15" customHeight="1">
      <c r="E469" s="641"/>
    </row>
    <row r="470" spans="5:5" ht="15" customHeight="1">
      <c r="E470" s="641"/>
    </row>
    <row r="471" spans="5:5" ht="15" customHeight="1">
      <c r="E471" s="641"/>
    </row>
    <row r="472" spans="5:5" ht="15" customHeight="1">
      <c r="E472" s="641"/>
    </row>
    <row r="473" spans="5:5" ht="15" customHeight="1">
      <c r="E473" s="641"/>
    </row>
    <row r="474" spans="5:5" ht="15" customHeight="1">
      <c r="E474" s="641"/>
    </row>
    <row r="475" spans="5:5" ht="15" customHeight="1">
      <c r="E475" s="641"/>
    </row>
    <row r="476" spans="5:5" ht="15" customHeight="1">
      <c r="E476" s="641"/>
    </row>
    <row r="477" spans="5:5" ht="15" customHeight="1">
      <c r="E477" s="641"/>
    </row>
    <row r="478" spans="5:5" ht="15" customHeight="1">
      <c r="E478" s="641"/>
    </row>
    <row r="479" spans="5:5" ht="15" customHeight="1">
      <c r="E479" s="641"/>
    </row>
    <row r="480" spans="5:5" ht="15" customHeight="1">
      <c r="E480" s="641"/>
    </row>
    <row r="481" spans="5:5" ht="15" customHeight="1">
      <c r="E481" s="641"/>
    </row>
    <row r="482" spans="5:5" ht="15" customHeight="1">
      <c r="E482" s="641"/>
    </row>
    <row r="483" spans="5:5" ht="15" customHeight="1">
      <c r="E483" s="641"/>
    </row>
    <row r="484" spans="5:5" ht="15" customHeight="1">
      <c r="E484" s="641"/>
    </row>
    <row r="485" spans="5:5" ht="15" customHeight="1">
      <c r="E485" s="641"/>
    </row>
    <row r="486" spans="5:5" ht="15" customHeight="1">
      <c r="E486" s="641"/>
    </row>
    <row r="487" spans="5:5" ht="15" customHeight="1">
      <c r="E487" s="641"/>
    </row>
    <row r="488" spans="5:5" ht="15" customHeight="1">
      <c r="E488" s="641"/>
    </row>
    <row r="489" spans="5:5" ht="15" customHeight="1">
      <c r="E489" s="641"/>
    </row>
    <row r="490" spans="5:5" ht="15" customHeight="1">
      <c r="E490" s="641"/>
    </row>
    <row r="491" spans="5:5" ht="15" customHeight="1">
      <c r="E491" s="641"/>
    </row>
    <row r="492" spans="5:5" ht="15" customHeight="1">
      <c r="E492" s="641"/>
    </row>
    <row r="493" spans="5:5" ht="15" customHeight="1">
      <c r="E493" s="641"/>
    </row>
    <row r="494" spans="5:5" ht="15" customHeight="1">
      <c r="E494" s="641"/>
    </row>
    <row r="495" spans="5:5" ht="15" customHeight="1">
      <c r="E495" s="641"/>
    </row>
    <row r="496" spans="5:5" ht="15" customHeight="1">
      <c r="E496" s="641"/>
    </row>
    <row r="497" spans="5:5" ht="15" customHeight="1">
      <c r="E497" s="641"/>
    </row>
    <row r="498" spans="5:5" ht="15" customHeight="1">
      <c r="E498" s="641"/>
    </row>
    <row r="499" spans="5:5" ht="15" customHeight="1">
      <c r="E499" s="641"/>
    </row>
    <row r="500" spans="5:5" ht="15" customHeight="1">
      <c r="E500" s="641"/>
    </row>
    <row r="501" spans="5:5" ht="15" customHeight="1">
      <c r="E501" s="641"/>
    </row>
    <row r="502" spans="5:5" ht="15" customHeight="1">
      <c r="E502" s="641"/>
    </row>
    <row r="503" spans="5:5" ht="15" customHeight="1">
      <c r="E503" s="641"/>
    </row>
    <row r="504" spans="5:5" ht="15" customHeight="1">
      <c r="E504" s="641"/>
    </row>
    <row r="505" spans="5:5" ht="15" customHeight="1">
      <c r="E505" s="641"/>
    </row>
    <row r="506" spans="5:5" ht="15" customHeight="1">
      <c r="E506" s="641"/>
    </row>
    <row r="507" spans="5:5" ht="15" customHeight="1">
      <c r="E507" s="641"/>
    </row>
    <row r="508" spans="5:5" ht="15" customHeight="1">
      <c r="E508" s="641"/>
    </row>
    <row r="509" spans="5:5" ht="15" customHeight="1">
      <c r="E509" s="641"/>
    </row>
    <row r="510" spans="5:5" ht="15" customHeight="1">
      <c r="E510" s="641"/>
    </row>
    <row r="511" spans="5:5" ht="15" customHeight="1">
      <c r="E511" s="641"/>
    </row>
    <row r="512" spans="5:5" ht="15" customHeight="1">
      <c r="E512" s="641"/>
    </row>
    <row r="513" spans="5:5" ht="15" customHeight="1">
      <c r="E513" s="641"/>
    </row>
    <row r="514" spans="5:5" ht="15" customHeight="1">
      <c r="E514" s="641"/>
    </row>
    <row r="515" spans="5:5" ht="15" customHeight="1">
      <c r="E515" s="641"/>
    </row>
    <row r="516" spans="5:5" ht="15" customHeight="1">
      <c r="E516" s="641"/>
    </row>
    <row r="517" spans="5:5" ht="15" customHeight="1">
      <c r="E517" s="641"/>
    </row>
    <row r="518" spans="5:5" ht="15" customHeight="1">
      <c r="E518" s="641"/>
    </row>
    <row r="519" spans="5:5" ht="15" customHeight="1">
      <c r="E519" s="641"/>
    </row>
    <row r="520" spans="5:5" ht="15" customHeight="1">
      <c r="E520" s="641"/>
    </row>
    <row r="521" spans="5:5" ht="15" customHeight="1">
      <c r="E521" s="641"/>
    </row>
    <row r="522" spans="5:5" ht="15" customHeight="1">
      <c r="E522" s="641"/>
    </row>
    <row r="523" spans="5:5" ht="15" customHeight="1">
      <c r="E523" s="641"/>
    </row>
    <row r="524" spans="5:5" ht="15" customHeight="1">
      <c r="E524" s="641"/>
    </row>
    <row r="525" spans="5:5" ht="15" customHeight="1">
      <c r="E525" s="641"/>
    </row>
    <row r="526" spans="5:5" ht="15" customHeight="1">
      <c r="E526" s="641"/>
    </row>
    <row r="527" spans="5:5" ht="15" customHeight="1">
      <c r="E527" s="641"/>
    </row>
    <row r="528" spans="5:5" ht="15" customHeight="1">
      <c r="E528" s="641"/>
    </row>
    <row r="529" spans="5:5" ht="15" customHeight="1">
      <c r="E529" s="641"/>
    </row>
    <row r="530" spans="5:5" ht="15" customHeight="1">
      <c r="E530" s="641"/>
    </row>
    <row r="531" spans="5:5" ht="15" customHeight="1">
      <c r="E531" s="641"/>
    </row>
    <row r="532" spans="5:5" ht="15" customHeight="1">
      <c r="E532" s="641"/>
    </row>
    <row r="533" spans="5:5" ht="15" customHeight="1">
      <c r="E533" s="641"/>
    </row>
    <row r="534" spans="5:5" ht="15" customHeight="1">
      <c r="E534" s="641"/>
    </row>
    <row r="535" spans="5:5" ht="15" customHeight="1">
      <c r="E535" s="641"/>
    </row>
    <row r="536" spans="5:5" ht="15" customHeight="1">
      <c r="E536" s="641"/>
    </row>
    <row r="537" spans="5:5" ht="15" customHeight="1">
      <c r="E537" s="641"/>
    </row>
    <row r="538" spans="5:5" ht="15" customHeight="1">
      <c r="E538" s="641"/>
    </row>
    <row r="539" spans="5:5" ht="15" customHeight="1">
      <c r="E539" s="641"/>
    </row>
    <row r="540" spans="5:5" ht="15" customHeight="1">
      <c r="E540" s="641"/>
    </row>
    <row r="541" spans="5:5" ht="15" customHeight="1">
      <c r="E541" s="641"/>
    </row>
    <row r="542" spans="5:5" ht="15" customHeight="1">
      <c r="E542" s="641"/>
    </row>
    <row r="543" spans="5:5" ht="15" customHeight="1">
      <c r="E543" s="641"/>
    </row>
    <row r="544" spans="5:5" ht="15" customHeight="1">
      <c r="E544" s="641"/>
    </row>
    <row r="545" spans="5:5" ht="15" customHeight="1">
      <c r="E545" s="641"/>
    </row>
    <row r="546" spans="5:5" ht="15" customHeight="1">
      <c r="E546" s="641"/>
    </row>
    <row r="547" spans="5:5" ht="15" customHeight="1">
      <c r="E547" s="641"/>
    </row>
    <row r="548" spans="5:5" ht="15" customHeight="1">
      <c r="E548" s="641"/>
    </row>
    <row r="549" spans="5:5" ht="15" customHeight="1">
      <c r="E549" s="641"/>
    </row>
    <row r="550" spans="5:5" ht="15" customHeight="1">
      <c r="E550" s="641"/>
    </row>
    <row r="551" spans="5:5" ht="15" customHeight="1">
      <c r="E551" s="641"/>
    </row>
    <row r="552" spans="5:5" ht="15" customHeight="1">
      <c r="E552" s="641"/>
    </row>
    <row r="553" spans="5:5" ht="15" customHeight="1">
      <c r="E553" s="641"/>
    </row>
    <row r="554" spans="5:5" ht="15" customHeight="1">
      <c r="E554" s="641"/>
    </row>
    <row r="555" spans="5:5" ht="15" customHeight="1">
      <c r="E555" s="641"/>
    </row>
    <row r="556" spans="5:5" ht="15" customHeight="1">
      <c r="E556" s="641"/>
    </row>
    <row r="557" spans="5:5" ht="15" customHeight="1">
      <c r="E557" s="641"/>
    </row>
    <row r="558" spans="5:5" ht="15" customHeight="1">
      <c r="E558" s="641"/>
    </row>
    <row r="559" spans="5:5" ht="15" customHeight="1">
      <c r="E559" s="641"/>
    </row>
    <row r="560" spans="5:5" ht="15" customHeight="1">
      <c r="E560" s="641"/>
    </row>
    <row r="561" spans="5:5" ht="15" customHeight="1">
      <c r="E561" s="641"/>
    </row>
    <row r="562" spans="5:5" ht="15" customHeight="1">
      <c r="E562" s="641"/>
    </row>
    <row r="563" spans="5:5" ht="15" customHeight="1">
      <c r="E563" s="641"/>
    </row>
    <row r="564" spans="5:5" ht="15" customHeight="1">
      <c r="E564" s="641"/>
    </row>
    <row r="565" spans="5:5" ht="15" customHeight="1">
      <c r="E565" s="641"/>
    </row>
    <row r="566" spans="5:5" ht="15" customHeight="1">
      <c r="E566" s="641"/>
    </row>
    <row r="567" spans="5:5" ht="15" customHeight="1">
      <c r="E567" s="641"/>
    </row>
    <row r="568" spans="5:5" ht="15" customHeight="1">
      <c r="E568" s="641"/>
    </row>
    <row r="569" spans="5:5" ht="15" customHeight="1">
      <c r="E569" s="641"/>
    </row>
    <row r="570" spans="5:5" ht="15" customHeight="1">
      <c r="E570" s="641"/>
    </row>
    <row r="571" spans="5:5" ht="15" customHeight="1">
      <c r="E571" s="641"/>
    </row>
    <row r="572" spans="5:5" ht="15" customHeight="1">
      <c r="E572" s="641"/>
    </row>
    <row r="573" spans="5:5" ht="15" customHeight="1">
      <c r="E573" s="641"/>
    </row>
    <row r="574" spans="5:5" ht="15" customHeight="1">
      <c r="E574" s="641"/>
    </row>
    <row r="575" spans="5:5" ht="15" customHeight="1">
      <c r="E575" s="641"/>
    </row>
    <row r="576" spans="5:5" ht="15" customHeight="1">
      <c r="E576" s="641"/>
    </row>
    <row r="577" spans="5:5" ht="15" customHeight="1">
      <c r="E577" s="641"/>
    </row>
    <row r="578" spans="5:5" ht="15" customHeight="1">
      <c r="E578" s="641"/>
    </row>
    <row r="579" spans="5:5" ht="15" customHeight="1">
      <c r="E579" s="641"/>
    </row>
    <row r="580" spans="5:5" ht="15" customHeight="1">
      <c r="E580" s="641"/>
    </row>
    <row r="581" spans="5:5" ht="15" customHeight="1">
      <c r="E581" s="641"/>
    </row>
    <row r="582" spans="5:5" ht="15" customHeight="1">
      <c r="E582" s="641"/>
    </row>
    <row r="583" spans="5:5" ht="15" customHeight="1">
      <c r="E583" s="641"/>
    </row>
    <row r="584" spans="5:5" ht="15" customHeight="1">
      <c r="E584" s="641"/>
    </row>
    <row r="585" spans="5:5" ht="15" customHeight="1">
      <c r="E585" s="641"/>
    </row>
    <row r="586" spans="5:5" ht="15" customHeight="1">
      <c r="E586" s="641"/>
    </row>
    <row r="587" spans="5:5" ht="15" customHeight="1">
      <c r="E587" s="641"/>
    </row>
    <row r="588" spans="5:5" ht="15" customHeight="1">
      <c r="E588" s="641"/>
    </row>
    <row r="589" spans="5:5" ht="15" customHeight="1">
      <c r="E589" s="641"/>
    </row>
    <row r="590" spans="5:5" ht="15" customHeight="1">
      <c r="E590" s="641"/>
    </row>
    <row r="591" spans="5:5" ht="15" customHeight="1">
      <c r="E591" s="641"/>
    </row>
    <row r="592" spans="5:5" ht="15" customHeight="1">
      <c r="E592" s="641"/>
    </row>
    <row r="593" spans="5:5" ht="15" customHeight="1">
      <c r="E593" s="641"/>
    </row>
    <row r="594" spans="5:5" ht="15" customHeight="1">
      <c r="E594" s="641"/>
    </row>
    <row r="595" spans="5:5" ht="15" customHeight="1">
      <c r="E595" s="641"/>
    </row>
    <row r="596" spans="5:5" ht="15" customHeight="1">
      <c r="E596" s="641"/>
    </row>
    <row r="597" spans="5:5" ht="15" customHeight="1">
      <c r="E597" s="641"/>
    </row>
    <row r="598" spans="5:5" ht="15" customHeight="1">
      <c r="E598" s="641"/>
    </row>
    <row r="599" spans="5:5" ht="15" customHeight="1">
      <c r="E599" s="641"/>
    </row>
    <row r="600" spans="5:5" ht="15" customHeight="1">
      <c r="E600" s="641"/>
    </row>
    <row r="601" spans="5:5" ht="15" customHeight="1">
      <c r="E601" s="641"/>
    </row>
    <row r="602" spans="5:5" ht="15" customHeight="1">
      <c r="E602" s="641"/>
    </row>
    <row r="603" spans="5:5" ht="15" customHeight="1">
      <c r="E603" s="641"/>
    </row>
    <row r="604" spans="5:5" ht="15" customHeight="1">
      <c r="E604" s="641"/>
    </row>
    <row r="605" spans="5:5" ht="15" customHeight="1">
      <c r="E605" s="641"/>
    </row>
    <row r="606" spans="5:5" ht="15" customHeight="1">
      <c r="E606" s="641"/>
    </row>
    <row r="607" spans="5:5" ht="15" customHeight="1">
      <c r="E607" s="641"/>
    </row>
    <row r="608" spans="5:5" ht="15" customHeight="1">
      <c r="E608" s="641"/>
    </row>
    <row r="609" spans="5:5" ht="15" customHeight="1">
      <c r="E609" s="641"/>
    </row>
    <row r="610" spans="5:5" ht="15" customHeight="1">
      <c r="E610" s="641"/>
    </row>
    <row r="611" spans="5:5" ht="15" customHeight="1">
      <c r="E611" s="641"/>
    </row>
    <row r="612" spans="5:5" ht="15" customHeight="1">
      <c r="E612" s="641"/>
    </row>
    <row r="613" spans="5:5" ht="15" customHeight="1">
      <c r="E613" s="641"/>
    </row>
    <row r="614" spans="5:5" ht="15" customHeight="1">
      <c r="E614" s="641"/>
    </row>
    <row r="615" spans="5:5" ht="15" customHeight="1">
      <c r="E615" s="641"/>
    </row>
    <row r="616" spans="5:5" ht="15" customHeight="1">
      <c r="E616" s="641"/>
    </row>
    <row r="617" spans="5:5" ht="15" customHeight="1">
      <c r="E617" s="641"/>
    </row>
    <row r="618" spans="5:5" ht="15" customHeight="1">
      <c r="E618" s="641"/>
    </row>
    <row r="619" spans="5:5" ht="15" customHeight="1">
      <c r="E619" s="641"/>
    </row>
    <row r="620" spans="5:5" ht="15" customHeight="1">
      <c r="E620" s="641"/>
    </row>
    <row r="621" spans="5:5" ht="15" customHeight="1">
      <c r="E621" s="641"/>
    </row>
    <row r="622" spans="5:5" ht="15" customHeight="1">
      <c r="E622" s="641"/>
    </row>
    <row r="623" spans="5:5" ht="15" customHeight="1">
      <c r="E623" s="641"/>
    </row>
    <row r="624" spans="5:5" ht="15" customHeight="1">
      <c r="E624" s="641"/>
    </row>
    <row r="625" spans="5:5" ht="15" customHeight="1">
      <c r="E625" s="641"/>
    </row>
    <row r="626" spans="5:5" ht="15" customHeight="1">
      <c r="E626" s="641"/>
    </row>
    <row r="627" spans="5:5" ht="15" customHeight="1">
      <c r="E627" s="641"/>
    </row>
    <row r="628" spans="5:5" ht="15" customHeight="1">
      <c r="E628" s="641"/>
    </row>
    <row r="629" spans="5:5" ht="15" customHeight="1">
      <c r="E629" s="641"/>
    </row>
    <row r="630" spans="5:5" ht="15" customHeight="1">
      <c r="E630" s="641"/>
    </row>
    <row r="631" spans="5:5" ht="15" customHeight="1">
      <c r="E631" s="641"/>
    </row>
    <row r="632" spans="5:5" ht="15" customHeight="1">
      <c r="E632" s="641"/>
    </row>
    <row r="633" spans="5:5" ht="15" customHeight="1">
      <c r="E633" s="641"/>
    </row>
    <row r="634" spans="5:5" ht="15" customHeight="1">
      <c r="E634" s="641"/>
    </row>
    <row r="635" spans="5:5" ht="15" customHeight="1">
      <c r="E635" s="641"/>
    </row>
    <row r="636" spans="5:5" ht="15" customHeight="1">
      <c r="E636" s="641"/>
    </row>
    <row r="637" spans="5:5" ht="15" customHeight="1">
      <c r="E637" s="641"/>
    </row>
    <row r="638" spans="5:5" ht="15" customHeight="1">
      <c r="E638" s="641"/>
    </row>
    <row r="639" spans="5:5" ht="15" customHeight="1">
      <c r="E639" s="641"/>
    </row>
    <row r="640" spans="5:5" ht="15" customHeight="1">
      <c r="E640" s="641"/>
    </row>
    <row r="641" spans="5:5" ht="15" customHeight="1">
      <c r="E641" s="641"/>
    </row>
    <row r="642" spans="5:5" ht="15" customHeight="1">
      <c r="E642" s="641"/>
    </row>
    <row r="643" spans="5:5" ht="15" customHeight="1">
      <c r="E643" s="641"/>
    </row>
    <row r="644" spans="5:5" ht="15" customHeight="1">
      <c r="E644" s="641"/>
    </row>
    <row r="645" spans="5:5" ht="15" customHeight="1">
      <c r="E645" s="641"/>
    </row>
    <row r="646" spans="5:5" ht="15" customHeight="1">
      <c r="E646" s="641"/>
    </row>
    <row r="647" spans="5:5" ht="15" customHeight="1">
      <c r="E647" s="641"/>
    </row>
    <row r="648" spans="5:5" ht="15" customHeight="1">
      <c r="E648" s="641"/>
    </row>
    <row r="649" spans="5:5" ht="15" customHeight="1">
      <c r="E649" s="641"/>
    </row>
    <row r="650" spans="5:5" ht="15" customHeight="1">
      <c r="E650" s="641"/>
    </row>
    <row r="651" spans="5:5" ht="15" customHeight="1">
      <c r="E651" s="641"/>
    </row>
    <row r="652" spans="5:5" ht="15" customHeight="1">
      <c r="E652" s="641"/>
    </row>
    <row r="653" spans="5:5" ht="15" customHeight="1">
      <c r="E653" s="641"/>
    </row>
    <row r="654" spans="5:5" ht="15" customHeight="1">
      <c r="E654" s="641"/>
    </row>
    <row r="655" spans="5:5" ht="15" customHeight="1">
      <c r="E655" s="641"/>
    </row>
    <row r="656" spans="5:5" ht="15" customHeight="1">
      <c r="E656" s="641"/>
    </row>
    <row r="657" spans="5:5" ht="15" customHeight="1">
      <c r="E657" s="641"/>
    </row>
    <row r="658" spans="5:5" ht="15" customHeight="1">
      <c r="E658" s="641"/>
    </row>
    <row r="659" spans="5:5" ht="15" customHeight="1">
      <c r="E659" s="641"/>
    </row>
    <row r="660" spans="5:5" ht="15" customHeight="1">
      <c r="E660" s="641"/>
    </row>
    <row r="661" spans="5:5" ht="15" customHeight="1">
      <c r="E661" s="641"/>
    </row>
    <row r="662" spans="5:5" ht="15" customHeight="1">
      <c r="E662" s="641"/>
    </row>
    <row r="663" spans="5:5" ht="15" customHeight="1">
      <c r="E663" s="641"/>
    </row>
    <row r="664" spans="5:5" ht="15" customHeight="1">
      <c r="E664" s="641"/>
    </row>
    <row r="665" spans="5:5" ht="15" customHeight="1">
      <c r="E665" s="641"/>
    </row>
    <row r="666" spans="5:5" ht="15" customHeight="1">
      <c r="E666" s="641"/>
    </row>
    <row r="667" spans="5:5" ht="15" customHeight="1">
      <c r="E667" s="641"/>
    </row>
    <row r="668" spans="5:5" ht="15" customHeight="1">
      <c r="E668" s="641"/>
    </row>
    <row r="669" spans="5:5" ht="15" customHeight="1">
      <c r="E669" s="641"/>
    </row>
    <row r="670" spans="5:5" ht="15" customHeight="1">
      <c r="E670" s="641"/>
    </row>
    <row r="671" spans="5:5" ht="15" customHeight="1">
      <c r="E671" s="641"/>
    </row>
    <row r="672" spans="5:5" ht="15" customHeight="1">
      <c r="E672" s="641"/>
    </row>
    <row r="673" spans="5:5" ht="15" customHeight="1">
      <c r="E673" s="641"/>
    </row>
    <row r="674" spans="5:5" ht="15" customHeight="1">
      <c r="E674" s="641"/>
    </row>
    <row r="675" spans="5:5" ht="15" customHeight="1">
      <c r="E675" s="641"/>
    </row>
    <row r="676" spans="5:5" ht="15" customHeight="1">
      <c r="E676" s="641"/>
    </row>
    <row r="677" spans="5:5" ht="15" customHeight="1">
      <c r="E677" s="641"/>
    </row>
    <row r="678" spans="5:5" ht="15" customHeight="1">
      <c r="E678" s="641"/>
    </row>
    <row r="679" spans="5:5" ht="15" customHeight="1">
      <c r="E679" s="641"/>
    </row>
    <row r="680" spans="5:5" ht="15" customHeight="1">
      <c r="E680" s="641"/>
    </row>
    <row r="681" spans="5:5" ht="15" customHeight="1">
      <c r="E681" s="641"/>
    </row>
    <row r="682" spans="5:5" ht="15" customHeight="1">
      <c r="E682" s="641"/>
    </row>
    <row r="683" spans="5:5" ht="15" customHeight="1">
      <c r="E683" s="641"/>
    </row>
    <row r="684" spans="5:5" ht="15" customHeight="1">
      <c r="E684" s="641"/>
    </row>
    <row r="685" spans="5:5" ht="15" customHeight="1">
      <c r="E685" s="641"/>
    </row>
    <row r="686" spans="5:5" ht="15" customHeight="1">
      <c r="E686" s="641"/>
    </row>
    <row r="687" spans="5:5" ht="15" customHeight="1">
      <c r="E687" s="641"/>
    </row>
    <row r="688" spans="5:5" ht="15" customHeight="1">
      <c r="E688" s="641"/>
    </row>
    <row r="689" spans="5:5" ht="15" customHeight="1">
      <c r="E689" s="641"/>
    </row>
    <row r="690" spans="5:5" ht="15" customHeight="1">
      <c r="E690" s="641"/>
    </row>
    <row r="691" spans="5:5" ht="15" customHeight="1">
      <c r="E691" s="641"/>
    </row>
    <row r="692" spans="5:5" ht="15" customHeight="1">
      <c r="E692" s="641"/>
    </row>
    <row r="693" spans="5:5" ht="15" customHeight="1">
      <c r="E693" s="641"/>
    </row>
    <row r="694" spans="5:5" ht="15" customHeight="1">
      <c r="E694" s="641"/>
    </row>
    <row r="695" spans="5:5" ht="15" customHeight="1">
      <c r="E695" s="641"/>
    </row>
    <row r="696" spans="5:5" ht="15" customHeight="1">
      <c r="E696" s="641"/>
    </row>
    <row r="697" spans="5:5" ht="15" customHeight="1">
      <c r="E697" s="641"/>
    </row>
    <row r="698" spans="5:5" ht="15" customHeight="1">
      <c r="E698" s="641"/>
    </row>
    <row r="699" spans="5:5" ht="15" customHeight="1">
      <c r="E699" s="641"/>
    </row>
    <row r="700" spans="5:5" ht="15" customHeight="1">
      <c r="E700" s="641"/>
    </row>
    <row r="701" spans="5:5" ht="15" customHeight="1">
      <c r="E701" s="641"/>
    </row>
    <row r="702" spans="5:5" ht="15" customHeight="1">
      <c r="E702" s="641"/>
    </row>
    <row r="703" spans="5:5" ht="15" customHeight="1">
      <c r="E703" s="641"/>
    </row>
    <row r="704" spans="5:5" ht="15" customHeight="1">
      <c r="E704" s="641"/>
    </row>
    <row r="705" spans="5:5" ht="15" customHeight="1">
      <c r="E705" s="641"/>
    </row>
    <row r="706" spans="5:5" ht="15" customHeight="1">
      <c r="E706" s="641"/>
    </row>
    <row r="707" spans="5:5" ht="15" customHeight="1">
      <c r="E707" s="641"/>
    </row>
    <row r="708" spans="5:5" ht="15" customHeight="1">
      <c r="E708" s="641"/>
    </row>
    <row r="709" spans="5:5" ht="15" customHeight="1">
      <c r="E709" s="641"/>
    </row>
    <row r="710" spans="5:5" ht="15" customHeight="1">
      <c r="E710" s="641"/>
    </row>
    <row r="711" spans="5:5" ht="15" customHeight="1">
      <c r="E711" s="641"/>
    </row>
    <row r="712" spans="5:5" ht="15" customHeight="1">
      <c r="E712" s="641"/>
    </row>
    <row r="713" spans="5:5" ht="15" customHeight="1">
      <c r="E713" s="641"/>
    </row>
    <row r="714" spans="5:5" ht="15" customHeight="1">
      <c r="E714" s="641"/>
    </row>
    <row r="715" spans="5:5" ht="15" customHeight="1">
      <c r="E715" s="641"/>
    </row>
    <row r="716" spans="5:5" ht="15" customHeight="1">
      <c r="E716" s="641"/>
    </row>
    <row r="717" spans="5:5" ht="15" customHeight="1">
      <c r="E717" s="641"/>
    </row>
    <row r="718" spans="5:5" ht="15" customHeight="1">
      <c r="E718" s="641"/>
    </row>
    <row r="719" spans="5:5" ht="15" customHeight="1">
      <c r="E719" s="641"/>
    </row>
    <row r="720" spans="5:5" ht="15" customHeight="1">
      <c r="E720" s="641"/>
    </row>
    <row r="721" spans="5:5" ht="15" customHeight="1">
      <c r="E721" s="641"/>
    </row>
    <row r="722" spans="5:5" ht="15" customHeight="1">
      <c r="E722" s="641"/>
    </row>
    <row r="723" spans="5:5" ht="15" customHeight="1">
      <c r="E723" s="641"/>
    </row>
    <row r="724" spans="5:5" ht="15" customHeight="1">
      <c r="E724" s="641"/>
    </row>
    <row r="725" spans="5:5" ht="15" customHeight="1">
      <c r="E725" s="641"/>
    </row>
    <row r="726" spans="5:5" ht="15" customHeight="1">
      <c r="E726" s="641"/>
    </row>
    <row r="727" spans="5:5" ht="15" customHeight="1">
      <c r="E727" s="641"/>
    </row>
    <row r="728" spans="5:5" ht="15" customHeight="1">
      <c r="E728" s="641"/>
    </row>
    <row r="729" spans="5:5" ht="15" customHeight="1">
      <c r="E729" s="641"/>
    </row>
    <row r="730" spans="5:5" ht="15" customHeight="1">
      <c r="E730" s="641"/>
    </row>
    <row r="731" spans="5:5" ht="15" customHeight="1">
      <c r="E731" s="641"/>
    </row>
    <row r="732" spans="5:5" ht="15" customHeight="1">
      <c r="E732" s="641"/>
    </row>
    <row r="733" spans="5:5" ht="15" customHeight="1">
      <c r="E733" s="641"/>
    </row>
    <row r="734" spans="5:5" ht="15" customHeight="1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4056"/>
  <sheetViews>
    <sheetView showGridLines="0" zoomScale="60" zoomScaleNormal="60" workbookViewId="0">
      <pane ySplit="2" topLeftCell="A4012" activePane="bottomLeft" state="frozen"/>
      <selection pane="bottomLeft" activeCell="B4056" sqref="B4056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19" t="s">
        <v>3905</v>
      </c>
      <c r="C2" s="1018" t="s">
        <v>3906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3926</v>
      </c>
      <c r="T2" s="1129" t="s">
        <v>2734</v>
      </c>
      <c r="U2" s="1026"/>
    </row>
    <row r="3" spans="2:22" ht="15" customHeight="1">
      <c r="B3" s="13" t="s">
        <v>48</v>
      </c>
      <c r="C3" s="838" t="s">
        <v>3512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8" t="s">
        <v>3512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5" t="s">
        <v>47</v>
      </c>
      <c r="C5" s="838" t="s">
        <v>3512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>
      <c r="B6" s="13" t="s">
        <v>46</v>
      </c>
      <c r="C6" s="838" t="s">
        <v>3512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8" t="s">
        <v>3512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8" t="s">
        <v>3512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>
      <c r="B9" s="13" t="s">
        <v>44</v>
      </c>
      <c r="C9" s="838" t="s">
        <v>3512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>
      <c r="B10" s="13" t="s">
        <v>43</v>
      </c>
      <c r="C10" s="838" t="s">
        <v>3512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>
      <c r="B11" s="13" t="s">
        <v>42</v>
      </c>
      <c r="C11" s="838" t="s">
        <v>3512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>
      <c r="B12" s="13" t="s">
        <v>41</v>
      </c>
      <c r="C12" s="838" t="s">
        <v>3512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>
      <c r="B13" s="13" t="s">
        <v>40</v>
      </c>
      <c r="C13" s="838" t="s">
        <v>3512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>
      <c r="B14" s="13" t="s">
        <v>39</v>
      </c>
      <c r="C14" s="838" t="s">
        <v>3512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8" t="s">
        <v>3512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8" t="s">
        <v>3512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>
      <c r="B17" s="13" t="s">
        <v>37</v>
      </c>
      <c r="C17" s="838" t="s">
        <v>3512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>
      <c r="B18" s="13" t="s">
        <v>36</v>
      </c>
      <c r="C18" s="838" t="s">
        <v>3512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8" t="s">
        <v>3512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8" t="s">
        <v>3512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>
      <c r="B21" s="13" t="s">
        <v>34</v>
      </c>
      <c r="C21" s="838" t="s">
        <v>3512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>
      <c r="B22" s="13" t="s">
        <v>33</v>
      </c>
      <c r="C22" s="838" t="s">
        <v>3512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>
      <c r="B23" s="13" t="s">
        <v>32</v>
      </c>
      <c r="C23" s="838" t="s">
        <v>3512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>
      <c r="B24" s="13" t="s">
        <v>31</v>
      </c>
      <c r="C24" s="838" t="s">
        <v>3512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>
      <c r="B25" s="13" t="s">
        <v>30</v>
      </c>
      <c r="C25" s="838" t="s">
        <v>3512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8" t="s">
        <v>3512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8" t="s">
        <v>3512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>
      <c r="B28" s="13" t="s">
        <v>28</v>
      </c>
      <c r="C28" s="838" t="s">
        <v>3512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>
      <c r="B29" s="13" t="s">
        <v>27</v>
      </c>
      <c r="C29" s="838" t="s">
        <v>3512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>
      <c r="B30" s="13" t="s">
        <v>26</v>
      </c>
      <c r="C30" s="838" t="s">
        <v>3512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8" t="s">
        <v>3512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8" t="s">
        <v>3512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>
      <c r="B33" s="13" t="s">
        <v>24</v>
      </c>
      <c r="C33" s="838" t="s">
        <v>3512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>
      <c r="B34" s="13" t="s">
        <v>23</v>
      </c>
      <c r="C34" s="838" t="s">
        <v>3512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>
      <c r="B35" s="13" t="s">
        <v>22</v>
      </c>
      <c r="C35" s="838" t="s">
        <v>3512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>
      <c r="B36" s="13" t="s">
        <v>21</v>
      </c>
      <c r="C36" s="838" t="s">
        <v>3512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>
      <c r="B37" s="13" t="s">
        <v>20</v>
      </c>
      <c r="C37" s="838" t="s">
        <v>3512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>
      <c r="B38" s="13" t="s">
        <v>19</v>
      </c>
      <c r="C38" s="838" t="s">
        <v>3512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8" t="s">
        <v>3512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8" t="s">
        <v>3512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>
      <c r="B41" s="13" t="s">
        <v>17</v>
      </c>
      <c r="C41" s="838" t="s">
        <v>3512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>
      <c r="B42" s="13" t="s">
        <v>53</v>
      </c>
      <c r="C42" s="838" t="s">
        <v>3512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>
      <c r="B43" s="13" t="s">
        <v>52</v>
      </c>
      <c r="C43" s="838" t="s">
        <v>3512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>
      <c r="B44" s="13" t="s">
        <v>51</v>
      </c>
      <c r="C44" s="838" t="s">
        <v>3512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>
      <c r="B45" s="13" t="s">
        <v>50</v>
      </c>
      <c r="C45" s="838" t="s">
        <v>3512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>
      <c r="B46" s="13" t="s">
        <v>49</v>
      </c>
      <c r="C46" s="838" t="s">
        <v>3512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>
      <c r="B47" s="13" t="s">
        <v>71</v>
      </c>
      <c r="C47" s="838" t="s">
        <v>3512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>
      <c r="B48" s="13" t="s">
        <v>70</v>
      </c>
      <c r="C48" s="838" t="s">
        <v>3512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>
      <c r="B49" s="13" t="s">
        <v>69</v>
      </c>
      <c r="C49" s="838" t="s">
        <v>3512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>
      <c r="B50" s="13" t="s">
        <v>68</v>
      </c>
      <c r="C50" s="838" t="s">
        <v>3512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>
      <c r="B51" s="13" t="s">
        <v>67</v>
      </c>
      <c r="C51" s="838" t="s">
        <v>3512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>
      <c r="B52" s="13" t="s">
        <v>66</v>
      </c>
      <c r="C52" s="838" t="s">
        <v>3512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>
      <c r="B53" s="13" t="s">
        <v>65</v>
      </c>
      <c r="C53" s="838" t="s">
        <v>3512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>
      <c r="B54" s="13" t="s">
        <v>64</v>
      </c>
      <c r="C54" s="838" t="s">
        <v>3512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>
      <c r="B55" s="13" t="s">
        <v>63</v>
      </c>
      <c r="C55" s="838" t="s">
        <v>3512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>
      <c r="B56" s="13" t="s">
        <v>62</v>
      </c>
      <c r="C56" s="838" t="s">
        <v>3512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8" t="s">
        <v>3512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>
      <c r="B58" s="13" t="s">
        <v>60</v>
      </c>
      <c r="C58" s="838" t="s">
        <v>3512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>
      <c r="B59" s="13" t="s">
        <v>59</v>
      </c>
      <c r="C59" s="838" t="s">
        <v>3512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8" t="s">
        <v>3512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8" t="s">
        <v>3512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4318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>
      <c r="B62" s="13" t="s">
        <v>57</v>
      </c>
      <c r="C62" s="838" t="s">
        <v>3512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>
      <c r="B63" s="13" t="s">
        <v>56</v>
      </c>
      <c r="C63" s="838" t="s">
        <v>3512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>
      <c r="B64" s="13" t="s">
        <v>55</v>
      </c>
      <c r="C64" s="838" t="s">
        <v>3512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>
      <c r="B65" s="13" t="s">
        <v>54</v>
      </c>
      <c r="C65" s="838" t="s">
        <v>3512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>
      <c r="B66" s="13" t="s">
        <v>107</v>
      </c>
      <c r="C66" s="838" t="s">
        <v>3512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>
      <c r="B67" s="13" t="s">
        <v>106</v>
      </c>
      <c r="C67" s="838" t="s">
        <v>3512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>
      <c r="B68" s="13" t="s">
        <v>105</v>
      </c>
      <c r="C68" s="838" t="s">
        <v>3512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>
      <c r="B69" s="13" t="s">
        <v>104</v>
      </c>
      <c r="C69" s="838" t="s">
        <v>3512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8" t="s">
        <v>3512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8" t="s">
        <v>3512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>
      <c r="B72" s="13" t="s">
        <v>148</v>
      </c>
      <c r="C72" s="838" t="s">
        <v>3512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>
      <c r="B73" s="13" t="s">
        <v>147</v>
      </c>
      <c r="C73" s="838" t="s">
        <v>3512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>
      <c r="B74" s="13" t="s">
        <v>146</v>
      </c>
      <c r="C74" s="838" t="s">
        <v>3512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>
      <c r="B75" s="13" t="s">
        <v>145</v>
      </c>
      <c r="C75" s="838" t="s">
        <v>3512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>
      <c r="B76" s="13" t="s">
        <v>144</v>
      </c>
      <c r="C76" s="838" t="s">
        <v>3512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>
      <c r="B77" s="13" t="s">
        <v>143</v>
      </c>
      <c r="C77" s="838" t="s">
        <v>3512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>
      <c r="B78" s="13" t="s">
        <v>142</v>
      </c>
      <c r="C78" s="838" t="s">
        <v>3512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>
      <c r="B79" s="13" t="s">
        <v>141</v>
      </c>
      <c r="C79" s="838" t="s">
        <v>3512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>
      <c r="B80" s="13" t="s">
        <v>140</v>
      </c>
      <c r="C80" s="838" t="s">
        <v>3512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>
      <c r="B81" s="13" t="s">
        <v>139</v>
      </c>
      <c r="C81" s="838" t="s">
        <v>3512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>
      <c r="B82" s="13" t="s">
        <v>138</v>
      </c>
      <c r="C82" s="838" t="s">
        <v>3512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8" t="s">
        <v>3512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8" t="s">
        <v>3512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4318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>
      <c r="B85" s="13" t="s">
        <v>136</v>
      </c>
      <c r="C85" s="838" t="s">
        <v>3512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>
      <c r="B86" s="13" t="s">
        <v>135</v>
      </c>
      <c r="C86" s="838" t="s">
        <v>3512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>
      <c r="B87" s="13" t="s">
        <v>134</v>
      </c>
      <c r="C87" s="838" t="s">
        <v>3512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>
      <c r="B88" s="13" t="s">
        <v>133</v>
      </c>
      <c r="C88" s="838" t="s">
        <v>3512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>
      <c r="B89" s="13" t="s">
        <v>132</v>
      </c>
      <c r="C89" s="838" t="s">
        <v>3512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>
      <c r="B90" s="13" t="s">
        <v>131</v>
      </c>
      <c r="C90" s="838" t="s">
        <v>3512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>
      <c r="B91" s="13" t="s">
        <v>130</v>
      </c>
      <c r="C91" s="838" t="s">
        <v>3512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>
      <c r="B92" s="13" t="s">
        <v>129</v>
      </c>
      <c r="C92" s="838" t="s">
        <v>3512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>
      <c r="B93" s="13" t="s">
        <v>128</v>
      </c>
      <c r="C93" s="838" t="s">
        <v>3512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>
      <c r="B94" s="13" t="s">
        <v>127</v>
      </c>
      <c r="C94" s="838" t="s">
        <v>3512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>
      <c r="B95" s="13" t="s">
        <v>126</v>
      </c>
      <c r="C95" s="838" t="s">
        <v>3512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>
      <c r="B96" s="13" t="s">
        <v>125</v>
      </c>
      <c r="C96" s="838" t="s">
        <v>3512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>
      <c r="B97" s="13" t="s">
        <v>124</v>
      </c>
      <c r="C97" s="838" t="s">
        <v>3512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>
      <c r="B98" s="13" t="s">
        <v>123</v>
      </c>
      <c r="C98" s="838" t="s">
        <v>3512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8" t="s">
        <v>3512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8" t="s">
        <v>3512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8" t="s">
        <v>3512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8" t="s">
        <v>3512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>
      <c r="B103" s="13" t="s">
        <v>120</v>
      </c>
      <c r="C103" s="838" t="s">
        <v>3512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8" t="s">
        <v>3512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8" t="s">
        <v>3512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8" t="s">
        <v>3512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8" t="s">
        <v>3512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>
      <c r="B108" s="13" t="s">
        <v>117</v>
      </c>
      <c r="C108" s="838" t="s">
        <v>3512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8" t="s">
        <v>3512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8" t="s">
        <v>3512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>
      <c r="B111" s="13" t="s">
        <v>115</v>
      </c>
      <c r="C111" s="838" t="s">
        <v>3512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8" t="s">
        <v>3512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8" t="s">
        <v>3512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>
      <c r="B114" s="13" t="s">
        <v>113</v>
      </c>
      <c r="C114" s="838" t="s">
        <v>3512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8" t="s">
        <v>3512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8" t="s">
        <v>3512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1359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8" t="s">
        <v>3512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1359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8" t="s">
        <v>3512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>
      <c r="B119" s="13" t="s">
        <v>172</v>
      </c>
      <c r="C119" s="838" t="s">
        <v>3512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>
      <c r="B120" s="13" t="s">
        <v>171</v>
      </c>
      <c r="C120" s="838" t="s">
        <v>3512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>
      <c r="B121" s="13" t="s">
        <v>170</v>
      </c>
      <c r="C121" s="838" t="s">
        <v>3512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>
      <c r="B122" s="13" t="s">
        <v>169</v>
      </c>
      <c r="C122" s="838" t="s">
        <v>3512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>
      <c r="B123" s="13" t="s">
        <v>168</v>
      </c>
      <c r="C123" s="838" t="s">
        <v>3512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>
      <c r="B124" s="13" t="s">
        <v>167</v>
      </c>
      <c r="C124" s="838" t="s">
        <v>3512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>
      <c r="B125" s="13" t="s">
        <v>166</v>
      </c>
      <c r="C125" s="838" t="s">
        <v>3512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8" t="s">
        <v>3512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8" t="s">
        <v>3512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>
      <c r="B128" s="13" t="s">
        <v>164</v>
      </c>
      <c r="C128" s="838" t="s">
        <v>3512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>
      <c r="B129" s="13" t="s">
        <v>163</v>
      </c>
      <c r="C129" s="838" t="s">
        <v>3512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>
      <c r="B130" s="13" t="s">
        <v>162</v>
      </c>
      <c r="C130" s="838" t="s">
        <v>3512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>
      <c r="B131" s="13" t="s">
        <v>161</v>
      </c>
      <c r="C131" s="838" t="s">
        <v>3512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>
      <c r="B132" s="13" t="s">
        <v>160</v>
      </c>
      <c r="C132" s="838" t="s">
        <v>3512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8" t="s">
        <v>3512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8" t="s">
        <v>3512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>
      <c r="B135" s="13" t="s">
        <v>158</v>
      </c>
      <c r="C135" s="838" t="s">
        <v>3512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3767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>
      <c r="B136" s="13" t="s">
        <v>178</v>
      </c>
      <c r="C136" s="838" t="s">
        <v>3512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3767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>
      <c r="B137" s="13" t="s">
        <v>177</v>
      </c>
      <c r="C137" s="838" t="s">
        <v>3512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3367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3767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>
      <c r="B138" s="13" t="s">
        <v>176</v>
      </c>
      <c r="C138" s="838" t="s">
        <v>3512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8" t="s">
        <v>3512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8" t="s">
        <v>3512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>
      <c r="B141" s="13" t="s">
        <v>174</v>
      </c>
      <c r="C141" s="838" t="s">
        <v>3512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8" t="s">
        <v>3512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8" t="s">
        <v>3512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>
      <c r="B144" s="13" t="s">
        <v>190</v>
      </c>
      <c r="C144" s="838" t="s">
        <v>3512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>
      <c r="B145" s="13" t="s">
        <v>189</v>
      </c>
      <c r="C145" s="838" t="s">
        <v>3512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>
      <c r="B146" s="13" t="s">
        <v>188</v>
      </c>
      <c r="C146" s="838" t="s">
        <v>3512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>
      <c r="B147" s="13" t="s">
        <v>187</v>
      </c>
      <c r="C147" s="838" t="s">
        <v>3512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>
      <c r="B148" s="13" t="s">
        <v>186</v>
      </c>
      <c r="C148" s="838" t="s">
        <v>3512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3767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8" t="s">
        <v>3512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3767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8" t="s">
        <v>3512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3767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>
      <c r="B151" s="13" t="s">
        <v>184</v>
      </c>
      <c r="C151" s="838" t="s">
        <v>3512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3767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>
      <c r="B152" s="13" t="s">
        <v>199</v>
      </c>
      <c r="C152" s="838" t="s">
        <v>3512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>
      <c r="B153" s="13" t="s">
        <v>198</v>
      </c>
      <c r="C153" s="838" t="s">
        <v>3512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>
      <c r="B154" s="13" t="s">
        <v>197</v>
      </c>
      <c r="C154" s="838" t="s">
        <v>3512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>
      <c r="B155" s="13" t="s">
        <v>196</v>
      </c>
      <c r="C155" s="838" t="s">
        <v>3512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8" t="s">
        <v>3512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8" t="s">
        <v>3512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>
      <c r="B158" s="13" t="s">
        <v>244</v>
      </c>
      <c r="C158" s="838" t="s">
        <v>3512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>
      <c r="B159" s="13" t="s">
        <v>195</v>
      </c>
      <c r="C159" s="838" t="s">
        <v>3512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8" t="s">
        <v>3512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8" t="s">
        <v>3512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>
      <c r="B162" s="13" t="s">
        <v>242</v>
      </c>
      <c r="C162" s="838" t="s">
        <v>3512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4318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>
      <c r="B163" s="13" t="s">
        <v>241</v>
      </c>
      <c r="C163" s="838" t="s">
        <v>3512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>
      <c r="B164" s="13" t="s">
        <v>240</v>
      </c>
      <c r="C164" s="838" t="s">
        <v>3512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>
      <c r="B165" s="13" t="s">
        <v>239</v>
      </c>
      <c r="C165" s="838" t="s">
        <v>3512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>
      <c r="B166" s="13" t="s">
        <v>238</v>
      </c>
      <c r="C166" s="838" t="s">
        <v>3512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>
      <c r="B167" s="13" t="s">
        <v>237</v>
      </c>
      <c r="C167" s="838" t="s">
        <v>3512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>
      <c r="B168" s="13" t="s">
        <v>236</v>
      </c>
      <c r="C168" s="838" t="s">
        <v>3512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>
      <c r="B169" s="13" t="s">
        <v>235</v>
      </c>
      <c r="C169" s="838" t="s">
        <v>3512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8" t="s">
        <v>3512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8" t="s">
        <v>3512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>
      <c r="B172" s="13" t="s">
        <v>233</v>
      </c>
      <c r="C172" s="838" t="s">
        <v>3512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>
      <c r="B173" s="13" t="s">
        <v>232</v>
      </c>
      <c r="C173" s="838" t="s">
        <v>3512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>
      <c r="B174" s="13" t="s">
        <v>231</v>
      </c>
      <c r="C174" s="838" t="s">
        <v>3512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>
      <c r="B175" s="13" t="s">
        <v>230</v>
      </c>
      <c r="C175" s="838" t="s">
        <v>3512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>
      <c r="B176" s="13" t="s">
        <v>229</v>
      </c>
      <c r="C176" s="838" t="s">
        <v>3512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>
      <c r="B177" s="13" t="s">
        <v>228</v>
      </c>
      <c r="C177" s="838" t="s">
        <v>3512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>
      <c r="B178" s="13" t="s">
        <v>227</v>
      </c>
      <c r="C178" s="838" t="s">
        <v>3512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>
      <c r="B179" s="13" t="s">
        <v>226</v>
      </c>
      <c r="C179" s="838" t="s">
        <v>3512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>
      <c r="B180" s="13" t="s">
        <v>225</v>
      </c>
      <c r="C180" s="838" t="s">
        <v>3512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>
      <c r="B181" s="13" t="s">
        <v>224</v>
      </c>
      <c r="C181" s="838" t="s">
        <v>3512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>
      <c r="B182" s="13" t="s">
        <v>223</v>
      </c>
      <c r="C182" s="838" t="s">
        <v>3512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>
      <c r="B183" s="13" t="s">
        <v>222</v>
      </c>
      <c r="C183" s="838" t="s">
        <v>3512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>
      <c r="B184" s="13" t="s">
        <v>221</v>
      </c>
      <c r="C184" s="838" t="s">
        <v>3512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>
      <c r="B185" s="13" t="s">
        <v>220</v>
      </c>
      <c r="C185" s="838" t="s">
        <v>3512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4318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>
      <c r="B186" s="13" t="s">
        <v>219</v>
      </c>
      <c r="C186" s="838" t="s">
        <v>3512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>
      <c r="B187" s="13" t="s">
        <v>218</v>
      </c>
      <c r="C187" s="838" t="s">
        <v>3512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8" t="s">
        <v>3512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4318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8" t="s">
        <v>3512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8" t="s">
        <v>3512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8" t="s">
        <v>3512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>
      <c r="B192" s="13" t="s">
        <v>215</v>
      </c>
      <c r="C192" s="838" t="s">
        <v>3512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>
      <c r="B193" s="13" t="s">
        <v>214</v>
      </c>
      <c r="C193" s="838" t="s">
        <v>3512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>
      <c r="B194" s="13" t="s">
        <v>213</v>
      </c>
      <c r="C194" s="838" t="s">
        <v>3512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>
      <c r="B195" s="13" t="s">
        <v>212</v>
      </c>
      <c r="C195" s="838" t="s">
        <v>3512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>
      <c r="B196" s="13" t="s">
        <v>211</v>
      </c>
      <c r="C196" s="838" t="s">
        <v>3512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>
      <c r="B197" s="13" t="s">
        <v>210</v>
      </c>
      <c r="C197" s="838" t="s">
        <v>3512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4318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>
      <c r="B198" s="13" t="s">
        <v>209</v>
      </c>
      <c r="C198" s="838" t="s">
        <v>3512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>
      <c r="B199" s="13" t="s">
        <v>208</v>
      </c>
      <c r="C199" s="838" t="s">
        <v>3512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>
      <c r="B200" s="13" t="s">
        <v>207</v>
      </c>
      <c r="C200" s="838" t="s">
        <v>3512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>
      <c r="B201" s="13" t="s">
        <v>206</v>
      </c>
      <c r="C201" s="838" t="s">
        <v>3512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>
      <c r="B202" s="13" t="s">
        <v>205</v>
      </c>
      <c r="C202" s="838" t="s">
        <v>3512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>
      <c r="B203" s="13" t="s">
        <v>292</v>
      </c>
      <c r="C203" s="838" t="s">
        <v>3512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>
      <c r="B204" s="13" t="s">
        <v>291</v>
      </c>
      <c r="C204" s="838" t="s">
        <v>3512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>
      <c r="B205" s="13" t="s">
        <v>290</v>
      </c>
      <c r="C205" s="838" t="s">
        <v>3512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>
      <c r="B206" s="13" t="s">
        <v>289</v>
      </c>
      <c r="C206" s="838" t="s">
        <v>3512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>
      <c r="B207" s="13" t="s">
        <v>288</v>
      </c>
      <c r="C207" s="838" t="s">
        <v>3512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>
      <c r="B208" s="13" t="s">
        <v>287</v>
      </c>
      <c r="C208" s="838" t="s">
        <v>3512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>
      <c r="B209" s="13" t="s">
        <v>305</v>
      </c>
      <c r="C209" s="838" t="s">
        <v>3512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>
      <c r="B210" s="13" t="s">
        <v>304</v>
      </c>
      <c r="C210" s="838" t="s">
        <v>3512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>
      <c r="B211" s="13" t="s">
        <v>303</v>
      </c>
      <c r="C211" s="838" t="s">
        <v>3512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>
      <c r="B212" s="13" t="s">
        <v>302</v>
      </c>
      <c r="C212" s="838" t="s">
        <v>3512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>
      <c r="B213" s="13" t="s">
        <v>301</v>
      </c>
      <c r="C213" s="838" t="s">
        <v>3512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>
      <c r="B214" s="13" t="s">
        <v>300</v>
      </c>
      <c r="C214" s="838" t="s">
        <v>3512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>
      <c r="B215" s="13" t="s">
        <v>299</v>
      </c>
      <c r="C215" s="838" t="s">
        <v>3512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>
      <c r="B216" s="13" t="s">
        <v>298</v>
      </c>
      <c r="C216" s="838" t="s">
        <v>3512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>
      <c r="B217" s="13" t="s">
        <v>313</v>
      </c>
      <c r="C217" s="838" t="s">
        <v>3512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>
      <c r="B218" s="13" t="s">
        <v>312</v>
      </c>
      <c r="C218" s="838" t="s">
        <v>3512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>
      <c r="B219" s="13" t="s">
        <v>311</v>
      </c>
      <c r="C219" s="838" t="s">
        <v>3512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>
      <c r="B220" s="13" t="s">
        <v>310</v>
      </c>
      <c r="C220" s="838" t="s">
        <v>3512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>
      <c r="B221" s="13" t="s">
        <v>309</v>
      </c>
      <c r="C221" s="838" t="s">
        <v>3512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>
      <c r="B222" s="13" t="s">
        <v>309</v>
      </c>
      <c r="C222" s="838" t="s">
        <v>3512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>
      <c r="B223" s="13" t="s">
        <v>308</v>
      </c>
      <c r="C223" s="838" t="s">
        <v>3512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>
      <c r="B224" s="13" t="s">
        <v>307</v>
      </c>
      <c r="C224" s="838" t="s">
        <v>3512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>
      <c r="B225" s="13" t="s">
        <v>306</v>
      </c>
      <c r="C225" s="838" t="s">
        <v>3512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4318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>
      <c r="B226" s="13" t="s">
        <v>348</v>
      </c>
      <c r="C226" s="838" t="s">
        <v>3512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>
      <c r="B227" s="13" t="s">
        <v>347</v>
      </c>
      <c r="C227" s="838" t="s">
        <v>3512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>
      <c r="B228" s="13" t="s">
        <v>346</v>
      </c>
      <c r="C228" s="838" t="s">
        <v>3512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>
      <c r="B229" s="13" t="s">
        <v>346</v>
      </c>
      <c r="C229" s="838" t="s">
        <v>3512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>
      <c r="B230" s="13" t="s">
        <v>345</v>
      </c>
      <c r="C230" s="838" t="s">
        <v>3512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>
      <c r="B231" s="13" t="s">
        <v>344</v>
      </c>
      <c r="C231" s="838" t="s">
        <v>3512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>
      <c r="B232" s="13" t="s">
        <v>343</v>
      </c>
      <c r="C232" s="838" t="s">
        <v>3512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>
      <c r="B233" s="13" t="s">
        <v>342</v>
      </c>
      <c r="C233" s="838" t="s">
        <v>3512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>
      <c r="B234" s="13" t="s">
        <v>341</v>
      </c>
      <c r="C234" s="838" t="s">
        <v>3512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>
      <c r="B235" s="13" t="s">
        <v>340</v>
      </c>
      <c r="C235" s="838" t="s">
        <v>3512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>
      <c r="B236" s="13" t="s">
        <v>339</v>
      </c>
      <c r="C236" s="838" t="s">
        <v>3512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>
      <c r="B237" s="13" t="s">
        <v>338</v>
      </c>
      <c r="C237" s="838" t="s">
        <v>3512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>
      <c r="B238" s="13" t="s">
        <v>337</v>
      </c>
      <c r="C238" s="838" t="s">
        <v>3512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>
      <c r="B239" s="13" t="s">
        <v>336</v>
      </c>
      <c r="C239" s="838" t="s">
        <v>3512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>
      <c r="B240" s="13" t="s">
        <v>335</v>
      </c>
      <c r="C240" s="838" t="s">
        <v>3512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>
      <c r="B241" s="13" t="s">
        <v>334</v>
      </c>
      <c r="C241" s="838" t="s">
        <v>3512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>
      <c r="B242" s="13" t="s">
        <v>333</v>
      </c>
      <c r="C242" s="838" t="s">
        <v>3512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>
      <c r="B243" s="13" t="s">
        <v>332</v>
      </c>
      <c r="C243" s="838" t="s">
        <v>3512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>
      <c r="B244" s="13" t="s">
        <v>331</v>
      </c>
      <c r="C244" s="838" t="s">
        <v>3512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>
      <c r="B245" s="13" t="s">
        <v>330</v>
      </c>
      <c r="C245" s="838" t="s">
        <v>3512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8" t="s">
        <v>3512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8" t="s">
        <v>3512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>
      <c r="B248" s="13" t="s">
        <v>328</v>
      </c>
      <c r="C248" s="838" t="s">
        <v>3512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>
      <c r="B249" s="13" t="s">
        <v>327</v>
      </c>
      <c r="C249" s="838" t="s">
        <v>3512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>
      <c r="B250" s="13" t="s">
        <v>326</v>
      </c>
      <c r="C250" s="838" t="s">
        <v>3512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>
      <c r="B251" s="13" t="s">
        <v>325</v>
      </c>
      <c r="C251" s="838" t="s">
        <v>3512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>
      <c r="B252" s="13" t="s">
        <v>324</v>
      </c>
      <c r="C252" s="838" t="s">
        <v>3512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>
      <c r="B253" s="13" t="s">
        <v>323</v>
      </c>
      <c r="C253" s="838" t="s">
        <v>3512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>
      <c r="B254" s="13" t="s">
        <v>322</v>
      </c>
      <c r="C254" s="838" t="s">
        <v>3512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>
      <c r="B255" s="13" t="s">
        <v>321</v>
      </c>
      <c r="C255" s="838" t="s">
        <v>3512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>
      <c r="B256" s="13" t="s">
        <v>320</v>
      </c>
      <c r="C256" s="838" t="s">
        <v>3512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>
      <c r="B257" s="13" t="s">
        <v>319</v>
      </c>
      <c r="C257" s="838" t="s">
        <v>3512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>
      <c r="B258" s="13" t="s">
        <v>319</v>
      </c>
      <c r="C258" s="838" t="s">
        <v>3512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>
      <c r="B259" s="13" t="s">
        <v>318</v>
      </c>
      <c r="C259" s="838" t="s">
        <v>3512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>
      <c r="B260" s="13" t="s">
        <v>317</v>
      </c>
      <c r="C260" s="838" t="s">
        <v>3512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8" t="s">
        <v>3512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4318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8" t="s">
        <v>3512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8" t="s">
        <v>3512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8" t="s">
        <v>3512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>
      <c r="B265" s="13" t="s">
        <v>363</v>
      </c>
      <c r="C265" s="838" t="s">
        <v>3512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>
      <c r="B266" s="13" t="s">
        <v>362</v>
      </c>
      <c r="C266" s="838" t="s">
        <v>3512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>
      <c r="B267" s="13" t="s">
        <v>361</v>
      </c>
      <c r="C267" s="838" t="s">
        <v>3512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>
      <c r="B268" s="13" t="s">
        <v>360</v>
      </c>
      <c r="C268" s="838" t="s">
        <v>3512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>
      <c r="B269" s="13" t="s">
        <v>359</v>
      </c>
      <c r="C269" s="838" t="s">
        <v>3512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>
      <c r="B270" s="13" t="s">
        <v>358</v>
      </c>
      <c r="C270" s="838" t="s">
        <v>3512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>
      <c r="B271" s="13" t="s">
        <v>357</v>
      </c>
      <c r="C271" s="838" t="s">
        <v>3512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>
      <c r="B272" s="13" t="s">
        <v>356</v>
      </c>
      <c r="C272" s="838" t="s">
        <v>3512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>
      <c r="B273" s="13" t="s">
        <v>355</v>
      </c>
      <c r="C273" s="838" t="s">
        <v>3512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>
      <c r="B274" s="13" t="s">
        <v>354</v>
      </c>
      <c r="C274" s="838" t="s">
        <v>3512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>
      <c r="B275" s="13" t="s">
        <v>353</v>
      </c>
      <c r="C275" s="838" t="s">
        <v>3512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>
      <c r="B276" s="13" t="s">
        <v>352</v>
      </c>
      <c r="C276" s="838" t="s">
        <v>3512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>
      <c r="B277" s="13" t="s">
        <v>367</v>
      </c>
      <c r="C277" s="838" t="s">
        <v>3512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>
      <c r="B278" s="13" t="s">
        <v>366</v>
      </c>
      <c r="C278" s="838" t="s">
        <v>3512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>
      <c r="B279" s="13" t="s">
        <v>371</v>
      </c>
      <c r="C279" s="838" t="s">
        <v>3512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>
      <c r="B280" s="13" t="s">
        <v>371</v>
      </c>
      <c r="C280" s="838" t="s">
        <v>3512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>
      <c r="B281" s="13" t="s">
        <v>370</v>
      </c>
      <c r="C281" s="838" t="s">
        <v>3512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>
      <c r="B282" s="13" t="s">
        <v>369</v>
      </c>
      <c r="C282" s="838" t="s">
        <v>3512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>
      <c r="B283" s="13" t="s">
        <v>368</v>
      </c>
      <c r="C283" s="838" t="s">
        <v>3512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>
      <c r="B284" s="13" t="s">
        <v>368</v>
      </c>
      <c r="C284" s="838" t="s">
        <v>3512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>
      <c r="B285" s="13" t="s">
        <v>377</v>
      </c>
      <c r="C285" s="838" t="s">
        <v>3512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>
      <c r="B286" s="13" t="s">
        <v>376</v>
      </c>
      <c r="C286" s="838" t="s">
        <v>3512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>
      <c r="B287" s="13" t="s">
        <v>375</v>
      </c>
      <c r="C287" s="838" t="s">
        <v>3512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>
      <c r="B288" s="13" t="s">
        <v>374</v>
      </c>
      <c r="C288" s="838" t="s">
        <v>3512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>
      <c r="B289" s="13" t="s">
        <v>373</v>
      </c>
      <c r="C289" s="838" t="s">
        <v>3512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>
      <c r="B290" s="13" t="s">
        <v>372</v>
      </c>
      <c r="C290" s="838" t="s">
        <v>3512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>
      <c r="B291" s="13" t="s">
        <v>378</v>
      </c>
      <c r="C291" s="838" t="s">
        <v>3512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>
      <c r="B292" s="13" t="s">
        <v>261</v>
      </c>
      <c r="C292" s="838" t="s">
        <v>3512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4318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>
      <c r="B293" s="646" t="s">
        <v>386</v>
      </c>
      <c r="C293" s="838" t="s">
        <v>3512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>
      <c r="B294" s="646" t="s">
        <v>386</v>
      </c>
      <c r="C294" s="838" t="s">
        <v>3512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>
      <c r="B295" s="646" t="s">
        <v>386</v>
      </c>
      <c r="C295" s="838" t="s">
        <v>3512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>
      <c r="B296" s="646" t="s">
        <v>386</v>
      </c>
      <c r="C296" s="838" t="s">
        <v>3512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>
      <c r="B297" s="647" t="s">
        <v>430</v>
      </c>
      <c r="C297" s="838" t="s">
        <v>3512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7" t="s">
        <v>430</v>
      </c>
      <c r="C298" s="838" t="s">
        <v>3512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7" t="s">
        <v>429</v>
      </c>
      <c r="C299" s="838" t="s">
        <v>3512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>
      <c r="B300" s="647" t="s">
        <v>428</v>
      </c>
      <c r="C300" s="838" t="s">
        <v>3512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>
      <c r="B301" s="647" t="s">
        <v>427</v>
      </c>
      <c r="C301" s="838" t="s">
        <v>3512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4318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>
      <c r="B302" s="647" t="s">
        <v>426</v>
      </c>
      <c r="C302" s="838" t="s">
        <v>3512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>
      <c r="B303" s="647" t="s">
        <v>426</v>
      </c>
      <c r="C303" s="838" t="s">
        <v>3512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4318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>
      <c r="B304" s="647" t="s">
        <v>425</v>
      </c>
      <c r="C304" s="838" t="s">
        <v>3512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4318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>
      <c r="B305" s="647" t="s">
        <v>424</v>
      </c>
      <c r="C305" s="838" t="s">
        <v>3512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>
      <c r="B306" s="647" t="s">
        <v>424</v>
      </c>
      <c r="C306" s="838" t="s">
        <v>3512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4318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>
      <c r="B307" s="647" t="s">
        <v>423</v>
      </c>
      <c r="C307" s="838" t="s">
        <v>3512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4318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>
      <c r="B308" s="647" t="s">
        <v>422</v>
      </c>
      <c r="C308" s="838" t="s">
        <v>3512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4318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>
      <c r="B309" s="647" t="s">
        <v>421</v>
      </c>
      <c r="C309" s="838" t="s">
        <v>3512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>
      <c r="B310" s="647" t="s">
        <v>420</v>
      </c>
      <c r="C310" s="838" t="s">
        <v>3512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>
      <c r="B311" s="647" t="s">
        <v>420</v>
      </c>
      <c r="C311" s="838" t="s">
        <v>3512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4318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7" t="s">
        <v>420</v>
      </c>
      <c r="C312" s="838" t="s">
        <v>3512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7" t="s">
        <v>419</v>
      </c>
      <c r="C313" s="838" t="s">
        <v>3512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>
      <c r="B314" s="647" t="s">
        <v>418</v>
      </c>
      <c r="C314" s="838" t="s">
        <v>3512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>
      <c r="B315" s="647" t="s">
        <v>417</v>
      </c>
      <c r="C315" s="838" t="s">
        <v>3512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>
      <c r="B316" s="647" t="s">
        <v>416</v>
      </c>
      <c r="C316" s="838" t="s">
        <v>3512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>
      <c r="B317" s="647" t="s">
        <v>415</v>
      </c>
      <c r="C317" s="838" t="s">
        <v>3512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7" t="s">
        <v>415</v>
      </c>
      <c r="C318" s="838" t="s">
        <v>3512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7" t="s">
        <v>415</v>
      </c>
      <c r="C319" s="838" t="s">
        <v>3512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7" t="s">
        <v>415</v>
      </c>
      <c r="C320" s="838" t="s">
        <v>3512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>
      <c r="B321" s="648" t="s">
        <v>444</v>
      </c>
      <c r="C321" s="838" t="s">
        <v>3512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>
      <c r="B322" s="648" t="s">
        <v>443</v>
      </c>
      <c r="C322" s="838" t="s">
        <v>3512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>
      <c r="B323" s="648" t="s">
        <v>442</v>
      </c>
      <c r="C323" s="838" t="s">
        <v>3512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8" t="s">
        <v>442</v>
      </c>
      <c r="C324" s="838" t="s">
        <v>3512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8" t="s">
        <v>441</v>
      </c>
      <c r="C325" s="838" t="s">
        <v>3512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>
      <c r="B326" s="648" t="s">
        <v>440</v>
      </c>
      <c r="C326" s="838" t="s">
        <v>3512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>
      <c r="B327" s="648" t="s">
        <v>439</v>
      </c>
      <c r="C327" s="838" t="s">
        <v>3512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8" t="s">
        <v>439</v>
      </c>
      <c r="C328" s="838" t="s">
        <v>3512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8" t="s">
        <v>439</v>
      </c>
      <c r="C329" s="838" t="s">
        <v>3512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>
      <c r="B330" s="648" t="s">
        <v>438</v>
      </c>
      <c r="C330" s="838" t="s">
        <v>3512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>
      <c r="B331" s="648" t="s">
        <v>437</v>
      </c>
      <c r="C331" s="838" t="s">
        <v>3512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8" t="s">
        <v>437</v>
      </c>
      <c r="C332" s="838" t="s">
        <v>3512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4318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8" t="s">
        <v>436</v>
      </c>
      <c r="C333" s="838" t="s">
        <v>3512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>
      <c r="B334" s="648" t="s">
        <v>435</v>
      </c>
      <c r="C334" s="838" t="s">
        <v>3512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>
      <c r="B335" s="648" t="s">
        <v>434</v>
      </c>
      <c r="C335" s="838" t="s">
        <v>3512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8" t="s">
        <v>434</v>
      </c>
      <c r="C336" s="838" t="s">
        <v>3512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8" t="s">
        <v>431</v>
      </c>
      <c r="C337" s="838" t="s">
        <v>3512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>
      <c r="B338" s="648" t="s">
        <v>433</v>
      </c>
      <c r="C338" s="838" t="s">
        <v>3512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>
      <c r="B339" s="648" t="s">
        <v>432</v>
      </c>
      <c r="C339" s="838" t="s">
        <v>3512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>
      <c r="B340" s="648" t="s">
        <v>431</v>
      </c>
      <c r="C340" s="838" t="s">
        <v>3512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4318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8" t="s">
        <v>431</v>
      </c>
      <c r="C341" s="838" t="s">
        <v>3512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49" t="s">
        <v>450</v>
      </c>
      <c r="C342" s="838" t="s">
        <v>3512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>
      <c r="B343" s="649" t="s">
        <v>449</v>
      </c>
      <c r="C343" s="838" t="s">
        <v>3512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>
      <c r="B344" s="649" t="s">
        <v>448</v>
      </c>
      <c r="C344" s="838" t="s">
        <v>3512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>
      <c r="B345" s="649" t="s">
        <v>447</v>
      </c>
      <c r="C345" s="838" t="s">
        <v>3512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>
      <c r="B346" s="649" t="s">
        <v>446</v>
      </c>
      <c r="C346" s="838" t="s">
        <v>3512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>
      <c r="B347" s="649" t="s">
        <v>445</v>
      </c>
      <c r="C347" s="838" t="s">
        <v>3512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49" t="s">
        <v>445</v>
      </c>
      <c r="C348" s="838" t="s">
        <v>3512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0" t="s">
        <v>457</v>
      </c>
      <c r="C349" s="838" t="s">
        <v>3512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>
      <c r="B350" s="650" t="s">
        <v>456</v>
      </c>
      <c r="C350" s="838" t="s">
        <v>3512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>
      <c r="B351" s="650" t="s">
        <v>455</v>
      </c>
      <c r="C351" s="838" t="s">
        <v>3512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>
      <c r="B352" s="650" t="s">
        <v>454</v>
      </c>
      <c r="C352" s="838" t="s">
        <v>3512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>
      <c r="B353" s="651" t="s">
        <v>462</v>
      </c>
      <c r="C353" s="838" t="s">
        <v>3512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>
      <c r="B354" s="651" t="s">
        <v>462</v>
      </c>
      <c r="C354" s="838" t="s">
        <v>3512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>
      <c r="B355" s="651" t="s">
        <v>461</v>
      </c>
      <c r="C355" s="838" t="s">
        <v>3512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4318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1" t="s">
        <v>461</v>
      </c>
      <c r="C356" s="838" t="s">
        <v>3512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1" t="s">
        <v>461</v>
      </c>
      <c r="C357" s="838" t="s">
        <v>3512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3367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>
      <c r="B358" s="651" t="s">
        <v>458</v>
      </c>
      <c r="C358" s="838" t="s">
        <v>3512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>
      <c r="B359" s="651" t="s">
        <v>453</v>
      </c>
      <c r="C359" s="838" t="s">
        <v>3512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>
      <c r="B360" s="651" t="s">
        <v>460</v>
      </c>
      <c r="C360" s="838" t="s">
        <v>3512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>
      <c r="B361" s="651" t="s">
        <v>460</v>
      </c>
      <c r="C361" s="838" t="s">
        <v>3512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>
      <c r="B362" s="651" t="s">
        <v>453</v>
      </c>
      <c r="C362" s="838" t="s">
        <v>3512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4318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1" t="s">
        <v>453</v>
      </c>
      <c r="C363" s="838" t="s">
        <v>3512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1" t="s">
        <v>459</v>
      </c>
      <c r="C364" s="838" t="s">
        <v>3512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>
      <c r="B365" s="652" t="s">
        <v>496</v>
      </c>
      <c r="C365" s="838" t="s">
        <v>3512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>
      <c r="B366" s="652" t="s">
        <v>495</v>
      </c>
      <c r="C366" s="838" t="s">
        <v>3512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>
      <c r="B367" s="652" t="s">
        <v>495</v>
      </c>
      <c r="C367" s="838" t="s">
        <v>3512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>
      <c r="B368" s="652" t="s">
        <v>494</v>
      </c>
      <c r="C368" s="838" t="s">
        <v>3512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>
      <c r="B369" s="652" t="s">
        <v>492</v>
      </c>
      <c r="C369" s="838" t="s">
        <v>3512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>
      <c r="B370" s="652" t="s">
        <v>493</v>
      </c>
      <c r="C370" s="838" t="s">
        <v>3512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>
      <c r="B371" s="652" t="s">
        <v>492</v>
      </c>
      <c r="C371" s="838" t="s">
        <v>3512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2" t="s">
        <v>492</v>
      </c>
      <c r="C372" s="838" t="s">
        <v>3512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4318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2" t="s">
        <v>492</v>
      </c>
      <c r="C373" s="838" t="s">
        <v>3512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2" t="s">
        <v>492</v>
      </c>
      <c r="C374" s="838" t="s">
        <v>3512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>
      <c r="B375" s="652" t="s">
        <v>491</v>
      </c>
      <c r="C375" s="838" t="s">
        <v>3512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2" t="s">
        <v>491</v>
      </c>
      <c r="C376" s="838" t="s">
        <v>3512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2" t="s">
        <v>491</v>
      </c>
      <c r="C377" s="838" t="s">
        <v>3512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4318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2" t="s">
        <v>491</v>
      </c>
      <c r="C378" s="838" t="s">
        <v>3512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2" t="s">
        <v>491</v>
      </c>
      <c r="C379" s="838" t="s">
        <v>3512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>
      <c r="B380" s="652" t="s">
        <v>490</v>
      </c>
      <c r="C380" s="838" t="s">
        <v>3512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>
      <c r="B381" s="652" t="s">
        <v>489</v>
      </c>
      <c r="C381" s="838" t="s">
        <v>3512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>
      <c r="B382" s="652" t="s">
        <v>488</v>
      </c>
      <c r="C382" s="838" t="s">
        <v>3512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>
      <c r="B383" s="652" t="s">
        <v>487</v>
      </c>
      <c r="C383" s="838" t="s">
        <v>3512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>
      <c r="B384" s="652" t="s">
        <v>486</v>
      </c>
      <c r="C384" s="838" t="s">
        <v>3512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>
      <c r="B385" s="652" t="s">
        <v>485</v>
      </c>
      <c r="C385" s="838" t="s">
        <v>3512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>
      <c r="B386" s="652" t="s">
        <v>484</v>
      </c>
      <c r="C386" s="838" t="s">
        <v>3512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>
      <c r="B387" s="652" t="s">
        <v>483</v>
      </c>
      <c r="C387" s="838" t="s">
        <v>3512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>
      <c r="B388" s="652" t="s">
        <v>482</v>
      </c>
      <c r="C388" s="838" t="s">
        <v>3512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>
      <c r="B389" s="652" t="s">
        <v>481</v>
      </c>
      <c r="C389" s="838" t="s">
        <v>3512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2" t="s">
        <v>481</v>
      </c>
      <c r="C390" s="838" t="s">
        <v>3512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2" t="s">
        <v>480</v>
      </c>
      <c r="C391" s="838" t="s">
        <v>3512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>
      <c r="B392" s="652" t="s">
        <v>479</v>
      </c>
      <c r="C392" s="838" t="s">
        <v>3512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>
      <c r="B393" s="652" t="s">
        <v>479</v>
      </c>
      <c r="C393" s="838" t="s">
        <v>3512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3367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>
      <c r="B394" s="652" t="s">
        <v>478</v>
      </c>
      <c r="C394" s="838" t="s">
        <v>3512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>
      <c r="B395" s="652" t="s">
        <v>477</v>
      </c>
      <c r="C395" s="838" t="s">
        <v>3512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>
      <c r="B396" s="652" t="s">
        <v>476</v>
      </c>
      <c r="C396" s="838" t="s">
        <v>3512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>
      <c r="B397" s="652" t="s">
        <v>476</v>
      </c>
      <c r="C397" s="838" t="s">
        <v>3512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>
      <c r="B398" s="652" t="s">
        <v>475</v>
      </c>
      <c r="C398" s="838" t="s">
        <v>3512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>
      <c r="B399" s="652" t="s">
        <v>474</v>
      </c>
      <c r="C399" s="838" t="s">
        <v>3512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>
      <c r="B400" s="652" t="s">
        <v>473</v>
      </c>
      <c r="C400" s="838" t="s">
        <v>3512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>
      <c r="B401" s="652" t="s">
        <v>472</v>
      </c>
      <c r="C401" s="838" t="s">
        <v>3512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>
      <c r="B402" s="652" t="s">
        <v>471</v>
      </c>
      <c r="C402" s="838" t="s">
        <v>3512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>
      <c r="B403" s="652" t="s">
        <v>470</v>
      </c>
      <c r="C403" s="838" t="s">
        <v>3512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>
      <c r="B404" s="652" t="s">
        <v>469</v>
      </c>
      <c r="C404" s="838" t="s">
        <v>3512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>
      <c r="B405" s="652" t="s">
        <v>468</v>
      </c>
      <c r="C405" s="838" t="s">
        <v>3512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>
      <c r="B406" s="653" t="s">
        <v>507</v>
      </c>
      <c r="C406" s="838" t="s">
        <v>3512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>
      <c r="B407" s="653" t="s">
        <v>506</v>
      </c>
      <c r="C407" s="838" t="s">
        <v>3512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>
      <c r="B408" s="654" t="s">
        <v>504</v>
      </c>
      <c r="C408" s="838" t="s">
        <v>3512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>
      <c r="B409" s="654" t="s">
        <v>515</v>
      </c>
      <c r="C409" s="838" t="s">
        <v>3512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>
      <c r="B410" s="654" t="s">
        <v>514</v>
      </c>
      <c r="C410" s="838" t="s">
        <v>3512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>
      <c r="B411" s="654" t="s">
        <v>513</v>
      </c>
      <c r="C411" s="838" t="s">
        <v>3512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3367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>
      <c r="B412" s="654" t="s">
        <v>512</v>
      </c>
      <c r="C412" s="838" t="s">
        <v>3512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>
      <c r="B413" s="654" t="s">
        <v>511</v>
      </c>
      <c r="C413" s="838" t="s">
        <v>3512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>
      <c r="B414" s="654" t="s">
        <v>510</v>
      </c>
      <c r="C414" s="838" t="s">
        <v>3512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>
      <c r="B415" s="655" t="s">
        <v>517</v>
      </c>
      <c r="C415" s="838" t="s">
        <v>3512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>
      <c r="B416" s="655" t="s">
        <v>521</v>
      </c>
      <c r="C416" s="838" t="s">
        <v>3512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4318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>
      <c r="B417" s="655" t="s">
        <v>521</v>
      </c>
      <c r="C417" s="838" t="s">
        <v>3512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3367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>
      <c r="B418" s="655" t="s">
        <v>520</v>
      </c>
      <c r="C418" s="838" t="s">
        <v>3512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>
      <c r="B419" s="655" t="s">
        <v>519</v>
      </c>
      <c r="C419" s="838" t="s">
        <v>3512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5" t="s">
        <v>519</v>
      </c>
      <c r="C420" s="838" t="s">
        <v>3512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5" t="s">
        <v>519</v>
      </c>
      <c r="C421" s="838" t="s">
        <v>3512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>
      <c r="B422" s="655" t="s">
        <v>518</v>
      </c>
      <c r="C422" s="838" t="s">
        <v>3512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>
      <c r="B423" s="655" t="s">
        <v>518</v>
      </c>
      <c r="C423" s="838" t="s">
        <v>3512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3367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>
      <c r="B424" s="656" t="s">
        <v>574</v>
      </c>
      <c r="C424" s="838" t="s">
        <v>3512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>
      <c r="B425" s="656" t="s">
        <v>573</v>
      </c>
      <c r="C425" s="838" t="s">
        <v>3512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>
      <c r="B426" s="656" t="s">
        <v>572</v>
      </c>
      <c r="C426" s="838" t="s">
        <v>3512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>
      <c r="B427" s="656" t="s">
        <v>572</v>
      </c>
      <c r="C427" s="838" t="s">
        <v>3512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>
      <c r="B428" s="656" t="s">
        <v>571</v>
      </c>
      <c r="C428" s="838" t="s">
        <v>3512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4318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>
      <c r="B429" s="656" t="s">
        <v>570</v>
      </c>
      <c r="C429" s="838" t="s">
        <v>3512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>
      <c r="B430" s="656" t="s">
        <v>569</v>
      </c>
      <c r="C430" s="838" t="s">
        <v>3512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>
      <c r="B431" s="656" t="s">
        <v>568</v>
      </c>
      <c r="C431" s="838" t="s">
        <v>3512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>
      <c r="B432" s="656" t="s">
        <v>567</v>
      </c>
      <c r="C432" s="838" t="s">
        <v>3512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>
      <c r="B433" s="656" t="s">
        <v>566</v>
      </c>
      <c r="C433" s="838" t="s">
        <v>3512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4318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>
      <c r="B434" s="656" t="s">
        <v>565</v>
      </c>
      <c r="C434" s="838" t="s">
        <v>3512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>
      <c r="B435" s="656" t="s">
        <v>564</v>
      </c>
      <c r="C435" s="838" t="s">
        <v>3512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>
      <c r="B436" s="656" t="s">
        <v>563</v>
      </c>
      <c r="C436" s="838" t="s">
        <v>3512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>
      <c r="B437" s="656" t="s">
        <v>559</v>
      </c>
      <c r="C437" s="838" t="s">
        <v>3512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>
      <c r="B438" s="656" t="s">
        <v>562</v>
      </c>
      <c r="C438" s="838" t="s">
        <v>3512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>
      <c r="B439" s="656" t="s">
        <v>561</v>
      </c>
      <c r="C439" s="838" t="s">
        <v>3512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>
      <c r="B440" s="656" t="s">
        <v>560</v>
      </c>
      <c r="C440" s="838" t="s">
        <v>3512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>
      <c r="B441" s="656" t="s">
        <v>559</v>
      </c>
      <c r="C441" s="838" t="s">
        <v>3512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>
      <c r="B442" s="656" t="s">
        <v>558</v>
      </c>
      <c r="C442" s="838" t="s">
        <v>3512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>
      <c r="B443" s="656" t="s">
        <v>557</v>
      </c>
      <c r="C443" s="838" t="s">
        <v>3512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>
      <c r="B444" s="656" t="s">
        <v>556</v>
      </c>
      <c r="C444" s="838" t="s">
        <v>3512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>
      <c r="B445" s="656" t="s">
        <v>555</v>
      </c>
      <c r="C445" s="838" t="s">
        <v>3512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>
      <c r="B446" s="656" t="s">
        <v>554</v>
      </c>
      <c r="C446" s="838" t="s">
        <v>3512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>
      <c r="B447" s="656" t="s">
        <v>553</v>
      </c>
      <c r="C447" s="838" t="s">
        <v>3512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>
      <c r="B448" s="656" t="s">
        <v>552</v>
      </c>
      <c r="C448" s="838" t="s">
        <v>3512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>
      <c r="B449" s="656" t="s">
        <v>552</v>
      </c>
      <c r="C449" s="838" t="s">
        <v>3512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>
      <c r="B450" s="656" t="s">
        <v>551</v>
      </c>
      <c r="C450" s="838" t="s">
        <v>3512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>
      <c r="B451" s="656" t="s">
        <v>551</v>
      </c>
      <c r="C451" s="838" t="s">
        <v>3512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>
      <c r="B452" s="656" t="s">
        <v>550</v>
      </c>
      <c r="C452" s="838" t="s">
        <v>3512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>
      <c r="B453" s="656" t="s">
        <v>549</v>
      </c>
      <c r="C453" s="838" t="s">
        <v>3512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6" t="s">
        <v>549</v>
      </c>
      <c r="C454" s="838" t="s">
        <v>3512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6" t="s">
        <v>549</v>
      </c>
      <c r="C455" s="838" t="s">
        <v>3512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>
      <c r="B456" s="656" t="s">
        <v>548</v>
      </c>
      <c r="C456" s="838" t="s">
        <v>3512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>
      <c r="B457" s="656" t="s">
        <v>548</v>
      </c>
      <c r="C457" s="838" t="s">
        <v>3512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3367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>
      <c r="B458" s="656" t="s">
        <v>547</v>
      </c>
      <c r="C458" s="838" t="s">
        <v>3512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>
      <c r="B459" s="656" t="s">
        <v>546</v>
      </c>
      <c r="C459" s="838" t="s">
        <v>3512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>
      <c r="B460" s="656" t="s">
        <v>545</v>
      </c>
      <c r="C460" s="838" t="s">
        <v>3512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>
      <c r="B461" s="656" t="s">
        <v>545</v>
      </c>
      <c r="C461" s="838" t="s">
        <v>3512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>
      <c r="B462" s="656" t="s">
        <v>544</v>
      </c>
      <c r="C462" s="838" t="s">
        <v>3512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>
      <c r="B463" s="656" t="s">
        <v>543</v>
      </c>
      <c r="C463" s="838" t="s">
        <v>3512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6" t="s">
        <v>543</v>
      </c>
      <c r="C464" s="838" t="s">
        <v>3512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6" t="s">
        <v>542</v>
      </c>
      <c r="C465" s="838" t="s">
        <v>3512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>
      <c r="B466" s="656" t="s">
        <v>541</v>
      </c>
      <c r="C466" s="838" t="s">
        <v>3512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>
      <c r="B467" s="656" t="s">
        <v>540</v>
      </c>
      <c r="C467" s="838" t="s">
        <v>3512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>
      <c r="B468" s="656" t="s">
        <v>539</v>
      </c>
      <c r="C468" s="838" t="s">
        <v>3512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>
      <c r="B469" s="656" t="s">
        <v>538</v>
      </c>
      <c r="C469" s="838" t="s">
        <v>3512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>
      <c r="B470" s="656" t="s">
        <v>537</v>
      </c>
      <c r="C470" s="838" t="s">
        <v>3512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>
      <c r="B471" s="656" t="s">
        <v>536</v>
      </c>
      <c r="C471" s="838" t="s">
        <v>3512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>
      <c r="B472" s="656" t="s">
        <v>535</v>
      </c>
      <c r="C472" s="838" t="s">
        <v>3512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3367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>
      <c r="B473" s="656" t="s">
        <v>534</v>
      </c>
      <c r="C473" s="838" t="s">
        <v>3512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>
      <c r="B474" s="656" t="s">
        <v>533</v>
      </c>
      <c r="C474" s="838" t="s">
        <v>3512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>
      <c r="B475" s="656" t="s">
        <v>532</v>
      </c>
      <c r="C475" s="838" t="s">
        <v>3512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>
      <c r="B476" s="656" t="s">
        <v>531</v>
      </c>
      <c r="C476" s="838" t="s">
        <v>3512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>
      <c r="B477" s="656" t="s">
        <v>530</v>
      </c>
      <c r="C477" s="838" t="s">
        <v>3512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>
      <c r="B478" s="656" t="s">
        <v>530</v>
      </c>
      <c r="C478" s="838" t="s">
        <v>3512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>
      <c r="B479" s="656" t="s">
        <v>529</v>
      </c>
      <c r="C479" s="838" t="s">
        <v>3512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>
      <c r="B480" s="656" t="s">
        <v>529</v>
      </c>
      <c r="C480" s="838" t="s">
        <v>3512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3367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>
      <c r="B481" s="656" t="s">
        <v>528</v>
      </c>
      <c r="C481" s="838" t="s">
        <v>3512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6" t="s">
        <v>528</v>
      </c>
      <c r="C482" s="838" t="s">
        <v>3512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6" t="s">
        <v>527</v>
      </c>
      <c r="C483" s="838" t="s">
        <v>3512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6" t="s">
        <v>527</v>
      </c>
      <c r="C484" s="838" t="s">
        <v>3512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6" t="s">
        <v>527</v>
      </c>
      <c r="C485" s="838" t="s">
        <v>3512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6" t="s">
        <v>527</v>
      </c>
      <c r="C486" s="838" t="s">
        <v>3512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>
      <c r="B487" s="656" t="s">
        <v>526</v>
      </c>
      <c r="C487" s="838" t="s">
        <v>3512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>
      <c r="B488" s="656" t="s">
        <v>525</v>
      </c>
      <c r="C488" s="838" t="s">
        <v>3512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6" t="s">
        <v>525</v>
      </c>
      <c r="C489" s="838" t="s">
        <v>3512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6" t="s">
        <v>525</v>
      </c>
      <c r="C490" s="838" t="s">
        <v>3512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6" t="s">
        <v>524</v>
      </c>
      <c r="C491" s="838" t="s">
        <v>3512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>
      <c r="B492" s="656" t="s">
        <v>523</v>
      </c>
      <c r="C492" s="838" t="s">
        <v>3512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>
      <c r="B493" s="656" t="s">
        <v>522</v>
      </c>
      <c r="C493" s="838" t="s">
        <v>3512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>
      <c r="B494" s="657" t="s">
        <v>604</v>
      </c>
      <c r="C494" s="838" t="s">
        <v>3512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7" t="s">
        <v>604</v>
      </c>
      <c r="C495" s="838" t="s">
        <v>3512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7" t="s">
        <v>603</v>
      </c>
      <c r="C496" s="838" t="s">
        <v>3512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>
      <c r="B497" s="657" t="s">
        <v>602</v>
      </c>
      <c r="C497" s="838" t="s">
        <v>3512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>
      <c r="B498" s="657" t="s">
        <v>602</v>
      </c>
      <c r="C498" s="838" t="s">
        <v>3512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>
      <c r="B499" s="657" t="s">
        <v>601</v>
      </c>
      <c r="C499" s="838" t="s">
        <v>3512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3367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3767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>
      <c r="B500" s="657" t="s">
        <v>600</v>
      </c>
      <c r="C500" s="838" t="s">
        <v>3512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>
      <c r="B501" s="657" t="s">
        <v>599</v>
      </c>
      <c r="C501" s="838" t="s">
        <v>3512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>
      <c r="B502" s="657" t="s">
        <v>598</v>
      </c>
      <c r="C502" s="838" t="s">
        <v>3512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>
      <c r="B503" s="657" t="s">
        <v>597</v>
      </c>
      <c r="C503" s="838" t="s">
        <v>3512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3767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>
      <c r="B504" s="657" t="s">
        <v>597</v>
      </c>
      <c r="C504" s="838" t="s">
        <v>3512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>
      <c r="B505" s="657" t="s">
        <v>596</v>
      </c>
      <c r="C505" s="838" t="s">
        <v>3512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7" t="s">
        <v>596</v>
      </c>
      <c r="C506" s="838" t="s">
        <v>3512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7" t="s">
        <v>595</v>
      </c>
      <c r="C507" s="838" t="s">
        <v>3512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>
      <c r="B508" s="657" t="s">
        <v>594</v>
      </c>
      <c r="C508" s="838" t="s">
        <v>3512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3767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>
      <c r="B509" s="658" t="s">
        <v>616</v>
      </c>
      <c r="C509" s="838" t="s">
        <v>3512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>
      <c r="B510" s="658" t="s">
        <v>615</v>
      </c>
      <c r="C510" s="838" t="s">
        <v>3512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>
      <c r="B511" s="658" t="s">
        <v>614</v>
      </c>
      <c r="C511" s="838" t="s">
        <v>3512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>
      <c r="B512" s="658" t="s">
        <v>613</v>
      </c>
      <c r="C512" s="838" t="s">
        <v>3512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>
      <c r="B513" s="658" t="s">
        <v>612</v>
      </c>
      <c r="C513" s="838" t="s">
        <v>3512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8" t="s">
        <v>612</v>
      </c>
      <c r="C514" s="838" t="s">
        <v>3512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8" t="s">
        <v>611</v>
      </c>
      <c r="C515" s="838" t="s">
        <v>3512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8" t="s">
        <v>611</v>
      </c>
      <c r="C516" s="838" t="s">
        <v>3512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8" t="s">
        <v>610</v>
      </c>
      <c r="C517" s="838" t="s">
        <v>3512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8" t="s">
        <v>610</v>
      </c>
      <c r="C518" s="838" t="s">
        <v>3512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8" t="s">
        <v>608</v>
      </c>
      <c r="C519" s="838" t="s">
        <v>3512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3767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>
      <c r="B520" s="658" t="s">
        <v>609</v>
      </c>
      <c r="C520" s="838" t="s">
        <v>3512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3767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>
      <c r="B521" s="658" t="s">
        <v>608</v>
      </c>
      <c r="C521" s="838" t="s">
        <v>3512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3367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3767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>
      <c r="B522" s="658" t="s">
        <v>608</v>
      </c>
      <c r="C522" s="838" t="s">
        <v>3512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>
      <c r="B523" s="658" t="s">
        <v>607</v>
      </c>
      <c r="C523" s="838" t="s">
        <v>3512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>
      <c r="B524" s="658" t="s">
        <v>607</v>
      </c>
      <c r="C524" s="838" t="s">
        <v>3512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>
      <c r="B525" s="658" t="s">
        <v>606</v>
      </c>
      <c r="C525" s="838" t="s">
        <v>3512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>
      <c r="B526" s="658" t="s">
        <v>605</v>
      </c>
      <c r="C526" s="838" t="s">
        <v>3512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>
      <c r="B527" s="659" t="s">
        <v>625</v>
      </c>
      <c r="C527" s="838" t="s">
        <v>3512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>
      <c r="B528" s="659" t="s">
        <v>624</v>
      </c>
      <c r="C528" s="838" t="s">
        <v>3512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>
      <c r="B529" s="659" t="s">
        <v>623</v>
      </c>
      <c r="C529" s="838" t="s">
        <v>3512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>
      <c r="B530" s="659" t="s">
        <v>622</v>
      </c>
      <c r="C530" s="838" t="s">
        <v>3512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>
      <c r="B531" s="659" t="s">
        <v>621</v>
      </c>
      <c r="C531" s="838" t="s">
        <v>3512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>
      <c r="B532" s="659" t="s">
        <v>620</v>
      </c>
      <c r="C532" s="838" t="s">
        <v>3512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>
      <c r="B533" s="660" t="s">
        <v>688</v>
      </c>
      <c r="C533" s="838" t="s">
        <v>3512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>
      <c r="B534" s="660" t="s">
        <v>687</v>
      </c>
      <c r="C534" s="838" t="s">
        <v>3512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>
      <c r="B535" s="660" t="s">
        <v>686</v>
      </c>
      <c r="C535" s="838" t="s">
        <v>3512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0" t="s">
        <v>686</v>
      </c>
      <c r="C536" s="838" t="s">
        <v>3512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0" t="s">
        <v>685</v>
      </c>
      <c r="C537" s="838" t="s">
        <v>3512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>
      <c r="B538" s="660" t="s">
        <v>684</v>
      </c>
      <c r="C538" s="838" t="s">
        <v>3512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>
      <c r="B539" s="660" t="s">
        <v>683</v>
      </c>
      <c r="C539" s="838" t="s">
        <v>3512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>
      <c r="B540" s="660" t="s">
        <v>682</v>
      </c>
      <c r="C540" s="838" t="s">
        <v>3512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>
      <c r="B541" s="660" t="s">
        <v>681</v>
      </c>
      <c r="C541" s="838" t="s">
        <v>3512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0" t="s">
        <v>681</v>
      </c>
      <c r="C542" s="838" t="s">
        <v>3512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0" t="s">
        <v>680</v>
      </c>
      <c r="C543" s="838" t="s">
        <v>3512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>
      <c r="B544" s="660" t="s">
        <v>679</v>
      </c>
      <c r="C544" s="838" t="s">
        <v>3512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>
      <c r="B545" s="660" t="s">
        <v>678</v>
      </c>
      <c r="C545" s="838" t="s">
        <v>3512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>
      <c r="B546" s="660" t="s">
        <v>677</v>
      </c>
      <c r="C546" s="838" t="s">
        <v>3512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>
      <c r="B547" s="660" t="s">
        <v>676</v>
      </c>
      <c r="C547" s="838" t="s">
        <v>3512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>
      <c r="B548" s="660" t="s">
        <v>675</v>
      </c>
      <c r="C548" s="838" t="s">
        <v>3512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>
      <c r="B549" s="660" t="s">
        <v>674</v>
      </c>
      <c r="C549" s="838" t="s">
        <v>3512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>
      <c r="B550" s="660" t="s">
        <v>673</v>
      </c>
      <c r="C550" s="838" t="s">
        <v>3512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0" t="s">
        <v>673</v>
      </c>
      <c r="C551" s="838" t="s">
        <v>3512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0" t="s">
        <v>672</v>
      </c>
      <c r="C552" s="838" t="s">
        <v>3512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>
      <c r="B553" s="660" t="s">
        <v>671</v>
      </c>
      <c r="C553" s="838" t="s">
        <v>3512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>
      <c r="B554" s="660" t="s">
        <v>670</v>
      </c>
      <c r="C554" s="838" t="s">
        <v>3512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0" t="s">
        <v>670</v>
      </c>
      <c r="C555" s="838" t="s">
        <v>3512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0" t="s">
        <v>669</v>
      </c>
      <c r="C556" s="838" t="s">
        <v>3512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>
      <c r="B557" s="660" t="s">
        <v>668</v>
      </c>
      <c r="C557" s="838" t="s">
        <v>3512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0" t="s">
        <v>668</v>
      </c>
      <c r="C558" s="838" t="s">
        <v>3512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0" t="s">
        <v>667</v>
      </c>
      <c r="C559" s="838" t="s">
        <v>3512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>
      <c r="B560" s="660" t="s">
        <v>666</v>
      </c>
      <c r="C560" s="838" t="s">
        <v>3512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>
      <c r="B561" s="660" t="s">
        <v>665</v>
      </c>
      <c r="C561" s="838" t="s">
        <v>3512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0" t="s">
        <v>665</v>
      </c>
      <c r="C562" s="838" t="s">
        <v>3512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0" t="s">
        <v>664</v>
      </c>
      <c r="C563" s="838" t="s">
        <v>3512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>
      <c r="B564" s="660" t="s">
        <v>663</v>
      </c>
      <c r="C564" s="838" t="s">
        <v>3512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>
      <c r="B565" s="660" t="s">
        <v>663</v>
      </c>
      <c r="C565" s="838" t="s">
        <v>3512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>
      <c r="B566" s="660" t="s">
        <v>662</v>
      </c>
      <c r="C566" s="838" t="s">
        <v>3512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>
      <c r="B567" s="660" t="s">
        <v>661</v>
      </c>
      <c r="C567" s="838" t="s">
        <v>3512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>
      <c r="B568" s="660" t="s">
        <v>660</v>
      </c>
      <c r="C568" s="838" t="s">
        <v>3512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>
      <c r="B569" s="660" t="s">
        <v>659</v>
      </c>
      <c r="C569" s="838" t="s">
        <v>3512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>
      <c r="B570" s="660" t="s">
        <v>658</v>
      </c>
      <c r="C570" s="838" t="s">
        <v>3512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>
      <c r="B571" s="660" t="s">
        <v>657</v>
      </c>
      <c r="C571" s="838" t="s">
        <v>3512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>
      <c r="B572" s="660" t="s">
        <v>656</v>
      </c>
      <c r="C572" s="838" t="s">
        <v>3512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>
      <c r="B573" s="660" t="s">
        <v>656</v>
      </c>
      <c r="C573" s="838" t="s">
        <v>3512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>
      <c r="B574" s="660" t="s">
        <v>655</v>
      </c>
      <c r="C574" s="838" t="s">
        <v>3512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>
      <c r="B575" s="660" t="s">
        <v>649</v>
      </c>
      <c r="C575" s="838" t="s">
        <v>3512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>
      <c r="B576" s="660" t="s">
        <v>654</v>
      </c>
      <c r="C576" s="838" t="s">
        <v>3512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1212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>
      <c r="B577" s="660" t="s">
        <v>653</v>
      </c>
      <c r="C577" s="838" t="s">
        <v>3512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>
      <c r="B578" s="660" t="s">
        <v>652</v>
      </c>
      <c r="C578" s="838" t="s">
        <v>3512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0" t="s">
        <v>652</v>
      </c>
      <c r="C579" s="838" t="s">
        <v>3512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0" t="s">
        <v>651</v>
      </c>
      <c r="C580" s="838" t="s">
        <v>3512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>
      <c r="B581" s="660" t="s">
        <v>650</v>
      </c>
      <c r="C581" s="838" t="s">
        <v>3512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>
      <c r="B582" s="660" t="s">
        <v>649</v>
      </c>
      <c r="C582" s="838" t="s">
        <v>3512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0" t="s">
        <v>649</v>
      </c>
      <c r="C583" s="838" t="s">
        <v>3512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0" t="s">
        <v>648</v>
      </c>
      <c r="C584" s="838" t="s">
        <v>3512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>
      <c r="B585" s="660" t="s">
        <v>648</v>
      </c>
      <c r="C585" s="838" t="s">
        <v>3512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3367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>
      <c r="B586" s="660" t="s">
        <v>647</v>
      </c>
      <c r="C586" s="838" t="s">
        <v>3512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>
      <c r="B587" s="660" t="s">
        <v>646</v>
      </c>
      <c r="C587" s="838" t="s">
        <v>3512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>
      <c r="B588" s="660" t="s">
        <v>645</v>
      </c>
      <c r="C588" s="838" t="s">
        <v>3512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>
      <c r="B589" s="660" t="s">
        <v>645</v>
      </c>
      <c r="C589" s="838" t="s">
        <v>3512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>
      <c r="B590" s="660" t="s">
        <v>644</v>
      </c>
      <c r="C590" s="838" t="s">
        <v>3512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>
      <c r="B591" s="660" t="s">
        <v>643</v>
      </c>
      <c r="C591" s="838" t="s">
        <v>3512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>
      <c r="B592" s="660" t="s">
        <v>642</v>
      </c>
      <c r="C592" s="838" t="s">
        <v>3512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0" t="s">
        <v>642</v>
      </c>
      <c r="C593" s="838" t="s">
        <v>3512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0" t="s">
        <v>641</v>
      </c>
      <c r="C594" s="838" t="s">
        <v>3512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>
      <c r="B595" s="660" t="s">
        <v>640</v>
      </c>
      <c r="C595" s="838" t="s">
        <v>3512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>
      <c r="B596" s="660" t="s">
        <v>639</v>
      </c>
      <c r="C596" s="838" t="s">
        <v>3512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>
      <c r="B597" s="660" t="s">
        <v>638</v>
      </c>
      <c r="C597" s="838" t="s">
        <v>3512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>
      <c r="B598" s="660" t="s">
        <v>637</v>
      </c>
      <c r="C598" s="838" t="s">
        <v>3512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>
      <c r="B599" s="660" t="s">
        <v>636</v>
      </c>
      <c r="C599" s="838" t="s">
        <v>3512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>
      <c r="B600" s="660" t="s">
        <v>635</v>
      </c>
      <c r="C600" s="838" t="s">
        <v>3512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>
      <c r="B601" s="660" t="s">
        <v>635</v>
      </c>
      <c r="C601" s="838" t="s">
        <v>3512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3367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>
      <c r="B602" s="660" t="s">
        <v>634</v>
      </c>
      <c r="C602" s="838" t="s">
        <v>3512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>
      <c r="B603" s="660" t="s">
        <v>633</v>
      </c>
      <c r="C603" s="838" t="s">
        <v>3512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0" t="s">
        <v>633</v>
      </c>
      <c r="C604" s="838" t="s">
        <v>3512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0" t="s">
        <v>632</v>
      </c>
      <c r="C605" s="838" t="s">
        <v>3512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>
      <c r="B606" s="660" t="s">
        <v>631</v>
      </c>
      <c r="C606" s="838" t="s">
        <v>3512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>
      <c r="B607" s="660" t="s">
        <v>630</v>
      </c>
      <c r="C607" s="838" t="s">
        <v>3512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>
      <c r="B608" s="660" t="s">
        <v>630</v>
      </c>
      <c r="C608" s="838" t="s">
        <v>3512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1213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>
      <c r="B609" s="660" t="s">
        <v>629</v>
      </c>
      <c r="C609" s="838" t="s">
        <v>3512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>
      <c r="B610" s="661" t="s">
        <v>697</v>
      </c>
      <c r="C610" s="838" t="s">
        <v>3512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>
      <c r="B611" s="661" t="s">
        <v>697</v>
      </c>
      <c r="C611" s="838" t="s">
        <v>3512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3367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1214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>
      <c r="B612" s="661" t="s">
        <v>696</v>
      </c>
      <c r="C612" s="838" t="s">
        <v>3512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>
      <c r="B613" s="661" t="s">
        <v>695</v>
      </c>
      <c r="C613" s="838" t="s">
        <v>3512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>
      <c r="B614" s="661" t="s">
        <v>695</v>
      </c>
      <c r="C614" s="838" t="s">
        <v>3512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>
      <c r="B615" s="661" t="s">
        <v>694</v>
      </c>
      <c r="C615" s="838" t="s">
        <v>3512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>
      <c r="B616" s="662" t="s">
        <v>707</v>
      </c>
      <c r="C616" s="838" t="s">
        <v>3512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>
      <c r="B617" s="662" t="s">
        <v>706</v>
      </c>
      <c r="C617" s="838" t="s">
        <v>3512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>
      <c r="B618" s="662" t="s">
        <v>705</v>
      </c>
      <c r="C618" s="838" t="s">
        <v>3512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>
      <c r="B619" s="662" t="s">
        <v>704</v>
      </c>
      <c r="C619" s="838" t="s">
        <v>3512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>
      <c r="B620" s="662" t="s">
        <v>703</v>
      </c>
      <c r="C620" s="838" t="s">
        <v>3512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>
      <c r="B621" s="662" t="s">
        <v>702</v>
      </c>
      <c r="C621" s="838" t="s">
        <v>3512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>
      <c r="B622" s="662" t="s">
        <v>702</v>
      </c>
      <c r="C622" s="838" t="s">
        <v>3512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>
      <c r="B623" s="662" t="s">
        <v>701</v>
      </c>
      <c r="C623" s="838" t="s">
        <v>3512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1215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>
      <c r="B624" s="663" t="s">
        <v>720</v>
      </c>
      <c r="C624" s="838" t="s">
        <v>3512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>
      <c r="B625" s="663" t="s">
        <v>719</v>
      </c>
      <c r="C625" s="838" t="s">
        <v>3512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>
      <c r="B626" s="663" t="s">
        <v>718</v>
      </c>
      <c r="C626" s="838" t="s">
        <v>3512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>
      <c r="B627" s="663" t="s">
        <v>716</v>
      </c>
      <c r="C627" s="838" t="s">
        <v>3512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3767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>
      <c r="B628" s="663" t="s">
        <v>717</v>
      </c>
      <c r="C628" s="838" t="s">
        <v>3512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>
      <c r="B629" s="663" t="s">
        <v>716</v>
      </c>
      <c r="C629" s="838" t="s">
        <v>3512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>
      <c r="B630" s="663" t="s">
        <v>715</v>
      </c>
      <c r="C630" s="838" t="s">
        <v>3512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3767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>
      <c r="B631" s="663" t="s">
        <v>714</v>
      </c>
      <c r="C631" s="838" t="s">
        <v>3512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>
      <c r="B632" s="663" t="s">
        <v>713</v>
      </c>
      <c r="C632" s="838" t="s">
        <v>3512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>
      <c r="B633" s="663" t="s">
        <v>712</v>
      </c>
      <c r="C633" s="838" t="s">
        <v>3512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3367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3767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>
      <c r="B634" s="663" t="s">
        <v>711</v>
      </c>
      <c r="C634" s="838" t="s">
        <v>3512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>
      <c r="B635" s="663" t="s">
        <v>710</v>
      </c>
      <c r="C635" s="838" t="s">
        <v>3512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>
      <c r="B636" s="663" t="s">
        <v>709</v>
      </c>
      <c r="C636" s="838" t="s">
        <v>3512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>
      <c r="B637" s="663" t="s">
        <v>708</v>
      </c>
      <c r="C637" s="838" t="s">
        <v>3512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>
      <c r="B638" s="664" t="s">
        <v>735</v>
      </c>
      <c r="C638" s="838" t="s">
        <v>3512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>
      <c r="B639" s="664" t="s">
        <v>734</v>
      </c>
      <c r="C639" s="838" t="s">
        <v>3512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>
      <c r="B640" s="664" t="s">
        <v>733</v>
      </c>
      <c r="C640" s="838" t="s">
        <v>3512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3367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1216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>
      <c r="B641" s="664" t="s">
        <v>732</v>
      </c>
      <c r="C641" s="838" t="s">
        <v>3512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>
      <c r="B642" s="664" t="s">
        <v>731</v>
      </c>
      <c r="C642" s="838" t="s">
        <v>3512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>
      <c r="B643" s="664" t="s">
        <v>731</v>
      </c>
      <c r="C643" s="838" t="s">
        <v>3512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>
      <c r="B644" s="664" t="s">
        <v>730</v>
      </c>
      <c r="C644" s="838" t="s">
        <v>3512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3367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1216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>
      <c r="B645" s="664" t="s">
        <v>729</v>
      </c>
      <c r="C645" s="838" t="s">
        <v>3512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>
      <c r="B646" s="664" t="s">
        <v>728</v>
      </c>
      <c r="C646" s="838" t="s">
        <v>3512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1216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4" t="s">
        <v>728</v>
      </c>
      <c r="C647" s="838" t="s">
        <v>3512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4" t="s">
        <v>727</v>
      </c>
      <c r="C648" s="838" t="s">
        <v>3512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>
      <c r="B649" s="665" t="s">
        <v>835</v>
      </c>
      <c r="C649" s="838" t="s">
        <v>3512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5" t="s">
        <v>835</v>
      </c>
      <c r="C650" s="838" t="s">
        <v>3512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5" t="s">
        <v>835</v>
      </c>
      <c r="C651" s="838" t="s">
        <v>3512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>
      <c r="B652" s="665" t="s">
        <v>834</v>
      </c>
      <c r="C652" s="838" t="s">
        <v>3512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>
      <c r="B653" s="665" t="s">
        <v>833</v>
      </c>
      <c r="C653" s="838" t="s">
        <v>3512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>
      <c r="B654" s="665" t="s">
        <v>829</v>
      </c>
      <c r="C654" s="838" t="s">
        <v>3512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>
      <c r="B655" s="665" t="s">
        <v>832</v>
      </c>
      <c r="C655" s="838" t="s">
        <v>3512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>
      <c r="B656" s="665" t="s">
        <v>831</v>
      </c>
      <c r="C656" s="838" t="s">
        <v>3512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>
      <c r="B657" s="665" t="s">
        <v>830</v>
      </c>
      <c r="C657" s="838" t="s">
        <v>3512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3367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>
      <c r="B658" s="665" t="s">
        <v>829</v>
      </c>
      <c r="C658" s="838" t="s">
        <v>3512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>
      <c r="B659" s="665" t="s">
        <v>828</v>
      </c>
      <c r="C659" s="838" t="s">
        <v>3512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>
      <c r="B660" s="665" t="s">
        <v>827</v>
      </c>
      <c r="C660" s="838" t="s">
        <v>3512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>
      <c r="B661" s="665" t="s">
        <v>821</v>
      </c>
      <c r="C661" s="838" t="s">
        <v>3512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>
      <c r="B662" s="665" t="s">
        <v>826</v>
      </c>
      <c r="C662" s="838" t="s">
        <v>3512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>
      <c r="B663" s="665" t="s">
        <v>825</v>
      </c>
      <c r="C663" s="838" t="s">
        <v>3512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>
      <c r="B664" s="665" t="s">
        <v>824</v>
      </c>
      <c r="C664" s="838" t="s">
        <v>3512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>
      <c r="B665" s="665" t="s">
        <v>823</v>
      </c>
      <c r="C665" s="838" t="s">
        <v>3512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>
      <c r="B666" s="665" t="s">
        <v>822</v>
      </c>
      <c r="C666" s="838" t="s">
        <v>3512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>
      <c r="B667" s="665" t="s">
        <v>821</v>
      </c>
      <c r="C667" s="838" t="s">
        <v>3512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>
      <c r="B668" s="665" t="s">
        <v>820</v>
      </c>
      <c r="C668" s="838" t="s">
        <v>3512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5" t="s">
        <v>820</v>
      </c>
      <c r="C669" s="838" t="s">
        <v>3512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5" t="s">
        <v>819</v>
      </c>
      <c r="C670" s="838" t="s">
        <v>3512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>
      <c r="B671" s="665" t="s">
        <v>818</v>
      </c>
      <c r="C671" s="838" t="s">
        <v>3512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>
      <c r="B672" s="665" t="s">
        <v>817</v>
      </c>
      <c r="C672" s="838" t="s">
        <v>3512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>
      <c r="B673" s="665" t="s">
        <v>817</v>
      </c>
      <c r="C673" s="838" t="s">
        <v>3512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>
      <c r="B674" s="665" t="s">
        <v>816</v>
      </c>
      <c r="C674" s="838" t="s">
        <v>3512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>
      <c r="B675" s="665" t="s">
        <v>814</v>
      </c>
      <c r="C675" s="838" t="s">
        <v>3512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>
      <c r="B676" s="665" t="s">
        <v>815</v>
      </c>
      <c r="C676" s="838" t="s">
        <v>3512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>
      <c r="B677" s="665" t="s">
        <v>814</v>
      </c>
      <c r="C677" s="838" t="s">
        <v>3512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>
      <c r="B678" s="665" t="s">
        <v>813</v>
      </c>
      <c r="C678" s="838" t="s">
        <v>3512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>
      <c r="B679" s="665" t="s">
        <v>812</v>
      </c>
      <c r="C679" s="838" t="s">
        <v>3512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>
      <c r="B680" s="665" t="s">
        <v>811</v>
      </c>
      <c r="C680" s="838" t="s">
        <v>3512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>
      <c r="B681" s="665" t="s">
        <v>810</v>
      </c>
      <c r="C681" s="838" t="s">
        <v>3512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>
      <c r="B682" s="665" t="s">
        <v>809</v>
      </c>
      <c r="C682" s="838" t="s">
        <v>3512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>
      <c r="B683" s="665" t="s">
        <v>806</v>
      </c>
      <c r="C683" s="838" t="s">
        <v>3512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>
      <c r="B684" s="665" t="s">
        <v>801</v>
      </c>
      <c r="C684" s="838" t="s">
        <v>3512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>
      <c r="B685" s="665" t="s">
        <v>808</v>
      </c>
      <c r="C685" s="838" t="s">
        <v>3512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>
      <c r="B686" s="665" t="s">
        <v>807</v>
      </c>
      <c r="C686" s="838" t="s">
        <v>3512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>
      <c r="B687" s="665" t="s">
        <v>806</v>
      </c>
      <c r="C687" s="838" t="s">
        <v>3512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3367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>
      <c r="B688" s="665" t="s">
        <v>805</v>
      </c>
      <c r="C688" s="838" t="s">
        <v>3512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>
      <c r="B689" s="665" t="s">
        <v>804</v>
      </c>
      <c r="C689" s="838" t="s">
        <v>3512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>
      <c r="B690" s="665" t="s">
        <v>803</v>
      </c>
      <c r="C690" s="838" t="s">
        <v>3512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>
      <c r="B691" s="665" t="s">
        <v>802</v>
      </c>
      <c r="C691" s="838" t="s">
        <v>3512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>
      <c r="B692" s="665" t="s">
        <v>801</v>
      </c>
      <c r="C692" s="838" t="s">
        <v>3512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>
      <c r="B693" s="665" t="s">
        <v>801</v>
      </c>
      <c r="C693" s="838" t="s">
        <v>3512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>
      <c r="B694" s="665" t="s">
        <v>800</v>
      </c>
      <c r="C694" s="838" t="s">
        <v>3512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>
      <c r="B695" s="665" t="s">
        <v>800</v>
      </c>
      <c r="C695" s="838" t="s">
        <v>3512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>
      <c r="B696" s="665" t="s">
        <v>799</v>
      </c>
      <c r="C696" s="838" t="s">
        <v>3512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>
      <c r="B697" s="665" t="s">
        <v>798</v>
      </c>
      <c r="C697" s="838" t="s">
        <v>3512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>
      <c r="B698" s="665" t="s">
        <v>797</v>
      </c>
      <c r="C698" s="838" t="s">
        <v>3512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>
      <c r="B699" s="665" t="s">
        <v>796</v>
      </c>
      <c r="C699" s="838" t="s">
        <v>3512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>
      <c r="B700" s="665" t="s">
        <v>795</v>
      </c>
      <c r="C700" s="838" t="s">
        <v>3512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>
      <c r="B701" s="665" t="s">
        <v>794</v>
      </c>
      <c r="C701" s="838" t="s">
        <v>3512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>
      <c r="B702" s="665" t="s">
        <v>793</v>
      </c>
      <c r="C702" s="838" t="s">
        <v>3512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>
      <c r="B703" s="665" t="s">
        <v>792</v>
      </c>
      <c r="C703" s="838" t="s">
        <v>3512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>
      <c r="B704" s="665" t="s">
        <v>791</v>
      </c>
      <c r="C704" s="838" t="s">
        <v>3512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5" t="s">
        <v>791</v>
      </c>
      <c r="C705" s="838" t="s">
        <v>3512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5" t="s">
        <v>791</v>
      </c>
      <c r="C706" s="838" t="s">
        <v>3512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5" t="s">
        <v>791</v>
      </c>
      <c r="C707" s="838" t="s">
        <v>3512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>
      <c r="B708" s="665" t="s">
        <v>790</v>
      </c>
      <c r="C708" s="838" t="s">
        <v>3512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>
      <c r="B709" s="665" t="s">
        <v>789</v>
      </c>
      <c r="C709" s="838" t="s">
        <v>3512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>
      <c r="B710" s="665" t="s">
        <v>788</v>
      </c>
      <c r="C710" s="838" t="s">
        <v>3512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>
      <c r="B711" s="665" t="s">
        <v>787</v>
      </c>
      <c r="C711" s="838" t="s">
        <v>3512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>
      <c r="B712" s="665" t="s">
        <v>786</v>
      </c>
      <c r="C712" s="838" t="s">
        <v>3512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>
      <c r="B713" s="665" t="s">
        <v>782</v>
      </c>
      <c r="C713" s="838" t="s">
        <v>3512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>
      <c r="B714" s="665" t="s">
        <v>785</v>
      </c>
      <c r="C714" s="838" t="s">
        <v>3512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>
      <c r="B715" s="665" t="s">
        <v>784</v>
      </c>
      <c r="C715" s="838" t="s">
        <v>3512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>
      <c r="B716" s="665" t="s">
        <v>783</v>
      </c>
      <c r="C716" s="838" t="s">
        <v>3512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>
      <c r="B717" s="665" t="s">
        <v>782</v>
      </c>
      <c r="C717" s="838" t="s">
        <v>3512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>
      <c r="B718" s="665" t="s">
        <v>781</v>
      </c>
      <c r="C718" s="838" t="s">
        <v>3512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3367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>
      <c r="B719" s="665" t="s">
        <v>780</v>
      </c>
      <c r="C719" s="838" t="s">
        <v>3512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>
      <c r="B720" s="665" t="s">
        <v>779</v>
      </c>
      <c r="C720" s="838" t="s">
        <v>3512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>
      <c r="B721" s="665" t="s">
        <v>778</v>
      </c>
      <c r="C721" s="838" t="s">
        <v>3512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5" t="s">
        <v>778</v>
      </c>
      <c r="C722" s="838" t="s">
        <v>3512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5" t="s">
        <v>777</v>
      </c>
      <c r="C723" s="838" t="s">
        <v>3512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>
      <c r="B724" s="665" t="s">
        <v>777</v>
      </c>
      <c r="C724" s="838" t="s">
        <v>3512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>
      <c r="B725" s="665" t="s">
        <v>776</v>
      </c>
      <c r="C725" s="838" t="s">
        <v>3512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>
      <c r="B726" s="665" t="s">
        <v>775</v>
      </c>
      <c r="C726" s="838" t="s">
        <v>3512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>
      <c r="B727" s="665" t="s">
        <v>775</v>
      </c>
      <c r="C727" s="838" t="s">
        <v>3512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>
      <c r="B728" s="665" t="s">
        <v>774</v>
      </c>
      <c r="C728" s="838" t="s">
        <v>3512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>
      <c r="B729" s="665" t="s">
        <v>774</v>
      </c>
      <c r="C729" s="838" t="s">
        <v>3512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>
      <c r="B730" s="665" t="s">
        <v>773</v>
      </c>
      <c r="C730" s="838" t="s">
        <v>3512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5" t="s">
        <v>773</v>
      </c>
      <c r="C731" s="838" t="s">
        <v>3512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5" t="s">
        <v>772</v>
      </c>
      <c r="C732" s="838" t="s">
        <v>3512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>
      <c r="B733" s="665" t="s">
        <v>771</v>
      </c>
      <c r="C733" s="838" t="s">
        <v>3512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3367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1217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>
      <c r="B734" s="665" t="s">
        <v>770</v>
      </c>
      <c r="C734" s="838" t="s">
        <v>3512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>
      <c r="B735" s="665" t="s">
        <v>769</v>
      </c>
      <c r="C735" s="838" t="s">
        <v>3512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>
      <c r="B736" s="665" t="s">
        <v>768</v>
      </c>
      <c r="C736" s="838" t="s">
        <v>3512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>
      <c r="B737" s="665" t="s">
        <v>767</v>
      </c>
      <c r="C737" s="838" t="s">
        <v>3512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>
      <c r="B738" s="665" t="s">
        <v>766</v>
      </c>
      <c r="C738" s="838" t="s">
        <v>3512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>
      <c r="B739" s="665" t="s">
        <v>765</v>
      </c>
      <c r="C739" s="838" t="s">
        <v>3512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>
      <c r="B740" s="665" t="s">
        <v>764</v>
      </c>
      <c r="C740" s="838" t="s">
        <v>3512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3367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>
      <c r="B741" s="665" t="s">
        <v>763</v>
      </c>
      <c r="C741" s="838" t="s">
        <v>3512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3367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>
      <c r="B742" s="665" t="s">
        <v>762</v>
      </c>
      <c r="C742" s="838" t="s">
        <v>3512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5" t="s">
        <v>762</v>
      </c>
      <c r="C743" s="838" t="s">
        <v>3512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5" t="s">
        <v>761</v>
      </c>
      <c r="C744" s="838" t="s">
        <v>3512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>
      <c r="B745" s="665" t="s">
        <v>760</v>
      </c>
      <c r="C745" s="838" t="s">
        <v>3512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>
      <c r="B746" s="665" t="s">
        <v>759</v>
      </c>
      <c r="C746" s="838" t="s">
        <v>3512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>
      <c r="B747" s="666" t="s">
        <v>844</v>
      </c>
      <c r="C747" s="838" t="s">
        <v>3512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3367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>
      <c r="B748" s="666" t="s">
        <v>843</v>
      </c>
      <c r="C748" s="838" t="s">
        <v>3512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>
      <c r="B749" s="666" t="s">
        <v>842</v>
      </c>
      <c r="C749" s="838" t="s">
        <v>3512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>
      <c r="B750" s="666" t="s">
        <v>841</v>
      </c>
      <c r="C750" s="838" t="s">
        <v>3512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3367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>
      <c r="B751" s="666" t="s">
        <v>840</v>
      </c>
      <c r="C751" s="838" t="s">
        <v>3512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>
      <c r="B752" s="667" t="s">
        <v>972</v>
      </c>
      <c r="C752" s="838" t="s">
        <v>3512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>
      <c r="B753" s="667" t="s">
        <v>971</v>
      </c>
      <c r="C753" s="838" t="s">
        <v>3512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3367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1217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>
      <c r="B754" s="667" t="s">
        <v>970</v>
      </c>
      <c r="C754" s="838" t="s">
        <v>3512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>
      <c r="B755" s="667" t="s">
        <v>969</v>
      </c>
      <c r="C755" s="838" t="s">
        <v>3512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>
      <c r="B756" s="667" t="s">
        <v>968</v>
      </c>
      <c r="C756" s="838" t="s">
        <v>3512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7" t="s">
        <v>968</v>
      </c>
      <c r="C757" s="838" t="s">
        <v>3512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7" t="s">
        <v>967</v>
      </c>
      <c r="C758" s="838" t="s">
        <v>3512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>
      <c r="B759" s="667" t="s">
        <v>966</v>
      </c>
      <c r="C759" s="838" t="s">
        <v>3512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3367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>
      <c r="B760" s="667" t="s">
        <v>965</v>
      </c>
      <c r="C760" s="838" t="s">
        <v>3512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>
      <c r="B761" s="667" t="s">
        <v>964</v>
      </c>
      <c r="C761" s="838" t="s">
        <v>3512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>
      <c r="B762" s="667" t="s">
        <v>963</v>
      </c>
      <c r="C762" s="838" t="s">
        <v>3512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>
      <c r="B763" s="667" t="s">
        <v>962</v>
      </c>
      <c r="C763" s="838" t="s">
        <v>3512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>
      <c r="B764" s="667" t="s">
        <v>961</v>
      </c>
      <c r="C764" s="838" t="s">
        <v>3512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>
      <c r="B765" s="667" t="s">
        <v>960</v>
      </c>
      <c r="C765" s="838" t="s">
        <v>3512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>
      <c r="B766" s="667" t="s">
        <v>959</v>
      </c>
      <c r="C766" s="838" t="s">
        <v>3512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>
      <c r="B767" s="667" t="s">
        <v>958</v>
      </c>
      <c r="C767" s="838" t="s">
        <v>3512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>
      <c r="B768" s="667" t="s">
        <v>957</v>
      </c>
      <c r="C768" s="838" t="s">
        <v>3512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>
      <c r="B769" s="667" t="s">
        <v>956</v>
      </c>
      <c r="C769" s="838" t="s">
        <v>3512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>
      <c r="B770" s="667" t="s">
        <v>955</v>
      </c>
      <c r="C770" s="838" t="s">
        <v>3512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>
      <c r="B771" s="667" t="s">
        <v>954</v>
      </c>
      <c r="C771" s="838" t="s">
        <v>3512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>
      <c r="B772" s="667" t="s">
        <v>953</v>
      </c>
      <c r="C772" s="838" t="s">
        <v>3512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>
      <c r="B773" s="667" t="s">
        <v>952</v>
      </c>
      <c r="C773" s="838" t="s">
        <v>3512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>
      <c r="B774" s="667" t="s">
        <v>951</v>
      </c>
      <c r="C774" s="838" t="s">
        <v>3512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7" t="s">
        <v>950</v>
      </c>
      <c r="C775" s="838" t="s">
        <v>3512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7" t="s">
        <v>950</v>
      </c>
      <c r="C776" s="838" t="s">
        <v>3512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>
      <c r="B777" s="667" t="s">
        <v>949</v>
      </c>
      <c r="C777" s="838" t="s">
        <v>3512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>
      <c r="B778" s="667" t="s">
        <v>948</v>
      </c>
      <c r="C778" s="838" t="s">
        <v>3512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>
      <c r="B779" s="667" t="s">
        <v>947</v>
      </c>
      <c r="C779" s="838" t="s">
        <v>3512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>
      <c r="B780" s="667" t="s">
        <v>946</v>
      </c>
      <c r="C780" s="838" t="s">
        <v>3512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>
      <c r="B781" s="667" t="s">
        <v>945</v>
      </c>
      <c r="C781" s="838" t="s">
        <v>3512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7" t="s">
        <v>945</v>
      </c>
      <c r="C782" s="838" t="s">
        <v>3512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7" t="s">
        <v>944</v>
      </c>
      <c r="C783" s="838" t="s">
        <v>3512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>
      <c r="B784" s="667" t="s">
        <v>943</v>
      </c>
      <c r="C784" s="838" t="s">
        <v>3512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>
      <c r="B785" s="667" t="s">
        <v>942</v>
      </c>
      <c r="C785" s="838" t="s">
        <v>3512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>
      <c r="B786" s="667" t="s">
        <v>941</v>
      </c>
      <c r="C786" s="838" t="s">
        <v>3512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>
      <c r="B787" s="667" t="s">
        <v>940</v>
      </c>
      <c r="C787" s="838" t="s">
        <v>3512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7" t="s">
        <v>940</v>
      </c>
      <c r="C788" s="838" t="s">
        <v>3512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7" t="s">
        <v>940</v>
      </c>
      <c r="C789" s="838" t="s">
        <v>3512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>
      <c r="B790" s="667" t="s">
        <v>932</v>
      </c>
      <c r="C790" s="838" t="s">
        <v>3512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>
      <c r="B791" s="667" t="s">
        <v>939</v>
      </c>
      <c r="C791" s="838" t="s">
        <v>3512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>
      <c r="B792" s="667" t="s">
        <v>938</v>
      </c>
      <c r="C792" s="838" t="s">
        <v>3512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>
      <c r="B793" s="667" t="s">
        <v>937</v>
      </c>
      <c r="C793" s="838" t="s">
        <v>3512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>
      <c r="B794" s="667" t="s">
        <v>936</v>
      </c>
      <c r="C794" s="838" t="s">
        <v>3512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>
      <c r="B795" s="667" t="s">
        <v>935</v>
      </c>
      <c r="C795" s="838" t="s">
        <v>3512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>
      <c r="B796" s="667" t="s">
        <v>934</v>
      </c>
      <c r="C796" s="838" t="s">
        <v>3512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>
      <c r="B797" s="667" t="s">
        <v>933</v>
      </c>
      <c r="C797" s="838" t="s">
        <v>3512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>
      <c r="B798" s="667" t="s">
        <v>932</v>
      </c>
      <c r="C798" s="838" t="s">
        <v>3512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>
      <c r="B799" s="667" t="s">
        <v>931</v>
      </c>
      <c r="C799" s="838" t="s">
        <v>3512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>
      <c r="B800" s="667" t="s">
        <v>930</v>
      </c>
      <c r="C800" s="838" t="s">
        <v>3512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3367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>
      <c r="B801" s="667" t="s">
        <v>929</v>
      </c>
      <c r="C801" s="838" t="s">
        <v>3512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>
      <c r="B802" s="667" t="s">
        <v>928</v>
      </c>
      <c r="C802" s="838" t="s">
        <v>3512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>
      <c r="B803" s="667" t="s">
        <v>927</v>
      </c>
      <c r="C803" s="838" t="s">
        <v>3512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>
      <c r="B804" s="667" t="s">
        <v>926</v>
      </c>
      <c r="C804" s="838" t="s">
        <v>3512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>
      <c r="B805" s="667" t="s">
        <v>925</v>
      </c>
      <c r="C805" s="838" t="s">
        <v>3512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>
      <c r="B806" s="667" t="s">
        <v>924</v>
      </c>
      <c r="C806" s="838" t="s">
        <v>3512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>
      <c r="B807" s="667" t="s">
        <v>923</v>
      </c>
      <c r="C807" s="838" t="s">
        <v>3512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>
      <c r="B808" s="667" t="s">
        <v>922</v>
      </c>
      <c r="C808" s="838" t="s">
        <v>3512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>
      <c r="B809" s="667" t="s">
        <v>921</v>
      </c>
      <c r="C809" s="838" t="s">
        <v>3512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>
      <c r="B810" s="667" t="s">
        <v>921</v>
      </c>
      <c r="C810" s="838" t="s">
        <v>3512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>
      <c r="B811" s="667" t="s">
        <v>920</v>
      </c>
      <c r="C811" s="838" t="s">
        <v>3512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>
      <c r="B812" s="667" t="s">
        <v>919</v>
      </c>
      <c r="C812" s="838" t="s">
        <v>3512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>
      <c r="B813" s="667" t="s">
        <v>918</v>
      </c>
      <c r="C813" s="838" t="s">
        <v>3512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>
      <c r="B814" s="667" t="s">
        <v>917</v>
      </c>
      <c r="C814" s="838" t="s">
        <v>3512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>
      <c r="B815" s="667" t="s">
        <v>916</v>
      </c>
      <c r="C815" s="838" t="s">
        <v>3512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>
      <c r="B816" s="667" t="s">
        <v>915</v>
      </c>
      <c r="C816" s="838" t="s">
        <v>3512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>
      <c r="B817" s="667" t="s">
        <v>915</v>
      </c>
      <c r="C817" s="838" t="s">
        <v>3512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3367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>
      <c r="B818" s="667" t="s">
        <v>914</v>
      </c>
      <c r="C818" s="838" t="s">
        <v>3512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>
      <c r="B819" s="667" t="s">
        <v>913</v>
      </c>
      <c r="C819" s="838" t="s">
        <v>3512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>
      <c r="B820" s="667" t="s">
        <v>912</v>
      </c>
      <c r="C820" s="838" t="s">
        <v>3512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>
      <c r="B821" s="667" t="s">
        <v>911</v>
      </c>
      <c r="C821" s="838" t="s">
        <v>3512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7" t="s">
        <v>911</v>
      </c>
      <c r="C822" s="838" t="s">
        <v>3512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7" t="s">
        <v>910</v>
      </c>
      <c r="C823" s="838" t="s">
        <v>3512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>
      <c r="B824" s="667" t="s">
        <v>909</v>
      </c>
      <c r="C824" s="838" t="s">
        <v>3512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>
      <c r="B825" s="667" t="s">
        <v>908</v>
      </c>
      <c r="C825" s="838" t="s">
        <v>3512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>
      <c r="B826" s="667" t="s">
        <v>907</v>
      </c>
      <c r="C826" s="838" t="s">
        <v>3512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7" t="s">
        <v>907</v>
      </c>
      <c r="C827" s="838" t="s">
        <v>3512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7" t="s">
        <v>906</v>
      </c>
      <c r="C828" s="838" t="s">
        <v>3512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>
      <c r="B829" s="667" t="s">
        <v>905</v>
      </c>
      <c r="C829" s="838" t="s">
        <v>3512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>
      <c r="B830" s="667" t="s">
        <v>904</v>
      </c>
      <c r="C830" s="838" t="s">
        <v>3512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>
      <c r="B831" s="667" t="s">
        <v>903</v>
      </c>
      <c r="C831" s="838" t="s">
        <v>3512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>
      <c r="B832" s="667" t="s">
        <v>902</v>
      </c>
      <c r="C832" s="838" t="s">
        <v>3512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>
      <c r="B833" s="667" t="s">
        <v>901</v>
      </c>
      <c r="C833" s="838" t="s">
        <v>3512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>
      <c r="B834" s="667" t="s">
        <v>900</v>
      </c>
      <c r="C834" s="838" t="s">
        <v>3512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>
      <c r="B835" s="667" t="s">
        <v>899</v>
      </c>
      <c r="C835" s="838" t="s">
        <v>3512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>
      <c r="B836" s="667" t="s">
        <v>898</v>
      </c>
      <c r="C836" s="838" t="s">
        <v>3512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7" t="s">
        <v>898</v>
      </c>
      <c r="C837" s="838" t="s">
        <v>3512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7" t="s">
        <v>898</v>
      </c>
      <c r="C838" s="838" t="s">
        <v>3512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>
      <c r="B839" s="667" t="s">
        <v>897</v>
      </c>
      <c r="C839" s="838" t="s">
        <v>3512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>
      <c r="B840" s="667" t="s">
        <v>896</v>
      </c>
      <c r="C840" s="838" t="s">
        <v>3512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>
      <c r="B841" s="667" t="s">
        <v>895</v>
      </c>
      <c r="C841" s="838" t="s">
        <v>3512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>
      <c r="B842" s="667" t="s">
        <v>894</v>
      </c>
      <c r="C842" s="838" t="s">
        <v>3512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>
      <c r="B843" s="667" t="s">
        <v>893</v>
      </c>
      <c r="C843" s="838" t="s">
        <v>3512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>
      <c r="B844" s="667" t="s">
        <v>892</v>
      </c>
      <c r="C844" s="838" t="s">
        <v>3512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7" t="s">
        <v>892</v>
      </c>
      <c r="C845" s="838" t="s">
        <v>3512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7" t="s">
        <v>891</v>
      </c>
      <c r="C846" s="838" t="s">
        <v>3512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>
      <c r="B847" s="667" t="s">
        <v>890</v>
      </c>
      <c r="C847" s="838" t="s">
        <v>3512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>
      <c r="B848" s="667" t="s">
        <v>889</v>
      </c>
      <c r="C848" s="838" t="s">
        <v>3512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>
      <c r="B849" s="667" t="s">
        <v>888</v>
      </c>
      <c r="C849" s="838" t="s">
        <v>3512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>
      <c r="B850" s="667" t="s">
        <v>887</v>
      </c>
      <c r="C850" s="838" t="s">
        <v>3512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>
      <c r="B851" s="667" t="s">
        <v>886</v>
      </c>
      <c r="C851" s="838" t="s">
        <v>3512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>
      <c r="B852" s="667" t="s">
        <v>885</v>
      </c>
      <c r="C852" s="838" t="s">
        <v>3512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>
      <c r="B853" s="667" t="s">
        <v>885</v>
      </c>
      <c r="C853" s="838" t="s">
        <v>3512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>
      <c r="B854" s="667" t="s">
        <v>885</v>
      </c>
      <c r="C854" s="838" t="s">
        <v>3512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>
      <c r="B855" s="667" t="s">
        <v>884</v>
      </c>
      <c r="C855" s="838" t="s">
        <v>3512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>
      <c r="B856" s="667" t="s">
        <v>494</v>
      </c>
      <c r="C856" s="838" t="s">
        <v>3512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>
      <c r="B857" s="667" t="s">
        <v>883</v>
      </c>
      <c r="C857" s="838" t="s">
        <v>3512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>
      <c r="B858" s="667" t="s">
        <v>882</v>
      </c>
      <c r="C858" s="838" t="s">
        <v>3512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>
      <c r="B859" s="667" t="s">
        <v>882</v>
      </c>
      <c r="C859" s="838" t="s">
        <v>3512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>
      <c r="B860" s="667" t="s">
        <v>881</v>
      </c>
      <c r="C860" s="838" t="s">
        <v>3512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7" t="s">
        <v>881</v>
      </c>
      <c r="C861" s="838" t="s">
        <v>3512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7" t="s">
        <v>984</v>
      </c>
      <c r="C862" s="838" t="s">
        <v>3512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3367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>
      <c r="B863" s="667" t="s">
        <v>983</v>
      </c>
      <c r="C863" s="838" t="s">
        <v>3512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3367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>
      <c r="B864" s="667" t="s">
        <v>982</v>
      </c>
      <c r="C864" s="838" t="s">
        <v>3512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>
      <c r="B865" s="667" t="s">
        <v>981</v>
      </c>
      <c r="C865" s="838" t="s">
        <v>3512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>
      <c r="B866" s="667" t="s">
        <v>980</v>
      </c>
      <c r="C866" s="838" t="s">
        <v>3512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>
      <c r="B867" s="667" t="s">
        <v>979</v>
      </c>
      <c r="C867" s="838" t="s">
        <v>3512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>
      <c r="B868" s="667" t="s">
        <v>978</v>
      </c>
      <c r="C868" s="838" t="s">
        <v>3512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>
      <c r="B869" s="667" t="s">
        <v>978</v>
      </c>
      <c r="C869" s="838" t="s">
        <v>3512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7" t="s">
        <v>978</v>
      </c>
      <c r="C870" s="838" t="s">
        <v>3512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7" t="s">
        <v>977</v>
      </c>
      <c r="C871" s="838" t="s">
        <v>3512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>
      <c r="B872" s="667" t="s">
        <v>977</v>
      </c>
      <c r="C872" s="838" t="s">
        <v>3512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3367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>
      <c r="B873" s="667" t="s">
        <v>975</v>
      </c>
      <c r="C873" s="838" t="s">
        <v>3512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>
      <c r="B874" s="667" t="s">
        <v>976</v>
      </c>
      <c r="C874" s="838" t="s">
        <v>3512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>
      <c r="B875" s="667" t="s">
        <v>975</v>
      </c>
      <c r="C875" s="838" t="s">
        <v>3512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>
      <c r="B876" s="667" t="s">
        <v>974</v>
      </c>
      <c r="C876" s="838" t="s">
        <v>3512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>
      <c r="B877" s="667" t="s">
        <v>973</v>
      </c>
      <c r="C877" s="838" t="s">
        <v>3512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>
      <c r="B878" s="667" t="s">
        <v>985</v>
      </c>
      <c r="C878" s="838" t="s">
        <v>3512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>
      <c r="B879" s="668" t="s">
        <v>997</v>
      </c>
      <c r="C879" s="838" t="s">
        <v>3512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>
      <c r="B880" s="668" t="s">
        <v>996</v>
      </c>
      <c r="C880" s="838" t="s">
        <v>3512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>
      <c r="B881" s="668" t="s">
        <v>995</v>
      </c>
      <c r="C881" s="838" t="s">
        <v>3512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8" t="s">
        <v>995</v>
      </c>
      <c r="C882" s="838" t="s">
        <v>3512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8" t="s">
        <v>995</v>
      </c>
      <c r="C883" s="838" t="s">
        <v>3512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>
      <c r="B884" s="668" t="s">
        <v>994</v>
      </c>
      <c r="C884" s="838" t="s">
        <v>3512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>
      <c r="B885" s="668" t="s">
        <v>994</v>
      </c>
      <c r="C885" s="838" t="s">
        <v>3512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8" t="s">
        <v>994</v>
      </c>
      <c r="C886" s="838" t="s">
        <v>3512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8" t="s">
        <v>994</v>
      </c>
      <c r="C887" s="838" t="s">
        <v>3512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>
      <c r="B888" s="668" t="s">
        <v>993</v>
      </c>
      <c r="C888" s="838" t="s">
        <v>3512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>
      <c r="B889" s="668" t="s">
        <v>992</v>
      </c>
      <c r="C889" s="838" t="s">
        <v>3512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>
      <c r="B890" s="668" t="s">
        <v>991</v>
      </c>
      <c r="C890" s="838" t="s">
        <v>3512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>
      <c r="B891" s="668" t="s">
        <v>991</v>
      </c>
      <c r="C891" s="838" t="s">
        <v>3512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1217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>
      <c r="B892" s="668" t="s">
        <v>990</v>
      </c>
      <c r="C892" s="838" t="s">
        <v>3512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>
      <c r="B893" s="669" t="s">
        <v>1014</v>
      </c>
      <c r="C893" s="838" t="s">
        <v>3512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>
      <c r="B894" s="669" t="s">
        <v>1013</v>
      </c>
      <c r="C894" s="838" t="s">
        <v>3512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>
      <c r="B895" s="669" t="s">
        <v>1004</v>
      </c>
      <c r="C895" s="838" t="s">
        <v>3512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>
      <c r="B896" s="669" t="s">
        <v>1012</v>
      </c>
      <c r="C896" s="838" t="s">
        <v>3512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69" t="s">
        <v>1012</v>
      </c>
      <c r="C897" s="838" t="s">
        <v>3512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69" t="s">
        <v>1011</v>
      </c>
      <c r="C898" s="838" t="s">
        <v>3512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3367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>
      <c r="B899" s="669" t="s">
        <v>1011</v>
      </c>
      <c r="C899" s="838" t="s">
        <v>3512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>
      <c r="B900" s="669" t="s">
        <v>1010</v>
      </c>
      <c r="C900" s="838" t="s">
        <v>3512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>
      <c r="B901" s="669" t="s">
        <v>1009</v>
      </c>
      <c r="C901" s="838" t="s">
        <v>3512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>
      <c r="B902" s="669" t="s">
        <v>1009</v>
      </c>
      <c r="C902" s="838" t="s">
        <v>3512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>
      <c r="B903" s="669" t="s">
        <v>1008</v>
      </c>
      <c r="C903" s="838" t="s">
        <v>3512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>
      <c r="B904" s="669" t="s">
        <v>1007</v>
      </c>
      <c r="C904" s="838" t="s">
        <v>3512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69" t="s">
        <v>1007</v>
      </c>
      <c r="C905" s="838" t="s">
        <v>3512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69" t="s">
        <v>1006</v>
      </c>
      <c r="C906" s="838" t="s">
        <v>3512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>
      <c r="B907" s="669" t="s">
        <v>1005</v>
      </c>
      <c r="C907" s="838" t="s">
        <v>3512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>
      <c r="B908" s="669" t="s">
        <v>1004</v>
      </c>
      <c r="C908" s="838" t="s">
        <v>3512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>
      <c r="B909" s="669" t="s">
        <v>1004</v>
      </c>
      <c r="C909" s="838" t="s">
        <v>3512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>
      <c r="B910" s="669" t="s">
        <v>1003</v>
      </c>
      <c r="C910" s="838" t="s">
        <v>3512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>
      <c r="B911" s="669" t="s">
        <v>1002</v>
      </c>
      <c r="C911" s="838" t="s">
        <v>3512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69" t="s">
        <v>1002</v>
      </c>
      <c r="C912" s="838" t="s">
        <v>3512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69" t="s">
        <v>1001</v>
      </c>
      <c r="C913" s="838" t="s">
        <v>3512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>
      <c r="B914" s="670" t="s">
        <v>1028</v>
      </c>
      <c r="C914" s="838" t="s">
        <v>3512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>
      <c r="B915" s="670" t="s">
        <v>1027</v>
      </c>
      <c r="C915" s="838" t="s">
        <v>3512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>
      <c r="B916" s="670" t="s">
        <v>1027</v>
      </c>
      <c r="C916" s="838" t="s">
        <v>3512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>
      <c r="B917" s="670" t="s">
        <v>1027</v>
      </c>
      <c r="C917" s="838" t="s">
        <v>3512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>
      <c r="B918" s="670" t="s">
        <v>1026</v>
      </c>
      <c r="C918" s="838" t="s">
        <v>3512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>
      <c r="B919" s="670" t="s">
        <v>1026</v>
      </c>
      <c r="C919" s="838" t="s">
        <v>3512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>
      <c r="B920" s="670" t="s">
        <v>1025</v>
      </c>
      <c r="C920" s="838" t="s">
        <v>3512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>
      <c r="B921" s="670" t="s">
        <v>1024</v>
      </c>
      <c r="C921" s="838" t="s">
        <v>3512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>
      <c r="B922" s="670" t="s">
        <v>1023</v>
      </c>
      <c r="C922" s="838" t="s">
        <v>3512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>
      <c r="B923" s="670" t="s">
        <v>1022</v>
      </c>
      <c r="C923" s="838" t="s">
        <v>3512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>
      <c r="B924" s="670" t="s">
        <v>1113</v>
      </c>
      <c r="C924" s="838" t="s">
        <v>3512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>
      <c r="B925" s="670" t="s">
        <v>1112</v>
      </c>
      <c r="C925" s="838" t="s">
        <v>3512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>
      <c r="B926" s="670" t="s">
        <v>1022</v>
      </c>
      <c r="C926" s="838" t="s">
        <v>3512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>
      <c r="B927" s="670" t="s">
        <v>1111</v>
      </c>
      <c r="C927" s="838" t="s">
        <v>3512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>
      <c r="B928" s="670" t="s">
        <v>1110</v>
      </c>
      <c r="C928" s="838" t="s">
        <v>3512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0" t="s">
        <v>1110</v>
      </c>
      <c r="C929" s="838" t="s">
        <v>3512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0" t="s">
        <v>1109</v>
      </c>
      <c r="C930" s="838" t="s">
        <v>3512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>
      <c r="B931" s="670" t="s">
        <v>1108</v>
      </c>
      <c r="C931" s="838" t="s">
        <v>3512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0" t="s">
        <v>1108</v>
      </c>
      <c r="C932" s="838" t="s">
        <v>3512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0" t="s">
        <v>1108</v>
      </c>
      <c r="C933" s="838" t="s">
        <v>3512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>
      <c r="B934" s="670" t="s">
        <v>1107</v>
      </c>
      <c r="C934" s="838" t="s">
        <v>3512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1213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0" t="s">
        <v>1107</v>
      </c>
      <c r="C935" s="838" t="s">
        <v>3512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0" t="s">
        <v>1106</v>
      </c>
      <c r="C936" s="838" t="s">
        <v>3512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>
      <c r="B937" s="670" t="s">
        <v>1105</v>
      </c>
      <c r="C937" s="838" t="s">
        <v>3512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>
      <c r="B938" s="670" t="s">
        <v>1104</v>
      </c>
      <c r="C938" s="838" t="s">
        <v>3512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>
      <c r="B939" s="670" t="s">
        <v>1103</v>
      </c>
      <c r="C939" s="838" t="s">
        <v>3512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>
      <c r="B940" s="670" t="s">
        <v>1102</v>
      </c>
      <c r="C940" s="838" t="s">
        <v>3512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>
      <c r="B941" s="670" t="s">
        <v>1101</v>
      </c>
      <c r="C941" s="838" t="s">
        <v>3512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>
      <c r="B942" s="670" t="s">
        <v>1100</v>
      </c>
      <c r="C942" s="838" t="s">
        <v>3512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>
      <c r="B943" s="670" t="s">
        <v>1099</v>
      </c>
      <c r="C943" s="838" t="s">
        <v>3512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>
      <c r="B944" s="670" t="s">
        <v>1098</v>
      </c>
      <c r="C944" s="838" t="s">
        <v>3512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>
      <c r="B945" s="670" t="s">
        <v>1097</v>
      </c>
      <c r="C945" s="838" t="s">
        <v>3512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>
      <c r="B946" s="670" t="s">
        <v>1097</v>
      </c>
      <c r="C946" s="838" t="s">
        <v>3512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>
      <c r="B947" s="670" t="s">
        <v>1096</v>
      </c>
      <c r="C947" s="838" t="s">
        <v>3512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>
      <c r="B948" s="670" t="s">
        <v>1096</v>
      </c>
      <c r="C948" s="838" t="s">
        <v>3512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>
      <c r="B949" s="670" t="s">
        <v>1095</v>
      </c>
      <c r="C949" s="838" t="s">
        <v>3512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>
      <c r="B950" s="670" t="s">
        <v>1095</v>
      </c>
      <c r="C950" s="838" t="s">
        <v>3512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3367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>
      <c r="B951" s="670" t="s">
        <v>1094</v>
      </c>
      <c r="C951" s="838" t="s">
        <v>3512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>
      <c r="B952" s="670" t="s">
        <v>1093</v>
      </c>
      <c r="C952" s="838" t="s">
        <v>3512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>
      <c r="B953" s="670" t="s">
        <v>1092</v>
      </c>
      <c r="C953" s="838" t="s">
        <v>3512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>
      <c r="B954" s="670" t="s">
        <v>1091</v>
      </c>
      <c r="C954" s="838" t="s">
        <v>3512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>
      <c r="B955" s="670" t="s">
        <v>1087</v>
      </c>
      <c r="C955" s="838" t="s">
        <v>3512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>
      <c r="B956" s="670" t="s">
        <v>1090</v>
      </c>
      <c r="C956" s="838" t="s">
        <v>3512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>
      <c r="B957" s="670" t="s">
        <v>1089</v>
      </c>
      <c r="C957" s="838" t="s">
        <v>3512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>
      <c r="B958" s="670" t="s">
        <v>1088</v>
      </c>
      <c r="C958" s="838" t="s">
        <v>3512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>
      <c r="B959" s="670" t="s">
        <v>1087</v>
      </c>
      <c r="C959" s="838" t="s">
        <v>3512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>
      <c r="B960" s="670" t="s">
        <v>1086</v>
      </c>
      <c r="C960" s="838" t="s">
        <v>3512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>
      <c r="B961" s="670" t="s">
        <v>1085</v>
      </c>
      <c r="C961" s="838" t="s">
        <v>3512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>
      <c r="B962" s="670" t="s">
        <v>1084</v>
      </c>
      <c r="C962" s="838" t="s">
        <v>3512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>
      <c r="B963" s="670" t="s">
        <v>1083</v>
      </c>
      <c r="C963" s="838" t="s">
        <v>3512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>
      <c r="B964" s="670" t="s">
        <v>1082</v>
      </c>
      <c r="C964" s="838" t="s">
        <v>3512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0" t="s">
        <v>1082</v>
      </c>
      <c r="C965" s="838" t="s">
        <v>3512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0" t="s">
        <v>1081</v>
      </c>
      <c r="C966" s="838" t="s">
        <v>3512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>
      <c r="B967" s="670" t="s">
        <v>1080</v>
      </c>
      <c r="C967" s="838" t="s">
        <v>3512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>
      <c r="B968" s="670" t="s">
        <v>1079</v>
      </c>
      <c r="C968" s="838" t="s">
        <v>3512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0" t="s">
        <v>1079</v>
      </c>
      <c r="C969" s="838" t="s">
        <v>3512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0" t="s">
        <v>1078</v>
      </c>
      <c r="C970" s="838" t="s">
        <v>3512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>
      <c r="B971" s="670" t="s">
        <v>1078</v>
      </c>
      <c r="C971" s="838" t="s">
        <v>3512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>
      <c r="B972" s="670" t="s">
        <v>1077</v>
      </c>
      <c r="C972" s="838" t="s">
        <v>3512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>
      <c r="B973" s="670" t="s">
        <v>1076</v>
      </c>
      <c r="C973" s="838" t="s">
        <v>3512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>
      <c r="B974" s="670" t="s">
        <v>1075</v>
      </c>
      <c r="C974" s="838" t="s">
        <v>3512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>
      <c r="B975" s="670" t="s">
        <v>1074</v>
      </c>
      <c r="C975" s="838" t="s">
        <v>3512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>
      <c r="B976" s="670" t="s">
        <v>1073</v>
      </c>
      <c r="C976" s="838" t="s">
        <v>3512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>
      <c r="B977" s="670" t="s">
        <v>1072</v>
      </c>
      <c r="C977" s="838" t="s">
        <v>3512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0" t="s">
        <v>1072</v>
      </c>
      <c r="C978" s="838" t="s">
        <v>3512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0" t="s">
        <v>1071</v>
      </c>
      <c r="C979" s="838" t="s">
        <v>3512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>
      <c r="B980" s="670" t="s">
        <v>1071</v>
      </c>
      <c r="C980" s="838" t="s">
        <v>3512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0" t="s">
        <v>1071</v>
      </c>
      <c r="C981" s="838" t="s">
        <v>3512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0" t="s">
        <v>1070</v>
      </c>
      <c r="C982" s="838" t="s">
        <v>3512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>
      <c r="B983" s="670" t="s">
        <v>1069</v>
      </c>
      <c r="C983" s="838" t="s">
        <v>3512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>
      <c r="B984" s="670" t="s">
        <v>1068</v>
      </c>
      <c r="C984" s="838" t="s">
        <v>3512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>
      <c r="B985" s="670" t="s">
        <v>1067</v>
      </c>
      <c r="C985" s="838" t="s">
        <v>3512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>
      <c r="B986" s="670" t="s">
        <v>1066</v>
      </c>
      <c r="C986" s="838" t="s">
        <v>3512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>
      <c r="B987" s="670" t="s">
        <v>1065</v>
      </c>
      <c r="C987" s="838" t="s">
        <v>3512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>
      <c r="B988" s="670" t="s">
        <v>1065</v>
      </c>
      <c r="C988" s="838" t="s">
        <v>3512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3367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>
      <c r="B989" s="670" t="s">
        <v>1064</v>
      </c>
      <c r="C989" s="838" t="s">
        <v>3512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>
      <c r="B990" s="670" t="s">
        <v>1063</v>
      </c>
      <c r="C990" s="838" t="s">
        <v>3512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>
      <c r="B991" s="670" t="s">
        <v>1062</v>
      </c>
      <c r="C991" s="838" t="s">
        <v>3512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>
      <c r="B992" s="670" t="s">
        <v>1061</v>
      </c>
      <c r="C992" s="838" t="s">
        <v>3512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>
      <c r="B993" s="670" t="s">
        <v>1060</v>
      </c>
      <c r="C993" s="838" t="s">
        <v>3512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>
      <c r="B994" s="670" t="s">
        <v>1059</v>
      </c>
      <c r="C994" s="838" t="s">
        <v>3512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>
      <c r="B995" s="670" t="s">
        <v>1058</v>
      </c>
      <c r="C995" s="838" t="s">
        <v>3512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>
      <c r="B996" s="670" t="s">
        <v>1057</v>
      </c>
      <c r="C996" s="838" t="s">
        <v>3512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0" t="s">
        <v>1057</v>
      </c>
      <c r="C997" s="838" t="s">
        <v>3512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0" t="s">
        <v>1056</v>
      </c>
      <c r="C998" s="838" t="s">
        <v>3512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>
      <c r="B999" s="670" t="s">
        <v>1055</v>
      </c>
      <c r="C999" s="838" t="s">
        <v>3512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0" t="s">
        <v>1055</v>
      </c>
      <c r="C1000" s="838" t="s">
        <v>3512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0" t="s">
        <v>1052</v>
      </c>
      <c r="C1001" s="838" t="s">
        <v>3512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>
      <c r="B1002" s="670" t="s">
        <v>1054</v>
      </c>
      <c r="C1002" s="838" t="s">
        <v>3512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>
      <c r="B1003" s="670" t="s">
        <v>1053</v>
      </c>
      <c r="C1003" s="838" t="s">
        <v>3512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>
      <c r="B1004" s="670" t="s">
        <v>1052</v>
      </c>
      <c r="C1004" s="838" t="s">
        <v>3512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>
      <c r="B1005" s="670" t="s">
        <v>1051</v>
      </c>
      <c r="C1005" s="838" t="s">
        <v>3512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>
      <c r="B1006" s="670" t="s">
        <v>1050</v>
      </c>
      <c r="C1006" s="838" t="s">
        <v>3512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>
      <c r="B1007" s="670" t="s">
        <v>1049</v>
      </c>
      <c r="C1007" s="838" t="s">
        <v>3512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>
      <c r="B1008" s="670" t="s">
        <v>1049</v>
      </c>
      <c r="C1008" s="838" t="s">
        <v>3512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>
      <c r="B1009" s="670" t="s">
        <v>1048</v>
      </c>
      <c r="C1009" s="838" t="s">
        <v>3512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>
      <c r="B1010" s="670" t="s">
        <v>1047</v>
      </c>
      <c r="C1010" s="838" t="s">
        <v>3512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>
      <c r="B1011" s="670" t="s">
        <v>1046</v>
      </c>
      <c r="C1011" s="838" t="s">
        <v>3512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>
      <c r="B1012" s="670" t="s">
        <v>1045</v>
      </c>
      <c r="C1012" s="838" t="s">
        <v>3512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0" t="s">
        <v>1045</v>
      </c>
      <c r="C1013" s="838" t="s">
        <v>3512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0" t="s">
        <v>1044</v>
      </c>
      <c r="C1014" s="838" t="s">
        <v>3512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>
      <c r="B1015" s="670" t="s">
        <v>1042</v>
      </c>
      <c r="C1015" s="838" t="s">
        <v>3512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>
      <c r="B1016" s="670" t="s">
        <v>1043</v>
      </c>
      <c r="C1016" s="838" t="s">
        <v>3512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>
      <c r="B1017" s="670" t="s">
        <v>1042</v>
      </c>
      <c r="C1017" s="838" t="s">
        <v>3512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>
      <c r="B1018" s="670" t="s">
        <v>1042</v>
      </c>
      <c r="C1018" s="838" t="s">
        <v>3512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>
      <c r="B1019" s="670" t="s">
        <v>1041</v>
      </c>
      <c r="C1019" s="838" t="s">
        <v>3512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>
      <c r="B1020" s="670" t="s">
        <v>1040</v>
      </c>
      <c r="C1020" s="838" t="s">
        <v>3512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>
      <c r="B1021" s="670" t="s">
        <v>1039</v>
      </c>
      <c r="C1021" s="838" t="s">
        <v>3512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>
      <c r="B1022" s="670" t="s">
        <v>1038</v>
      </c>
      <c r="C1022" s="838" t="s">
        <v>3512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>
      <c r="B1023" s="670" t="s">
        <v>1037</v>
      </c>
      <c r="C1023" s="838" t="s">
        <v>3512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>
      <c r="B1024" s="670" t="s">
        <v>1036</v>
      </c>
      <c r="C1024" s="838" t="s">
        <v>3512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3367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0" t="s">
        <v>1035</v>
      </c>
      <c r="C1025" s="838" t="s">
        <v>3512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>
      <c r="B1026" s="670" t="s">
        <v>1034</v>
      </c>
      <c r="C1026" s="838" t="s">
        <v>3512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3367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>
      <c r="B1027" s="670" t="s">
        <v>1033</v>
      </c>
      <c r="C1027" s="838" t="s">
        <v>3512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>
      <c r="B1028" s="670" t="s">
        <v>1032</v>
      </c>
      <c r="C1028" s="838" t="s">
        <v>3512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>
      <c r="B1029" s="670" t="s">
        <v>1031</v>
      </c>
      <c r="C1029" s="838" t="s">
        <v>3512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>
      <c r="B1030" s="670" t="s">
        <v>1030</v>
      </c>
      <c r="C1030" s="838" t="s">
        <v>3512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>
      <c r="B1031" s="670" t="s">
        <v>1029</v>
      </c>
      <c r="C1031" s="838" t="s">
        <v>3512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>
      <c r="B1032" s="670" t="s">
        <v>1029</v>
      </c>
      <c r="C1032" s="838" t="s">
        <v>3512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>
      <c r="B1033" s="670" t="s">
        <v>1138</v>
      </c>
      <c r="C1033" s="838" t="s">
        <v>3512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>
      <c r="B1034" s="670" t="s">
        <v>1137</v>
      </c>
      <c r="C1034" s="838" t="s">
        <v>3512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>
      <c r="B1035" s="670" t="s">
        <v>1137</v>
      </c>
      <c r="C1035" s="838" t="s">
        <v>3512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>
      <c r="B1036" s="670" t="s">
        <v>1136</v>
      </c>
      <c r="C1036" s="838" t="s">
        <v>3512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>
      <c r="B1037" s="670" t="s">
        <v>1135</v>
      </c>
      <c r="C1037" s="838" t="s">
        <v>3512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1217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>
      <c r="B1038" s="670" t="s">
        <v>1134</v>
      </c>
      <c r="C1038" s="838" t="s">
        <v>3512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3367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1217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0" t="s">
        <v>1133</v>
      </c>
      <c r="C1039" s="838" t="s">
        <v>3512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>
      <c r="B1040" s="670" t="s">
        <v>1132</v>
      </c>
      <c r="C1040" s="838" t="s">
        <v>3512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>
      <c r="B1041" s="670" t="s">
        <v>1132</v>
      </c>
      <c r="C1041" s="838" t="s">
        <v>3512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3367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>
      <c r="B1042" s="670" t="s">
        <v>1131</v>
      </c>
      <c r="C1042" s="838" t="s">
        <v>3512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>
      <c r="B1043" s="670" t="s">
        <v>1130</v>
      </c>
      <c r="C1043" s="838" t="s">
        <v>3512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>
      <c r="B1044" s="670" t="s">
        <v>1129</v>
      </c>
      <c r="C1044" s="838" t="s">
        <v>3512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>
      <c r="B1045" s="670" t="s">
        <v>1128</v>
      </c>
      <c r="C1045" s="838" t="s">
        <v>3512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>
      <c r="B1046" s="670" t="s">
        <v>1127</v>
      </c>
      <c r="C1046" s="838" t="s">
        <v>3512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>
      <c r="B1047" s="670" t="s">
        <v>1126</v>
      </c>
      <c r="C1047" s="838" t="s">
        <v>3512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1213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>
      <c r="B1048" s="670" t="s">
        <v>1125</v>
      </c>
      <c r="C1048" s="838" t="s">
        <v>3512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>
      <c r="B1049" s="670" t="s">
        <v>1124</v>
      </c>
      <c r="C1049" s="838" t="s">
        <v>3512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>
      <c r="B1050" s="670" t="s">
        <v>1123</v>
      </c>
      <c r="C1050" s="838" t="s">
        <v>3512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>
      <c r="B1051" s="670" t="s">
        <v>1122</v>
      </c>
      <c r="C1051" s="838" t="s">
        <v>3512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>
      <c r="B1052" s="670" t="s">
        <v>1121</v>
      </c>
      <c r="C1052" s="838" t="s">
        <v>3512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>
      <c r="B1053" s="670" t="s">
        <v>1120</v>
      </c>
      <c r="C1053" s="838" t="s">
        <v>3512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>
      <c r="B1054" s="670" t="s">
        <v>1120</v>
      </c>
      <c r="C1054" s="838" t="s">
        <v>3512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3367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>
      <c r="B1055" s="670" t="s">
        <v>1119</v>
      </c>
      <c r="C1055" s="838" t="s">
        <v>3512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>
      <c r="B1056" s="670" t="s">
        <v>1118</v>
      </c>
      <c r="C1056" s="838" t="s">
        <v>3512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>
      <c r="B1057" s="670" t="s">
        <v>1118</v>
      </c>
      <c r="C1057" s="838" t="s">
        <v>3512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>
      <c r="B1058" s="670" t="s">
        <v>1117</v>
      </c>
      <c r="C1058" s="838" t="s">
        <v>3512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>
      <c r="B1059" s="670" t="s">
        <v>1116</v>
      </c>
      <c r="C1059" s="838" t="s">
        <v>3512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>
      <c r="B1060" s="670" t="s">
        <v>1115</v>
      </c>
      <c r="C1060" s="838" t="s">
        <v>3512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>
      <c r="B1061" s="670" t="s">
        <v>1114</v>
      </c>
      <c r="C1061" s="838" t="s">
        <v>3512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>
      <c r="B1062" s="671" t="s">
        <v>1147</v>
      </c>
      <c r="C1062" s="838" t="s">
        <v>3512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3367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>
      <c r="B1063" s="671" t="s">
        <v>1146</v>
      </c>
      <c r="C1063" s="838" t="s">
        <v>3512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1218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>
      <c r="B1064" s="671" t="s">
        <v>1145</v>
      </c>
      <c r="C1064" s="838" t="s">
        <v>3512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>
      <c r="B1065" s="671" t="s">
        <v>1144</v>
      </c>
      <c r="C1065" s="838" t="s">
        <v>3512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3367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>
      <c r="B1066" s="671" t="s">
        <v>215</v>
      </c>
      <c r="C1066" s="838" t="s">
        <v>3512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>
      <c r="B1067" s="671" t="s">
        <v>1143</v>
      </c>
      <c r="C1067" s="838" t="s">
        <v>3512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>
      <c r="B1068" s="671" t="s">
        <v>1142</v>
      </c>
      <c r="C1068" s="838" t="s">
        <v>3512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3367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>
      <c r="B1069" s="671" t="s">
        <v>1141</v>
      </c>
      <c r="C1069" s="838" t="s">
        <v>3512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>
      <c r="B1070" s="671" t="s">
        <v>1140</v>
      </c>
      <c r="C1070" s="838" t="s">
        <v>3512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>
      <c r="B1071" s="671" t="s">
        <v>1139</v>
      </c>
      <c r="C1071" s="838" t="s">
        <v>3512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>
      <c r="B1072" s="672" t="s">
        <v>1158</v>
      </c>
      <c r="C1072" s="838" t="s">
        <v>3512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3367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3767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>
      <c r="B1073" s="672" t="s">
        <v>1157</v>
      </c>
      <c r="C1073" s="838" t="s">
        <v>3512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2" t="s">
        <v>1157</v>
      </c>
      <c r="C1074" s="838" t="s">
        <v>3512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2" t="s">
        <v>1157</v>
      </c>
      <c r="C1075" s="838" t="s">
        <v>3512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2" t="s">
        <v>1156</v>
      </c>
      <c r="C1076" s="838" t="s">
        <v>3512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>
      <c r="B1077" s="672" t="s">
        <v>1155</v>
      </c>
      <c r="C1077" s="838" t="s">
        <v>3512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>
      <c r="B1078" s="672" t="s">
        <v>1154</v>
      </c>
      <c r="C1078" s="838" t="s">
        <v>3512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2" t="s">
        <v>1153</v>
      </c>
      <c r="C1079" s="838" t="s">
        <v>3512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>
      <c r="B1080" s="672" t="s">
        <v>1152</v>
      </c>
      <c r="C1080" s="838" t="s">
        <v>3512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>
      <c r="B1081" s="672" t="s">
        <v>1151</v>
      </c>
      <c r="C1081" s="838" t="s">
        <v>3512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2" t="s">
        <v>1151</v>
      </c>
      <c r="C1082" s="838" t="s">
        <v>3512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2" t="s">
        <v>1150</v>
      </c>
      <c r="C1083" s="838" t="s">
        <v>3512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>
      <c r="B1084" s="672" t="s">
        <v>1150</v>
      </c>
      <c r="C1084" s="838" t="s">
        <v>3512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3367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3767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>
      <c r="B1085" s="672" t="s">
        <v>1149</v>
      </c>
      <c r="C1085" s="838" t="s">
        <v>3512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>
      <c r="B1086" s="672" t="s">
        <v>1148</v>
      </c>
      <c r="C1086" s="838" t="s">
        <v>3512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>
      <c r="B1087" s="673" t="s">
        <v>1163</v>
      </c>
      <c r="C1087" s="838" t="s">
        <v>3512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>
      <c r="B1088" s="673" t="s">
        <v>1162</v>
      </c>
      <c r="C1088" s="838" t="s">
        <v>3512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>
      <c r="B1089" s="673" t="s">
        <v>1161</v>
      </c>
      <c r="C1089" s="838" t="s">
        <v>3512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>
      <c r="B1090" s="673" t="s">
        <v>1160</v>
      </c>
      <c r="C1090" s="838" t="s">
        <v>3512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>
      <c r="B1091" s="673" t="s">
        <v>1159</v>
      </c>
      <c r="C1091" s="838" t="s">
        <v>3512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>
      <c r="B1092" s="674" t="s">
        <v>1172</v>
      </c>
      <c r="C1092" s="838" t="s">
        <v>3512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>
      <c r="B1093" s="674" t="s">
        <v>1171</v>
      </c>
      <c r="C1093" s="838" t="s">
        <v>3512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>
      <c r="B1094" s="674" t="s">
        <v>1170</v>
      </c>
      <c r="C1094" s="838" t="s">
        <v>3512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4" t="s">
        <v>1170</v>
      </c>
      <c r="C1095" s="838" t="s">
        <v>3512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4" t="s">
        <v>1169</v>
      </c>
      <c r="C1096" s="838" t="s">
        <v>3512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3367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>
      <c r="B1097" s="674" t="s">
        <v>1168</v>
      </c>
      <c r="C1097" s="838" t="s">
        <v>3512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>
      <c r="B1098" s="674" t="s">
        <v>1168</v>
      </c>
      <c r="C1098" s="838" t="s">
        <v>3512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>
      <c r="B1099" s="674" t="s">
        <v>1167</v>
      </c>
      <c r="C1099" s="838" t="s">
        <v>3512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>
      <c r="B1100" s="674" t="s">
        <v>1166</v>
      </c>
      <c r="C1100" s="838" t="s">
        <v>3512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>
      <c r="B1101" s="674" t="s">
        <v>1165</v>
      </c>
      <c r="C1101" s="838" t="s">
        <v>3512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>
      <c r="B1102" s="674" t="s">
        <v>1164</v>
      </c>
      <c r="C1102" s="838" t="s">
        <v>3512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>
      <c r="B1103" s="675" t="s">
        <v>1180</v>
      </c>
      <c r="C1103" s="838" t="s">
        <v>3512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3367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>
      <c r="B1104" s="675" t="s">
        <v>1179</v>
      </c>
      <c r="C1104" s="838" t="s">
        <v>3512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>
      <c r="B1105" s="675" t="s">
        <v>1178</v>
      </c>
      <c r="C1105" s="838" t="s">
        <v>3512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>
      <c r="B1106" s="675" t="s">
        <v>1177</v>
      </c>
      <c r="C1106" s="838" t="s">
        <v>3512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>
      <c r="B1107" s="675" t="s">
        <v>1176</v>
      </c>
      <c r="C1107" s="838" t="s">
        <v>3512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3367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5" t="s">
        <v>1175</v>
      </c>
      <c r="C1108" s="838" t="s">
        <v>3512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>
      <c r="B1109" s="675" t="s">
        <v>1174</v>
      </c>
      <c r="C1109" s="838" t="s">
        <v>3512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>
      <c r="B1110" s="675" t="s">
        <v>1173</v>
      </c>
      <c r="C1110" s="838" t="s">
        <v>3512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3367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>
      <c r="B1111" s="676" t="s">
        <v>1195</v>
      </c>
      <c r="C1111" s="838" t="s">
        <v>3512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>
      <c r="B1112" s="676" t="s">
        <v>1194</v>
      </c>
      <c r="C1112" s="838" t="s">
        <v>3512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>
      <c r="B1113" s="676" t="s">
        <v>1193</v>
      </c>
      <c r="C1113" s="838" t="s">
        <v>3512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>
      <c r="B1114" s="676" t="s">
        <v>1192</v>
      </c>
      <c r="C1114" s="838" t="s">
        <v>3512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>
      <c r="B1115" s="676" t="s">
        <v>1191</v>
      </c>
      <c r="C1115" s="838" t="s">
        <v>3512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>
      <c r="B1116" s="676" t="s">
        <v>1190</v>
      </c>
      <c r="C1116" s="838" t="s">
        <v>3512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>
      <c r="B1117" s="676" t="s">
        <v>1190</v>
      </c>
      <c r="C1117" s="838" t="s">
        <v>3512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>
      <c r="B1118" s="676" t="s">
        <v>1189</v>
      </c>
      <c r="C1118" s="838" t="s">
        <v>3512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>
      <c r="B1119" s="676" t="s">
        <v>1188</v>
      </c>
      <c r="C1119" s="838" t="s">
        <v>3512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>
      <c r="B1120" s="676" t="s">
        <v>1188</v>
      </c>
      <c r="C1120" s="838" t="s">
        <v>3512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>
      <c r="B1121" s="676" t="s">
        <v>1187</v>
      </c>
      <c r="C1121" s="838" t="s">
        <v>3512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3367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>
      <c r="B1122" s="676" t="s">
        <v>1186</v>
      </c>
      <c r="C1122" s="838" t="s">
        <v>3512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>
      <c r="B1123" s="676" t="s">
        <v>1185</v>
      </c>
      <c r="C1123" s="838" t="s">
        <v>3512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>
      <c r="B1124" s="676" t="s">
        <v>1185</v>
      </c>
      <c r="C1124" s="838" t="s">
        <v>3512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>
      <c r="B1125" s="676" t="s">
        <v>1184</v>
      </c>
      <c r="C1125" s="838" t="s">
        <v>3512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>
      <c r="B1126" s="676" t="s">
        <v>1183</v>
      </c>
      <c r="C1126" s="838" t="s">
        <v>3512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>
      <c r="B1127" s="676" t="s">
        <v>1182</v>
      </c>
      <c r="C1127" s="838" t="s">
        <v>3512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3367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>
      <c r="B1128" s="676" t="s">
        <v>1181</v>
      </c>
      <c r="C1128" s="838" t="s">
        <v>3512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>
      <c r="B1129" s="677" t="s">
        <v>1244</v>
      </c>
      <c r="C1129" s="838" t="s">
        <v>3512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>
      <c r="B1130" s="677" t="s">
        <v>1243</v>
      </c>
      <c r="C1130" s="838" t="s">
        <v>3512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>
      <c r="B1131" s="677" t="s">
        <v>1242</v>
      </c>
      <c r="C1131" s="838" t="s">
        <v>3512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>
      <c r="B1132" s="677" t="s">
        <v>1241</v>
      </c>
      <c r="C1132" s="838" t="s">
        <v>3512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>
      <c r="B1133" s="677" t="s">
        <v>1240</v>
      </c>
      <c r="C1133" s="838" t="s">
        <v>3512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>
      <c r="B1134" s="677" t="s">
        <v>1239</v>
      </c>
      <c r="C1134" s="838" t="s">
        <v>3512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3367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7" t="s">
        <v>1238</v>
      </c>
      <c r="C1135" s="838" t="s">
        <v>3512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>
      <c r="B1136" s="677" t="s">
        <v>1237</v>
      </c>
      <c r="C1136" s="838" t="s">
        <v>3512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>
      <c r="B1137" s="677" t="s">
        <v>1236</v>
      </c>
      <c r="C1137" s="838" t="s">
        <v>3512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>
      <c r="B1138" s="677" t="s">
        <v>1235</v>
      </c>
      <c r="C1138" s="838" t="s">
        <v>3512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>
      <c r="B1139" s="677" t="s">
        <v>1234</v>
      </c>
      <c r="C1139" s="838" t="s">
        <v>3512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>
      <c r="B1140" s="677" t="s">
        <v>1233</v>
      </c>
      <c r="C1140" s="838" t="s">
        <v>3512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>
      <c r="B1141" s="678" t="s">
        <v>1250</v>
      </c>
      <c r="C1141" s="838" t="s">
        <v>3512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>
      <c r="B1142" s="678" t="s">
        <v>1250</v>
      </c>
      <c r="C1142" s="838" t="s">
        <v>3512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3367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>
      <c r="B1143" s="679" t="s">
        <v>1257</v>
      </c>
      <c r="C1143" s="838" t="s">
        <v>3512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>
      <c r="B1144" s="679" t="s">
        <v>1256</v>
      </c>
      <c r="C1144" s="838" t="s">
        <v>3512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>
      <c r="B1145" s="679" t="s">
        <v>1255</v>
      </c>
      <c r="C1145" s="838" t="s">
        <v>3512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3367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>
      <c r="B1146" s="679" t="s">
        <v>1254</v>
      </c>
      <c r="C1146" s="838" t="s">
        <v>3512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>
      <c r="B1147" s="679" t="s">
        <v>1253</v>
      </c>
      <c r="C1147" s="838" t="s">
        <v>3512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>
      <c r="B1148" s="679" t="s">
        <v>1252</v>
      </c>
      <c r="C1148" s="838" t="s">
        <v>3512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>
      <c r="B1149" s="679" t="s">
        <v>1251</v>
      </c>
      <c r="C1149" s="838" t="s">
        <v>3512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>
      <c r="B1150" s="680" t="s">
        <v>1309</v>
      </c>
      <c r="C1150" s="838" t="s">
        <v>3512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>
      <c r="B1151" s="680" t="s">
        <v>1308</v>
      </c>
      <c r="C1151" s="838" t="s">
        <v>3512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>
      <c r="B1152" s="680" t="s">
        <v>1307</v>
      </c>
      <c r="C1152" s="838" t="s">
        <v>3512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>
      <c r="B1153" s="680" t="s">
        <v>1306</v>
      </c>
      <c r="C1153" s="838" t="s">
        <v>3512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>
      <c r="B1154" s="680" t="s">
        <v>1305</v>
      </c>
      <c r="C1154" s="838" t="s">
        <v>3512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3367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>
      <c r="B1155" s="680" t="s">
        <v>1304</v>
      </c>
      <c r="C1155" s="838" t="s">
        <v>3512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>
      <c r="B1156" s="680" t="s">
        <v>1303</v>
      </c>
      <c r="C1156" s="838" t="s">
        <v>3512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>
      <c r="B1157" s="681" t="s">
        <v>1327</v>
      </c>
      <c r="C1157" s="838" t="s">
        <v>3512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>
      <c r="B1158" s="681" t="s">
        <v>1326</v>
      </c>
      <c r="C1158" s="838" t="s">
        <v>3512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>
      <c r="B1159" s="681" t="s">
        <v>1325</v>
      </c>
      <c r="C1159" s="838" t="s">
        <v>3512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>
      <c r="B1160" s="681" t="s">
        <v>1324</v>
      </c>
      <c r="C1160" s="838" t="s">
        <v>3512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3367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>
      <c r="B1161" s="681" t="s">
        <v>1323</v>
      </c>
      <c r="C1161" s="838" t="s">
        <v>3512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>
      <c r="B1162" s="681" t="s">
        <v>1322</v>
      </c>
      <c r="C1162" s="838" t="s">
        <v>3512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>
      <c r="B1163" s="681" t="s">
        <v>1321</v>
      </c>
      <c r="C1163" s="838" t="s">
        <v>3512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>
      <c r="B1164" s="681" t="s">
        <v>1320</v>
      </c>
      <c r="C1164" s="838" t="s">
        <v>3512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>
      <c r="B1165" s="681" t="s">
        <v>1319</v>
      </c>
      <c r="C1165" s="838" t="s">
        <v>3512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>
      <c r="B1166" s="681" t="s">
        <v>1318</v>
      </c>
      <c r="C1166" s="838" t="s">
        <v>3512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>
      <c r="B1167" s="681" t="s">
        <v>1317</v>
      </c>
      <c r="C1167" s="838" t="s">
        <v>3512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>
      <c r="B1168" s="681" t="s">
        <v>1316</v>
      </c>
      <c r="C1168" s="838" t="s">
        <v>3512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>
      <c r="B1169" s="681" t="s">
        <v>1315</v>
      </c>
      <c r="C1169" s="838" t="s">
        <v>3512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>
      <c r="B1170" s="681" t="s">
        <v>1314</v>
      </c>
      <c r="C1170" s="838" t="s">
        <v>3512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>
      <c r="B1171" s="681" t="s">
        <v>1313</v>
      </c>
      <c r="C1171" s="838" t="s">
        <v>3512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>
      <c r="B1172" s="681" t="s">
        <v>1312</v>
      </c>
      <c r="C1172" s="838" t="s">
        <v>3512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>
      <c r="B1173" s="681" t="s">
        <v>1311</v>
      </c>
      <c r="C1173" s="838" t="s">
        <v>3512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>
      <c r="B1174" s="682" t="s">
        <v>1336</v>
      </c>
      <c r="C1174" s="838" t="s">
        <v>3512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>
      <c r="B1175" s="682" t="s">
        <v>1335</v>
      </c>
      <c r="C1175" s="838" t="s">
        <v>3512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>
      <c r="B1176" s="682" t="s">
        <v>1334</v>
      </c>
      <c r="C1176" s="838" t="s">
        <v>3512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>
      <c r="B1177" s="682" t="s">
        <v>1333</v>
      </c>
      <c r="C1177" s="838" t="s">
        <v>3512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>
      <c r="B1178" s="682" t="s">
        <v>1332</v>
      </c>
      <c r="C1178" s="838" t="s">
        <v>3512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>
      <c r="B1179" s="682" t="s">
        <v>1331</v>
      </c>
      <c r="C1179" s="838" t="s">
        <v>3512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3367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>
      <c r="B1180" s="682" t="s">
        <v>1330</v>
      </c>
      <c r="C1180" s="838" t="s">
        <v>3512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>
      <c r="B1181" s="682" t="s">
        <v>1329</v>
      </c>
      <c r="C1181" s="838" t="s">
        <v>3512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>
      <c r="B1182" s="682" t="s">
        <v>1328</v>
      </c>
      <c r="C1182" s="838" t="s">
        <v>3512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>
      <c r="B1183" s="683" t="s">
        <v>1337</v>
      </c>
      <c r="C1183" s="838" t="s">
        <v>3512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>
      <c r="B1184" s="684" t="s">
        <v>1345</v>
      </c>
      <c r="C1184" s="838" t="s">
        <v>3512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>
      <c r="B1185" s="684" t="s">
        <v>1345</v>
      </c>
      <c r="C1185" s="838" t="s">
        <v>3512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1346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>
      <c r="B1186" s="684" t="s">
        <v>1344</v>
      </c>
      <c r="C1186" s="838" t="s">
        <v>3512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>
      <c r="B1187" s="684" t="s">
        <v>1343</v>
      </c>
      <c r="C1187" s="838" t="s">
        <v>3512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>
      <c r="B1188" s="684" t="s">
        <v>1342</v>
      </c>
      <c r="C1188" s="838" t="s">
        <v>3512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>
      <c r="B1189" s="684" t="s">
        <v>1340</v>
      </c>
      <c r="C1189" s="838" t="s">
        <v>3512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3767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>
      <c r="B1190" s="684" t="s">
        <v>1340</v>
      </c>
      <c r="C1190" s="838" t="s">
        <v>3512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3767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>
      <c r="B1191" s="684" t="s">
        <v>1341</v>
      </c>
      <c r="C1191" s="838" t="s">
        <v>3512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3767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>
      <c r="B1192" s="684" t="s">
        <v>1340</v>
      </c>
      <c r="C1192" s="838" t="s">
        <v>3512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>
      <c r="B1193" s="684" t="s">
        <v>1339</v>
      </c>
      <c r="C1193" s="838" t="s">
        <v>3512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3767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>
      <c r="B1194" s="684" t="s">
        <v>1338</v>
      </c>
      <c r="C1194" s="838" t="s">
        <v>3512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>
      <c r="B1195" s="685" t="s">
        <v>1350</v>
      </c>
      <c r="C1195" s="838" t="s">
        <v>3512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>
      <c r="B1196" s="685" t="s">
        <v>1353</v>
      </c>
      <c r="C1196" s="838" t="s">
        <v>3512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>
      <c r="B1197" s="685" t="s">
        <v>1349</v>
      </c>
      <c r="C1197" s="838" t="s">
        <v>3512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>
      <c r="B1198" s="685" t="s">
        <v>1352</v>
      </c>
      <c r="C1198" s="838" t="s">
        <v>3512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3367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>
      <c r="B1199" s="685" t="s">
        <v>1351</v>
      </c>
      <c r="C1199" s="838" t="s">
        <v>3512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3767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>
      <c r="B1200" s="685" t="s">
        <v>1350</v>
      </c>
      <c r="C1200" s="838" t="s">
        <v>3512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3767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>
      <c r="B1201" s="685" t="s">
        <v>1349</v>
      </c>
      <c r="C1201" s="838" t="s">
        <v>3512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3767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>
      <c r="B1202" s="685" t="s">
        <v>1348</v>
      </c>
      <c r="C1202" s="838" t="s">
        <v>3512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>
      <c r="B1203" s="685" t="s">
        <v>1347</v>
      </c>
      <c r="C1203" s="838" t="s">
        <v>3512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>
      <c r="B1204" s="686" t="s">
        <v>1356</v>
      </c>
      <c r="C1204" s="838" t="s">
        <v>3512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3367</v>
      </c>
      <c r="I1204" s="1210" t="s">
        <v>1357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1359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>
      <c r="B1205" s="686" t="s">
        <v>1355</v>
      </c>
      <c r="C1205" s="838" t="s">
        <v>3512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1358</v>
      </c>
      <c r="I1205" s="1359" t="s">
        <v>4580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1359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>
      <c r="B1206" s="686" t="s">
        <v>1354</v>
      </c>
      <c r="C1206" s="838" t="s">
        <v>3512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1359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>
      <c r="B1207" s="687" t="s">
        <v>1377</v>
      </c>
      <c r="C1207" s="838" t="s">
        <v>3512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>
      <c r="B1208" s="687" t="s">
        <v>1376</v>
      </c>
      <c r="C1208" s="838" t="s">
        <v>3512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>
      <c r="B1209" s="687" t="s">
        <v>1375</v>
      </c>
      <c r="C1209" s="838" t="s">
        <v>3512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3367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>
      <c r="B1210" s="687" t="s">
        <v>1374</v>
      </c>
      <c r="C1210" s="838" t="s">
        <v>3512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>
      <c r="B1211" s="687" t="s">
        <v>1373</v>
      </c>
      <c r="C1211" s="838" t="s">
        <v>3512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>
      <c r="B1212" s="687" t="s">
        <v>1372</v>
      </c>
      <c r="C1212" s="838" t="s">
        <v>3512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>
      <c r="B1213" s="687" t="s">
        <v>1371</v>
      </c>
      <c r="C1213" s="838" t="s">
        <v>3512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>
      <c r="B1214" s="687" t="s">
        <v>1370</v>
      </c>
      <c r="C1214" s="838" t="s">
        <v>3512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>
      <c r="B1215" s="687" t="s">
        <v>1369</v>
      </c>
      <c r="C1215" s="838" t="s">
        <v>3512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>
      <c r="B1216" s="687" t="s">
        <v>1368</v>
      </c>
      <c r="C1216" s="838" t="s">
        <v>3512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>
      <c r="B1217" s="687" t="s">
        <v>1367</v>
      </c>
      <c r="C1217" s="838" t="s">
        <v>3512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>
      <c r="B1218" s="687" t="s">
        <v>1366</v>
      </c>
      <c r="C1218" s="838" t="s">
        <v>3512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>
      <c r="B1219" s="687" t="s">
        <v>1365</v>
      </c>
      <c r="C1219" s="838" t="s">
        <v>3512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>
      <c r="B1220" s="687" t="s">
        <v>1364</v>
      </c>
      <c r="C1220" s="838" t="s">
        <v>3512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>
      <c r="B1221" s="687" t="s">
        <v>1363</v>
      </c>
      <c r="C1221" s="838" t="s">
        <v>3512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>
      <c r="B1222" s="687" t="s">
        <v>1362</v>
      </c>
      <c r="C1222" s="838" t="s">
        <v>3512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>
      <c r="B1223" s="687" t="s">
        <v>1361</v>
      </c>
      <c r="C1223" s="838" t="s">
        <v>3512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>
      <c r="B1224" s="687" t="s">
        <v>1360</v>
      </c>
      <c r="C1224" s="838" t="s">
        <v>3512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3367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>
      <c r="B1225" s="687" t="s">
        <v>1387</v>
      </c>
      <c r="C1225" s="838" t="s">
        <v>3512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>
      <c r="B1226" s="687" t="s">
        <v>1386</v>
      </c>
      <c r="C1226" s="838" t="s">
        <v>3512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>
      <c r="B1227" s="687" t="s">
        <v>1385</v>
      </c>
      <c r="C1227" s="838" t="s">
        <v>3512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>
      <c r="B1228" s="687" t="s">
        <v>1384</v>
      </c>
      <c r="C1228" s="838" t="s">
        <v>3512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1358</v>
      </c>
      <c r="I1228" s="1359" t="s">
        <v>4580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>
      <c r="B1229" s="687" t="s">
        <v>1383</v>
      </c>
      <c r="C1229" s="838" t="s">
        <v>3512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>
      <c r="B1230" s="687" t="s">
        <v>1382</v>
      </c>
      <c r="C1230" s="838" t="s">
        <v>3512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1358</v>
      </c>
      <c r="I1230" s="1359" t="s">
        <v>4580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1359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>
      <c r="B1231" s="687" t="s">
        <v>1381</v>
      </c>
      <c r="C1231" s="838" t="s">
        <v>3512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1358</v>
      </c>
      <c r="I1231" s="1359" t="s">
        <v>4580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1359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>
      <c r="B1232" s="687" t="s">
        <v>1380</v>
      </c>
      <c r="C1232" s="838" t="s">
        <v>3512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1358</v>
      </c>
      <c r="I1232" s="1359" t="s">
        <v>4580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1359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>
      <c r="B1233" s="687" t="s">
        <v>1379</v>
      </c>
      <c r="C1233" s="838" t="s">
        <v>3512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>
      <c r="B1234" s="687" t="s">
        <v>1378</v>
      </c>
      <c r="C1234" s="838" t="s">
        <v>3512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1359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>
      <c r="B1235" s="687" t="s">
        <v>1378</v>
      </c>
      <c r="C1235" s="838" t="s">
        <v>3512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>
      <c r="B1236" s="688" t="s">
        <v>1389</v>
      </c>
      <c r="C1236" s="838" t="s">
        <v>3512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>
      <c r="B1237" s="689" t="s">
        <v>1395</v>
      </c>
      <c r="C1237" s="838" t="s">
        <v>3512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3767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>
      <c r="B1238" s="689" t="s">
        <v>1394</v>
      </c>
      <c r="C1238" s="838" t="s">
        <v>3512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>
      <c r="B1239" s="689" t="s">
        <v>1393</v>
      </c>
      <c r="C1239" s="838" t="s">
        <v>3512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>
      <c r="B1240" s="689" t="s">
        <v>1392</v>
      </c>
      <c r="C1240" s="838" t="s">
        <v>3512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>
      <c r="B1241" s="689" t="s">
        <v>1391</v>
      </c>
      <c r="C1241" s="838" t="s">
        <v>3512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3767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>
      <c r="B1242" s="689" t="s">
        <v>1390</v>
      </c>
      <c r="C1242" s="838" t="s">
        <v>3512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3367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3767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>
      <c r="B1243" s="690" t="s">
        <v>1401</v>
      </c>
      <c r="C1243" s="838" t="s">
        <v>3512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3767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>
      <c r="B1244" s="690" t="s">
        <v>1400</v>
      </c>
      <c r="C1244" s="838" t="s">
        <v>3512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3767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>
      <c r="B1245" s="690" t="s">
        <v>1399</v>
      </c>
      <c r="C1245" s="838" t="s">
        <v>3512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1359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>
      <c r="B1246" s="690" t="s">
        <v>1398</v>
      </c>
      <c r="C1246" s="838" t="s">
        <v>3512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1358</v>
      </c>
      <c r="I1246" s="1359" t="s">
        <v>4580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1359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>
      <c r="B1247" s="690" t="s">
        <v>1398</v>
      </c>
      <c r="C1247" s="838" t="s">
        <v>3512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>
      <c r="B1248" s="690" t="s">
        <v>1397</v>
      </c>
      <c r="C1248" s="838" t="s">
        <v>3512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>
      <c r="B1249" s="690" t="s">
        <v>1396</v>
      </c>
      <c r="C1249" s="838" t="s">
        <v>3512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1358</v>
      </c>
      <c r="I1249" s="1359" t="s">
        <v>4580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1359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>
      <c r="B1250" s="691" t="s">
        <v>1404</v>
      </c>
      <c r="C1250" s="838" t="s">
        <v>3512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>
      <c r="B1251" s="691" t="s">
        <v>1403</v>
      </c>
      <c r="C1251" s="838" t="s">
        <v>3512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>
      <c r="B1252" s="691" t="s">
        <v>1402</v>
      </c>
      <c r="C1252" s="838" t="s">
        <v>3512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>
      <c r="B1253" s="692" t="s">
        <v>1422</v>
      </c>
      <c r="C1253" s="838" t="s">
        <v>3512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>
      <c r="B1254" s="692" t="s">
        <v>1421</v>
      </c>
      <c r="C1254" s="838" t="s">
        <v>3512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>
      <c r="B1255" s="692" t="s">
        <v>1420</v>
      </c>
      <c r="C1255" s="838" t="s">
        <v>3512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>
      <c r="B1256" s="692" t="s">
        <v>1417</v>
      </c>
      <c r="C1256" s="838" t="s">
        <v>3512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>
      <c r="B1257" s="692" t="s">
        <v>1419</v>
      </c>
      <c r="C1257" s="838" t="s">
        <v>3512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>
      <c r="B1258" s="692" t="s">
        <v>1418</v>
      </c>
      <c r="C1258" s="838" t="s">
        <v>3512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>
      <c r="B1259" s="692" t="s">
        <v>1417</v>
      </c>
      <c r="C1259" s="838" t="s">
        <v>3512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>
      <c r="B1260" s="692" t="s">
        <v>1416</v>
      </c>
      <c r="C1260" s="838" t="s">
        <v>3512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>
      <c r="B1261" s="692" t="s">
        <v>1415</v>
      </c>
      <c r="C1261" s="838" t="s">
        <v>3512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>
      <c r="B1262" s="692" t="s">
        <v>1414</v>
      </c>
      <c r="C1262" s="838" t="s">
        <v>3512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>
      <c r="B1263" s="692" t="s">
        <v>1413</v>
      </c>
      <c r="C1263" s="838" t="s">
        <v>3512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>
      <c r="B1264" s="692" t="s">
        <v>1412</v>
      </c>
      <c r="C1264" s="838" t="s">
        <v>3512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>
      <c r="B1265" s="692" t="s">
        <v>1411</v>
      </c>
      <c r="C1265" s="838" t="s">
        <v>3512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>
      <c r="B1266" s="692" t="s">
        <v>1410</v>
      </c>
      <c r="C1266" s="838" t="s">
        <v>3512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>
      <c r="B1267" s="692" t="s">
        <v>1409</v>
      </c>
      <c r="C1267" s="838" t="s">
        <v>3512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>
      <c r="B1268" s="692" t="s">
        <v>1408</v>
      </c>
      <c r="C1268" s="838" t="s">
        <v>3512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>
      <c r="B1269" s="692" t="s">
        <v>1408</v>
      </c>
      <c r="C1269" s="838" t="s">
        <v>3512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3367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>
      <c r="B1270" s="692" t="s">
        <v>1407</v>
      </c>
      <c r="C1270" s="838" t="s">
        <v>3512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3367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>
      <c r="B1271" s="692" t="s">
        <v>1406</v>
      </c>
      <c r="C1271" s="838" t="s">
        <v>3512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>
      <c r="B1272" s="692" t="s">
        <v>1405</v>
      </c>
      <c r="C1272" s="838" t="s">
        <v>3512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>
      <c r="B1273" s="693" t="s">
        <v>1434</v>
      </c>
      <c r="C1273" s="838" t="s">
        <v>3512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>
      <c r="B1274" s="693" t="s">
        <v>1435</v>
      </c>
      <c r="C1274" s="838" t="s">
        <v>3512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>
      <c r="B1275" s="693" t="s">
        <v>1434</v>
      </c>
      <c r="C1275" s="838" t="s">
        <v>3512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3367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>
      <c r="B1276" s="693" t="s">
        <v>1433</v>
      </c>
      <c r="C1276" s="838" t="s">
        <v>3512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>
      <c r="B1277" s="693" t="s">
        <v>1432</v>
      </c>
      <c r="C1277" s="838" t="s">
        <v>3512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>
      <c r="B1278" s="693" t="s">
        <v>1432</v>
      </c>
      <c r="C1278" s="838" t="s">
        <v>3512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3367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>
      <c r="B1279" s="693" t="s">
        <v>1431</v>
      </c>
      <c r="C1279" s="838" t="s">
        <v>3512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3367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>
      <c r="B1280" s="693" t="s">
        <v>1430</v>
      </c>
      <c r="C1280" s="838" t="s">
        <v>3512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>
      <c r="B1281" s="693" t="s">
        <v>1429</v>
      </c>
      <c r="C1281" s="838" t="s">
        <v>3512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>
      <c r="B1282" s="693" t="s">
        <v>1428</v>
      </c>
      <c r="C1282" s="838" t="s">
        <v>3512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3367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>
      <c r="B1283" s="693" t="s">
        <v>1427</v>
      </c>
      <c r="C1283" s="838" t="s">
        <v>3512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>
      <c r="B1284" s="693" t="s">
        <v>1426</v>
      </c>
      <c r="C1284" s="838" t="s">
        <v>3512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1438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>
      <c r="B1285" s="693" t="s">
        <v>1425</v>
      </c>
      <c r="C1285" s="838" t="s">
        <v>3512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1358</v>
      </c>
      <c r="I1285" s="1359" t="s">
        <v>4580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>
      <c r="B1286" s="693" t="s">
        <v>1424</v>
      </c>
      <c r="C1286" s="838" t="s">
        <v>3512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>
      <c r="B1287" s="693" t="s">
        <v>1423</v>
      </c>
      <c r="C1287" s="838" t="s">
        <v>3512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1359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>
      <c r="B1288" s="694" t="s">
        <v>1443</v>
      </c>
      <c r="C1288" s="838" t="s">
        <v>3512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>
      <c r="B1289" s="694" t="s">
        <v>1442</v>
      </c>
      <c r="C1289" s="838" t="s">
        <v>3512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>
      <c r="B1290" s="694" t="s">
        <v>1441</v>
      </c>
      <c r="C1290" s="838" t="s">
        <v>3512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>
      <c r="B1291" s="694" t="s">
        <v>1440</v>
      </c>
      <c r="C1291" s="838" t="s">
        <v>3512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1358</v>
      </c>
      <c r="I1291" s="1359" t="s">
        <v>4580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1359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>
      <c r="B1292" s="694" t="s">
        <v>1439</v>
      </c>
      <c r="C1292" s="838" t="s">
        <v>3512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1358</v>
      </c>
      <c r="I1292" s="1359" t="s">
        <v>4580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1359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>
      <c r="B1293" s="694" t="s">
        <v>1439</v>
      </c>
      <c r="C1293" s="838" t="s">
        <v>3512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>
      <c r="B1294" s="695" t="s">
        <v>1474</v>
      </c>
      <c r="C1294" s="838" t="s">
        <v>3512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>
      <c r="B1295" s="695" t="s">
        <v>1473</v>
      </c>
      <c r="C1295" s="838" t="s">
        <v>3512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>
      <c r="B1296" s="695" t="s">
        <v>1472</v>
      </c>
      <c r="C1296" s="838" t="s">
        <v>3512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1359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>
      <c r="B1297" s="695" t="s">
        <v>1471</v>
      </c>
      <c r="C1297" s="838" t="s">
        <v>3512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1359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>
      <c r="B1298" s="695" t="s">
        <v>1470</v>
      </c>
      <c r="C1298" s="838" t="s">
        <v>3512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>
      <c r="B1299" s="695" t="s">
        <v>1469</v>
      </c>
      <c r="C1299" s="838" t="s">
        <v>3512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>
      <c r="B1300" s="695" t="s">
        <v>1468</v>
      </c>
      <c r="C1300" s="838" t="s">
        <v>3512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>
      <c r="B1301" s="695" t="s">
        <v>1467</v>
      </c>
      <c r="C1301" s="838" t="s">
        <v>3512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3367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>
      <c r="B1302" s="695" t="s">
        <v>1466</v>
      </c>
      <c r="C1302" s="838" t="s">
        <v>3512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>
      <c r="B1303" s="695" t="s">
        <v>1465</v>
      </c>
      <c r="C1303" s="838" t="s">
        <v>3512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>
      <c r="B1304" s="695" t="s">
        <v>1464</v>
      </c>
      <c r="C1304" s="838" t="s">
        <v>3512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>
      <c r="B1305" s="695" t="s">
        <v>1463</v>
      </c>
      <c r="C1305" s="838" t="s">
        <v>3512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>
      <c r="B1306" s="695" t="s">
        <v>1462</v>
      </c>
      <c r="C1306" s="838" t="s">
        <v>3512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>
      <c r="B1307" s="695" t="s">
        <v>1461</v>
      </c>
      <c r="C1307" s="838" t="s">
        <v>3512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>
      <c r="B1308" s="695" t="s">
        <v>1460</v>
      </c>
      <c r="C1308" s="838" t="s">
        <v>3512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>
      <c r="B1309" s="695" t="s">
        <v>1459</v>
      </c>
      <c r="C1309" s="838" t="s">
        <v>3512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>
      <c r="B1310" s="695" t="s">
        <v>1458</v>
      </c>
      <c r="C1310" s="838" t="s">
        <v>3512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>
      <c r="B1311" s="695" t="s">
        <v>1457</v>
      </c>
      <c r="C1311" s="838" t="s">
        <v>3512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>
      <c r="B1312" s="695" t="s">
        <v>1456</v>
      </c>
      <c r="C1312" s="838" t="s">
        <v>3512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>
      <c r="B1313" s="695" t="s">
        <v>1455</v>
      </c>
      <c r="C1313" s="838" t="s">
        <v>3512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>
      <c r="B1314" s="695" t="s">
        <v>1454</v>
      </c>
      <c r="C1314" s="838" t="s">
        <v>3512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>
      <c r="B1315" s="695" t="s">
        <v>1453</v>
      </c>
      <c r="C1315" s="838" t="s">
        <v>3512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>
      <c r="B1316" s="695" t="s">
        <v>1452</v>
      </c>
      <c r="C1316" s="838" t="s">
        <v>3512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>
      <c r="B1317" s="695" t="s">
        <v>1451</v>
      </c>
      <c r="C1317" s="838" t="s">
        <v>3512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>
      <c r="B1318" s="695" t="s">
        <v>1450</v>
      </c>
      <c r="C1318" s="838" t="s">
        <v>3512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>
      <c r="B1319" s="695" t="s">
        <v>1449</v>
      </c>
      <c r="C1319" s="838" t="s">
        <v>3512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>
      <c r="B1320" s="695" t="s">
        <v>1448</v>
      </c>
      <c r="C1320" s="838" t="s">
        <v>3512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>
      <c r="B1321" s="695" t="s">
        <v>1447</v>
      </c>
      <c r="C1321" s="838" t="s">
        <v>3512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>
      <c r="B1322" s="695" t="s">
        <v>1446</v>
      </c>
      <c r="C1322" s="838" t="s">
        <v>3512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>
      <c r="B1323" s="695" t="s">
        <v>1445</v>
      </c>
      <c r="C1323" s="838" t="s">
        <v>3512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3367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1359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>
      <c r="B1324" s="695" t="s">
        <v>1444</v>
      </c>
      <c r="C1324" s="838" t="s">
        <v>3512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1359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>
      <c r="B1325" s="696" t="s">
        <v>1482</v>
      </c>
      <c r="C1325" s="838" t="s">
        <v>3512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>
      <c r="B1326" s="696" t="s">
        <v>1481</v>
      </c>
      <c r="C1326" s="838" t="s">
        <v>3512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1483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>
      <c r="B1327" s="696" t="s">
        <v>1480</v>
      </c>
      <c r="C1327" s="838" t="s">
        <v>3512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3367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>
      <c r="B1328" s="696" t="s">
        <v>1479</v>
      </c>
      <c r="C1328" s="838" t="s">
        <v>3512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1483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>
      <c r="B1329" s="696" t="s">
        <v>1478</v>
      </c>
      <c r="C1329" s="838" t="s">
        <v>3512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>
      <c r="B1330" s="696" t="s">
        <v>1477</v>
      </c>
      <c r="C1330" s="838" t="s">
        <v>3512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>
      <c r="B1331" s="696" t="s">
        <v>1476</v>
      </c>
      <c r="C1331" s="838" t="s">
        <v>3512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1483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>
      <c r="B1332" s="697" t="s">
        <v>1495</v>
      </c>
      <c r="C1332" s="838" t="s">
        <v>3512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>
      <c r="B1333" s="697" t="s">
        <v>1494</v>
      </c>
      <c r="C1333" s="838" t="s">
        <v>3512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>
      <c r="B1334" s="697" t="s">
        <v>1493</v>
      </c>
      <c r="C1334" s="838" t="s">
        <v>3512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3367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1496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>
      <c r="B1335" s="697" t="s">
        <v>1492</v>
      </c>
      <c r="C1335" s="838" t="s">
        <v>3512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3767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>
      <c r="B1336" s="697" t="s">
        <v>1491</v>
      </c>
      <c r="C1336" s="838" t="s">
        <v>3512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3767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>
      <c r="B1337" s="697" t="s">
        <v>1490</v>
      </c>
      <c r="C1337" s="838" t="s">
        <v>3512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>
      <c r="B1338" s="697" t="s">
        <v>1489</v>
      </c>
      <c r="C1338" s="838" t="s">
        <v>3512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>
      <c r="B1339" s="697" t="s">
        <v>1488</v>
      </c>
      <c r="C1339" s="838" t="s">
        <v>3512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>
      <c r="B1340" s="697" t="s">
        <v>1487</v>
      </c>
      <c r="C1340" s="838" t="s">
        <v>3512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>
      <c r="B1341" s="697" t="s">
        <v>1486</v>
      </c>
      <c r="C1341" s="838" t="s">
        <v>3512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3367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>
      <c r="B1342" s="697" t="s">
        <v>1485</v>
      </c>
      <c r="C1342" s="838" t="s">
        <v>3512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1358</v>
      </c>
      <c r="I1342" s="1359" t="s">
        <v>4580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>
      <c r="B1343" s="697" t="s">
        <v>1484</v>
      </c>
      <c r="C1343" s="838" t="s">
        <v>3512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3767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>
      <c r="B1344" s="698" t="s">
        <v>1497</v>
      </c>
      <c r="C1344" s="838" t="s">
        <v>3512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1498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>
      <c r="B1345" s="699" t="s">
        <v>1506</v>
      </c>
      <c r="C1345" s="838" t="s">
        <v>3512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>
      <c r="B1346" s="699" t="s">
        <v>1505</v>
      </c>
      <c r="C1346" s="838" t="s">
        <v>3512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>
      <c r="B1347" s="699" t="s">
        <v>1505</v>
      </c>
      <c r="C1347" s="838" t="s">
        <v>3512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1507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>
      <c r="B1348" s="699" t="s">
        <v>1504</v>
      </c>
      <c r="C1348" s="838" t="s">
        <v>3512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>
      <c r="B1349" s="699" t="s">
        <v>1503</v>
      </c>
      <c r="C1349" s="838" t="s">
        <v>3512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>
      <c r="B1350" s="699" t="s">
        <v>1503</v>
      </c>
      <c r="C1350" s="838" t="s">
        <v>3512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1507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>
      <c r="B1351" s="699" t="s">
        <v>1502</v>
      </c>
      <c r="C1351" s="838" t="s">
        <v>3512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1507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>
      <c r="B1352" s="699" t="s">
        <v>1502</v>
      </c>
      <c r="C1352" s="838" t="s">
        <v>3512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>
      <c r="B1353" s="699" t="s">
        <v>1501</v>
      </c>
      <c r="C1353" s="838" t="s">
        <v>3512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1483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>
      <c r="B1354" s="699" t="s">
        <v>1500</v>
      </c>
      <c r="C1354" s="838" t="s">
        <v>3512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3367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>
      <c r="B1355" s="699" t="s">
        <v>1499</v>
      </c>
      <c r="C1355" s="838" t="s">
        <v>3512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3367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>
      <c r="B1356" s="700" t="s">
        <v>1522</v>
      </c>
      <c r="C1356" s="838" t="s">
        <v>3512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>
      <c r="B1357" s="700" t="s">
        <v>1521</v>
      </c>
      <c r="C1357" s="838" t="s">
        <v>3512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>
      <c r="B1358" s="700" t="s">
        <v>1520</v>
      </c>
      <c r="C1358" s="838" t="s">
        <v>3512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>
      <c r="B1359" s="700" t="s">
        <v>1519</v>
      </c>
      <c r="C1359" s="838" t="s">
        <v>3512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>
      <c r="B1360" s="700" t="s">
        <v>1518</v>
      </c>
      <c r="C1360" s="838" t="s">
        <v>3512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>
      <c r="B1361" s="700" t="s">
        <v>1517</v>
      </c>
      <c r="C1361" s="838" t="s">
        <v>3512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>
      <c r="B1362" s="700" t="s">
        <v>1516</v>
      </c>
      <c r="C1362" s="838" t="s">
        <v>3512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3367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1217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>
      <c r="B1363" s="700" t="s">
        <v>1515</v>
      </c>
      <c r="C1363" s="838" t="s">
        <v>3512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>
      <c r="B1364" s="700" t="s">
        <v>1514</v>
      </c>
      <c r="C1364" s="838" t="s">
        <v>3512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>
      <c r="B1365" s="700" t="s">
        <v>1513</v>
      </c>
      <c r="C1365" s="838" t="s">
        <v>3512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3367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>
      <c r="B1366" s="700" t="s">
        <v>1512</v>
      </c>
      <c r="C1366" s="838" t="s">
        <v>3512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>
      <c r="B1367" s="700" t="s">
        <v>1511</v>
      </c>
      <c r="C1367" s="838" t="s">
        <v>3512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>
      <c r="B1368" s="700" t="s">
        <v>1510</v>
      </c>
      <c r="C1368" s="838" t="s">
        <v>3512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>
      <c r="B1369" s="700" t="s">
        <v>1509</v>
      </c>
      <c r="C1369" s="838" t="s">
        <v>3512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>
      <c r="B1370" s="700" t="s">
        <v>1508</v>
      </c>
      <c r="C1370" s="838" t="s">
        <v>3512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>
      <c r="B1371" s="701" t="s">
        <v>1533</v>
      </c>
      <c r="C1371" s="838" t="s">
        <v>3512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>
      <c r="B1372" s="701" t="s">
        <v>1532</v>
      </c>
      <c r="C1372" s="838" t="s">
        <v>3512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>
      <c r="B1373" s="701" t="s">
        <v>1531</v>
      </c>
      <c r="C1373" s="838" t="s">
        <v>3512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>
      <c r="B1374" s="701" t="s">
        <v>1530</v>
      </c>
      <c r="C1374" s="838" t="s">
        <v>3512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>
      <c r="B1375" s="701" t="s">
        <v>1529</v>
      </c>
      <c r="C1375" s="838" t="s">
        <v>3512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3367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1359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>
      <c r="B1376" s="701" t="s">
        <v>1528</v>
      </c>
      <c r="C1376" s="838" t="s">
        <v>3512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>
      <c r="B1377" s="701" t="s">
        <v>1527</v>
      </c>
      <c r="C1377" s="838" t="s">
        <v>3512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3367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>
      <c r="B1378" s="701" t="s">
        <v>1526</v>
      </c>
      <c r="C1378" s="838" t="s">
        <v>3512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>
      <c r="B1379" s="701" t="s">
        <v>1525</v>
      </c>
      <c r="C1379" s="838" t="s">
        <v>3512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3367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>
      <c r="B1380" s="701" t="s">
        <v>1524</v>
      </c>
      <c r="C1380" s="838" t="s">
        <v>3512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3367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>
      <c r="B1381" s="701" t="s">
        <v>1523</v>
      </c>
      <c r="C1381" s="838" t="s">
        <v>3512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>
      <c r="B1382" s="702" t="s">
        <v>1538</v>
      </c>
      <c r="C1382" s="838" t="s">
        <v>3512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1507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>
      <c r="B1383" s="702" t="s">
        <v>1537</v>
      </c>
      <c r="C1383" s="838" t="s">
        <v>3512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1358</v>
      </c>
      <c r="I1383" s="1359" t="s">
        <v>4580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3767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>
      <c r="B1384" s="702" t="s">
        <v>1536</v>
      </c>
      <c r="C1384" s="838" t="s">
        <v>3512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1539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3767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>
      <c r="B1385" s="703" t="s">
        <v>1541</v>
      </c>
      <c r="C1385" s="838" t="s">
        <v>3512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3367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>
      <c r="B1386" s="703" t="s">
        <v>1540</v>
      </c>
      <c r="C1386" s="838" t="s">
        <v>3512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1542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>
      <c r="B1387" s="704" t="s">
        <v>1559</v>
      </c>
      <c r="C1387" s="838" t="s">
        <v>3512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1542</v>
      </c>
      <c r="I1387" s="1224" t="s">
        <v>1555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>
      <c r="B1388" s="704" t="s">
        <v>1558</v>
      </c>
      <c r="C1388" s="838" t="s">
        <v>3512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1542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>
      <c r="B1389" s="704" t="s">
        <v>1557</v>
      </c>
      <c r="C1389" s="838" t="s">
        <v>3512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1542</v>
      </c>
      <c r="I1389" s="1224" t="s">
        <v>1555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>
      <c r="B1390" s="704" t="s">
        <v>1554</v>
      </c>
      <c r="C1390" s="838" t="s">
        <v>3512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1542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>
      <c r="B1391" s="704" t="s">
        <v>1553</v>
      </c>
      <c r="C1391" s="838" t="s">
        <v>3512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>
      <c r="B1392" s="704" t="s">
        <v>1552</v>
      </c>
      <c r="C1392" s="838" t="s">
        <v>3512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3367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>
      <c r="B1393" s="704" t="s">
        <v>1551</v>
      </c>
      <c r="C1393" s="838" t="s">
        <v>3512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1542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4" t="s">
        <v>1550</v>
      </c>
      <c r="C1394" s="838" t="s">
        <v>3512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4" t="s">
        <v>1549</v>
      </c>
      <c r="C1395" s="838" t="s">
        <v>3512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>
      <c r="B1396" s="704" t="s">
        <v>1548</v>
      </c>
      <c r="C1396" s="838" t="s">
        <v>3512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1539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>
      <c r="B1397" s="704" t="s">
        <v>1548</v>
      </c>
      <c r="C1397" s="838" t="s">
        <v>3512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3367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>
      <c r="B1398" s="704" t="s">
        <v>1547</v>
      </c>
      <c r="C1398" s="838" t="s">
        <v>3512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1542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>
      <c r="B1399" s="704" t="s">
        <v>1546</v>
      </c>
      <c r="C1399" s="838" t="s">
        <v>3512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1542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>
      <c r="B1400" s="704" t="s">
        <v>1545</v>
      </c>
      <c r="C1400" s="838" t="s">
        <v>3512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1542</v>
      </c>
      <c r="I1400" s="1224" t="s">
        <v>1555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>
      <c r="B1401" s="704" t="s">
        <v>1544</v>
      </c>
      <c r="C1401" s="838" t="s">
        <v>3512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1542</v>
      </c>
      <c r="I1401" s="1224" t="s">
        <v>1555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>
      <c r="B1402" s="704" t="s">
        <v>1543</v>
      </c>
      <c r="C1402" s="838" t="s">
        <v>3512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1542</v>
      </c>
      <c r="I1402" s="1224" t="s">
        <v>1555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>
      <c r="B1403" s="705" t="s">
        <v>1575</v>
      </c>
      <c r="C1403" s="838" t="s">
        <v>3512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1542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>
      <c r="B1404" s="705" t="s">
        <v>1574</v>
      </c>
      <c r="C1404" s="838" t="s">
        <v>3512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1542</v>
      </c>
      <c r="I1404" s="1224" t="s">
        <v>1555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>
      <c r="B1405" s="705" t="s">
        <v>1573</v>
      </c>
      <c r="C1405" s="838" t="s">
        <v>3512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1542</v>
      </c>
      <c r="I1405" s="1224" t="s">
        <v>1555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>
      <c r="B1406" s="705" t="s">
        <v>1572</v>
      </c>
      <c r="C1406" s="838" t="s">
        <v>3512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1542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>
      <c r="B1407" s="705" t="s">
        <v>1571</v>
      </c>
      <c r="C1407" s="838" t="s">
        <v>3512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1542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>
      <c r="B1408" s="705" t="s">
        <v>1570</v>
      </c>
      <c r="C1408" s="838" t="s">
        <v>3512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3367</v>
      </c>
      <c r="I1408" s="1225" t="s">
        <v>1576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1359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>
      <c r="B1409" s="705" t="s">
        <v>1569</v>
      </c>
      <c r="C1409" s="838" t="s">
        <v>3512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1542</v>
      </c>
      <c r="I1409" s="1224" t="s">
        <v>1555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>
      <c r="B1410" s="705" t="s">
        <v>1568</v>
      </c>
      <c r="C1410" s="838" t="s">
        <v>3512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1539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5" t="s">
        <v>1568</v>
      </c>
      <c r="C1411" s="838" t="s">
        <v>3512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5" t="s">
        <v>1567</v>
      </c>
      <c r="C1412" s="838" t="s">
        <v>3512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>
      <c r="B1413" s="705" t="s">
        <v>1566</v>
      </c>
      <c r="C1413" s="838" t="s">
        <v>3512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1539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>
      <c r="B1414" s="705" t="s">
        <v>1565</v>
      </c>
      <c r="C1414" s="838" t="s">
        <v>3512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>
      <c r="B1415" s="705" t="s">
        <v>1564</v>
      </c>
      <c r="C1415" s="838" t="s">
        <v>3512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1359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>
      <c r="B1416" s="705" t="s">
        <v>1563</v>
      </c>
      <c r="C1416" s="838" t="s">
        <v>3512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1542</v>
      </c>
      <c r="I1416" s="1224" t="s">
        <v>1555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>
      <c r="B1417" s="705" t="s">
        <v>1562</v>
      </c>
      <c r="C1417" s="838" t="s">
        <v>3512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1359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>
      <c r="B1418" s="705" t="s">
        <v>1561</v>
      </c>
      <c r="C1418" s="838" t="s">
        <v>3512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1542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>
      <c r="B1419" s="706" t="s">
        <v>1584</v>
      </c>
      <c r="C1419" s="838" t="s">
        <v>3512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1542</v>
      </c>
      <c r="I1419" s="1224" t="s">
        <v>1555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>
      <c r="B1420" s="706" t="s">
        <v>1583</v>
      </c>
      <c r="C1420" s="838" t="s">
        <v>3512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1542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>
      <c r="B1421" s="706" t="s">
        <v>1582</v>
      </c>
      <c r="C1421" s="838" t="s">
        <v>3512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1358</v>
      </c>
      <c r="I1421" s="1359" t="s">
        <v>4581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1218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>
      <c r="B1422" s="706" t="s">
        <v>1581</v>
      </c>
      <c r="C1422" s="838" t="s">
        <v>3512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1358</v>
      </c>
      <c r="I1422" s="1359" t="s">
        <v>4581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>
      <c r="B1423" s="706" t="s">
        <v>1580</v>
      </c>
      <c r="C1423" s="838" t="s">
        <v>3512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1358</v>
      </c>
      <c r="I1423" s="1359" t="s">
        <v>4581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1213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>
      <c r="B1424" s="706" t="s">
        <v>1579</v>
      </c>
      <c r="C1424" s="838" t="s">
        <v>3512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1542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>
      <c r="B1425" s="706" t="s">
        <v>1578</v>
      </c>
      <c r="C1425" s="838" t="s">
        <v>3512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1358</v>
      </c>
      <c r="I1425" s="1359" t="s">
        <v>4581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1585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>
      <c r="B1426" s="706" t="s">
        <v>1577</v>
      </c>
      <c r="C1426" s="838" t="s">
        <v>3512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3367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1585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>
      <c r="B1427" s="707" t="s">
        <v>1593</v>
      </c>
      <c r="C1427" s="838" t="s">
        <v>3512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1358</v>
      </c>
      <c r="I1427" s="1359" t="s">
        <v>4581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1595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>
      <c r="B1428" s="707" t="s">
        <v>1592</v>
      </c>
      <c r="C1428" s="838" t="s">
        <v>3512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1542</v>
      </c>
      <c r="I1428" s="1224" t="s">
        <v>1555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>
      <c r="B1429" s="707" t="s">
        <v>1591</v>
      </c>
      <c r="C1429" s="838" t="s">
        <v>3512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1542</v>
      </c>
      <c r="I1429" s="1224" t="s">
        <v>1555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>
      <c r="B1430" s="707" t="s">
        <v>1590</v>
      </c>
      <c r="C1430" s="838" t="s">
        <v>3512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1358</v>
      </c>
      <c r="I1430" s="1359" t="s">
        <v>4581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1596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>
      <c r="B1431" s="707" t="s">
        <v>1589</v>
      </c>
      <c r="C1431" s="838" t="s">
        <v>3512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1358</v>
      </c>
      <c r="I1431" s="1359" t="s">
        <v>4581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1596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>
      <c r="B1432" s="707" t="s">
        <v>1588</v>
      </c>
      <c r="C1432" s="838" t="s">
        <v>3512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1358</v>
      </c>
      <c r="I1432" s="1359" t="s">
        <v>4581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>
      <c r="B1433" s="707" t="s">
        <v>1587</v>
      </c>
      <c r="C1433" s="838" t="s">
        <v>3512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1542</v>
      </c>
      <c r="I1433" s="1224" t="s">
        <v>1555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>
      <c r="B1434" s="707" t="s">
        <v>1586</v>
      </c>
      <c r="C1434" s="838" t="s">
        <v>3512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3367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7" t="s">
        <v>1586</v>
      </c>
      <c r="C1435" s="838" t="s">
        <v>3512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1539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8" t="s">
        <v>1594</v>
      </c>
      <c r="C1436" s="838" t="s">
        <v>3512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1358</v>
      </c>
      <c r="I1436" s="1359" t="s">
        <v>4581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1597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>
      <c r="B1437" s="709" t="s">
        <v>1642</v>
      </c>
      <c r="C1437" s="838" t="s">
        <v>3512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1358</v>
      </c>
      <c r="I1437" s="1359" t="s">
        <v>4581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4466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>
      <c r="B1438" s="709" t="s">
        <v>1641</v>
      </c>
      <c r="C1438" s="838" t="s">
        <v>3512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1542</v>
      </c>
      <c r="I1438" s="1224" t="s">
        <v>1555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>
      <c r="B1439" s="709" t="s">
        <v>1640</v>
      </c>
      <c r="C1439" s="838" t="s">
        <v>3512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1542</v>
      </c>
      <c r="I1439" s="1224" t="s">
        <v>1555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>
      <c r="B1440" s="709" t="s">
        <v>1639</v>
      </c>
      <c r="C1440" s="838" t="s">
        <v>3512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1542</v>
      </c>
      <c r="I1440" s="1224" t="s">
        <v>1555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>
      <c r="B1441" s="709" t="s">
        <v>1638</v>
      </c>
      <c r="C1441" s="838" t="s">
        <v>3512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1646</v>
      </c>
      <c r="I1441" s="1228" t="s">
        <v>1695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>
      <c r="B1442" s="709" t="s">
        <v>1637</v>
      </c>
      <c r="C1442" s="838" t="s">
        <v>3512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1646</v>
      </c>
      <c r="I1442" s="1228" t="s">
        <v>1695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>
      <c r="B1443" s="709" t="s">
        <v>1636</v>
      </c>
      <c r="C1443" s="838" t="s">
        <v>3512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1542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>
      <c r="B1444" s="709" t="s">
        <v>1635</v>
      </c>
      <c r="C1444" s="838" t="s">
        <v>3512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1542</v>
      </c>
      <c r="I1444" s="1224" t="s">
        <v>1555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>
      <c r="B1445" s="709" t="s">
        <v>1634</v>
      </c>
      <c r="C1445" s="838" t="s">
        <v>3512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>
      <c r="B1446" s="709" t="s">
        <v>1633</v>
      </c>
      <c r="C1446" s="838" t="s">
        <v>3512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09" t="s">
        <v>1633</v>
      </c>
      <c r="C1447" s="838" t="s">
        <v>3512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1539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09" t="s">
        <v>1632</v>
      </c>
      <c r="C1448" s="838" t="s">
        <v>3512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3367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>
      <c r="B1449" s="709" t="s">
        <v>1631</v>
      </c>
      <c r="C1449" s="838" t="s">
        <v>3512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>
      <c r="B1450" s="709" t="s">
        <v>1630</v>
      </c>
      <c r="C1450" s="838" t="s">
        <v>3512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3367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>
      <c r="B1451" s="709" t="s">
        <v>1629</v>
      </c>
      <c r="C1451" s="838" t="s">
        <v>3512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1646</v>
      </c>
      <c r="I1451" s="1228" t="s">
        <v>1695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>
      <c r="B1452" s="709" t="s">
        <v>1628</v>
      </c>
      <c r="C1452" s="838" t="s">
        <v>3512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1646</v>
      </c>
      <c r="I1452" s="1228" t="s">
        <v>1695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>
      <c r="B1453" s="709" t="s">
        <v>1627</v>
      </c>
      <c r="C1453" s="838" t="s">
        <v>3512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1542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>
      <c r="B1454" s="709" t="s">
        <v>1626</v>
      </c>
      <c r="C1454" s="838" t="s">
        <v>3512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1646</v>
      </c>
      <c r="I1454" s="1228" t="s">
        <v>1695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>
      <c r="B1455" s="709" t="s">
        <v>1625</v>
      </c>
      <c r="C1455" s="838" t="s">
        <v>3512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1646</v>
      </c>
      <c r="I1455" s="1228" t="s">
        <v>1542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>
      <c r="B1456" s="709" t="s">
        <v>1624</v>
      </c>
      <c r="C1456" s="838" t="s">
        <v>3512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1646</v>
      </c>
      <c r="I1456" s="1228" t="s">
        <v>1542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>
      <c r="B1457" s="709" t="s">
        <v>1623</v>
      </c>
      <c r="C1457" s="838" t="s">
        <v>3512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1646</v>
      </c>
      <c r="I1457" s="1228" t="s">
        <v>1695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>
      <c r="B1458" s="709" t="s">
        <v>1622</v>
      </c>
      <c r="C1458" s="838" t="s">
        <v>3512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1646</v>
      </c>
      <c r="I1458" s="1228" t="s">
        <v>1695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>
      <c r="B1459" s="709" t="s">
        <v>1621</v>
      </c>
      <c r="C1459" s="838" t="s">
        <v>3512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1646</v>
      </c>
      <c r="I1459" s="1228" t="s">
        <v>1542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>
      <c r="B1460" s="709" t="s">
        <v>1620</v>
      </c>
      <c r="C1460" s="838" t="s">
        <v>3512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1646</v>
      </c>
      <c r="I1460" s="1228" t="s">
        <v>1695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>
      <c r="B1461" s="709" t="s">
        <v>1619</v>
      </c>
      <c r="C1461" s="838" t="s">
        <v>3512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1646</v>
      </c>
      <c r="I1461" s="1228" t="s">
        <v>1542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>
      <c r="B1462" s="709" t="s">
        <v>1618</v>
      </c>
      <c r="C1462" s="838" t="s">
        <v>3512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1646</v>
      </c>
      <c r="I1462" s="1228" t="s">
        <v>1695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>
      <c r="B1463" s="709" t="s">
        <v>1617</v>
      </c>
      <c r="C1463" s="838" t="s">
        <v>3512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1646</v>
      </c>
      <c r="I1463" s="1228" t="s">
        <v>1542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>
      <c r="B1464" s="709" t="s">
        <v>1616</v>
      </c>
      <c r="C1464" s="838" t="s">
        <v>3512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1542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>
      <c r="B1465" s="709" t="s">
        <v>1615</v>
      </c>
      <c r="C1465" s="838" t="s">
        <v>3512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1542</v>
      </c>
      <c r="I1465" s="1226" t="s">
        <v>1555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>
      <c r="B1466" s="709" t="s">
        <v>1614</v>
      </c>
      <c r="C1466" s="838" t="s">
        <v>3512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1542</v>
      </c>
      <c r="I1466" s="1226" t="s">
        <v>1555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>
      <c r="B1467" s="709" t="s">
        <v>1613</v>
      </c>
      <c r="C1467" s="838" t="s">
        <v>3512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1542</v>
      </c>
      <c r="I1467" s="1226" t="s">
        <v>1555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>
      <c r="B1468" s="709" t="s">
        <v>1613</v>
      </c>
      <c r="C1468" s="838" t="s">
        <v>3512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1646</v>
      </c>
      <c r="I1468" s="1228" t="s">
        <v>1542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>
      <c r="B1469" s="709" t="s">
        <v>1612</v>
      </c>
      <c r="C1469" s="838" t="s">
        <v>3512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1646</v>
      </c>
      <c r="I1469" s="1228" t="s">
        <v>1542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>
      <c r="B1470" s="709" t="s">
        <v>1611</v>
      </c>
      <c r="C1470" s="838" t="s">
        <v>3512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1646</v>
      </c>
      <c r="I1470" s="1228" t="s">
        <v>1695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>
      <c r="B1471" s="709" t="s">
        <v>1610</v>
      </c>
      <c r="C1471" s="838" t="s">
        <v>3512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1646</v>
      </c>
      <c r="I1471" s="1228" t="s">
        <v>1542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>
      <c r="B1472" s="709" t="s">
        <v>1609</v>
      </c>
      <c r="C1472" s="838" t="s">
        <v>3512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1646</v>
      </c>
      <c r="I1472" s="1228" t="s">
        <v>1542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>
      <c r="B1473" s="709" t="s">
        <v>1608</v>
      </c>
      <c r="C1473" s="838" t="s">
        <v>3512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1646</v>
      </c>
      <c r="I1473" s="1228" t="s">
        <v>1542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>
      <c r="B1474" s="709" t="s">
        <v>1607</v>
      </c>
      <c r="C1474" s="838" t="s">
        <v>3512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1542</v>
      </c>
      <c r="I1474" s="1226" t="s">
        <v>1555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>
      <c r="B1475" s="709" t="s">
        <v>1606</v>
      </c>
      <c r="C1475" s="838" t="s">
        <v>3512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1646</v>
      </c>
      <c r="I1475" s="1228" t="s">
        <v>1542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>
      <c r="B1476" s="709" t="s">
        <v>1605</v>
      </c>
      <c r="C1476" s="838" t="s">
        <v>3512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1542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>
      <c r="B1477" s="709" t="s">
        <v>1604</v>
      </c>
      <c r="C1477" s="838" t="s">
        <v>3512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1542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>
      <c r="B1478" s="709" t="s">
        <v>1603</v>
      </c>
      <c r="C1478" s="838" t="s">
        <v>3512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1646</v>
      </c>
      <c r="I1478" s="1228" t="s">
        <v>1695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>
      <c r="B1479" s="709" t="s">
        <v>1602</v>
      </c>
      <c r="C1479" s="838" t="s">
        <v>3512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1646</v>
      </c>
      <c r="I1479" s="1226" t="s">
        <v>1643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>
      <c r="B1480" s="709" t="s">
        <v>1601</v>
      </c>
      <c r="C1480" s="838" t="s">
        <v>3512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>
      <c r="B1481" s="709" t="s">
        <v>1600</v>
      </c>
      <c r="C1481" s="838" t="s">
        <v>3512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3367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>
      <c r="B1482" s="709" t="s">
        <v>1599</v>
      </c>
      <c r="C1482" s="838" t="s">
        <v>3512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1542</v>
      </c>
      <c r="I1482" s="1226" t="s">
        <v>1555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>
      <c r="B1483" s="709" t="s">
        <v>1599</v>
      </c>
      <c r="C1483" s="838" t="s">
        <v>3512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1646</v>
      </c>
      <c r="I1483" s="1228" t="s">
        <v>1542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>
      <c r="B1484" s="709" t="s">
        <v>1598</v>
      </c>
      <c r="C1484" s="838" t="s">
        <v>3512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1357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>
      <c r="B1485" s="710" t="s">
        <v>1644</v>
      </c>
      <c r="C1485" s="838" t="s">
        <v>3512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1646</v>
      </c>
      <c r="I1485" s="1228" t="s">
        <v>1645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>
      <c r="B1486" s="710" t="s">
        <v>1694</v>
      </c>
      <c r="C1486" s="838" t="s">
        <v>3512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1646</v>
      </c>
      <c r="I1486" s="1228" t="s">
        <v>1643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>
      <c r="B1487" s="710" t="s">
        <v>1693</v>
      </c>
      <c r="C1487" s="838" t="s">
        <v>3512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1542</v>
      </c>
      <c r="I1487" s="1226" t="s">
        <v>1555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>
      <c r="B1488" s="710" t="s">
        <v>1692</v>
      </c>
      <c r="C1488" s="838" t="s">
        <v>3512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1542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>
      <c r="B1489" s="710" t="s">
        <v>1691</v>
      </c>
      <c r="C1489" s="838" t="s">
        <v>3512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1646</v>
      </c>
      <c r="I1489" s="1228" t="s">
        <v>1695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>
      <c r="B1490" s="710" t="s">
        <v>1690</v>
      </c>
      <c r="C1490" s="838" t="s">
        <v>3512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1542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>
      <c r="B1491" s="710" t="s">
        <v>1689</v>
      </c>
      <c r="C1491" s="838" t="s">
        <v>3512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1646</v>
      </c>
      <c r="I1491" s="1228" t="s">
        <v>1645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>
      <c r="B1492" s="710" t="s">
        <v>1688</v>
      </c>
      <c r="C1492" s="838" t="s">
        <v>3512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1646</v>
      </c>
      <c r="I1492" s="1228" t="s">
        <v>1695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>
      <c r="B1493" s="710" t="s">
        <v>1687</v>
      </c>
      <c r="C1493" s="838" t="s">
        <v>3512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1646</v>
      </c>
      <c r="I1493" s="1228" t="s">
        <v>1696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>
      <c r="B1494" s="710" t="s">
        <v>1686</v>
      </c>
      <c r="C1494" s="838" t="s">
        <v>3512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1646</v>
      </c>
      <c r="I1494" s="1228" t="s">
        <v>1697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>
      <c r="B1495" s="710" t="s">
        <v>1685</v>
      </c>
      <c r="C1495" s="838" t="s">
        <v>3512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1542</v>
      </c>
      <c r="I1495" s="1226" t="s">
        <v>1555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>
      <c r="B1496" s="710" t="s">
        <v>1684</v>
      </c>
      <c r="C1496" s="838" t="s">
        <v>3512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1646</v>
      </c>
      <c r="I1496" s="1228" t="s">
        <v>1698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>
      <c r="B1497" s="710" t="s">
        <v>1683</v>
      </c>
      <c r="C1497" s="838" t="s">
        <v>3512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1646</v>
      </c>
      <c r="I1497" s="1228" t="s">
        <v>1697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>
      <c r="B1498" s="710" t="s">
        <v>1682</v>
      </c>
      <c r="C1498" s="838" t="s">
        <v>3512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1646</v>
      </c>
      <c r="I1498" s="1228" t="s">
        <v>1542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>
      <c r="B1499" s="710" t="s">
        <v>1681</v>
      </c>
      <c r="C1499" s="838" t="s">
        <v>3512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1646</v>
      </c>
      <c r="I1499" s="1228" t="s">
        <v>1696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>
      <c r="B1500" s="710" t="s">
        <v>1680</v>
      </c>
      <c r="C1500" s="838" t="s">
        <v>3512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>
      <c r="B1501" s="710" t="s">
        <v>1679</v>
      </c>
      <c r="C1501" s="838" t="s">
        <v>3512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1646</v>
      </c>
      <c r="I1501" s="1228" t="s">
        <v>1542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>
      <c r="B1502" s="710" t="s">
        <v>1678</v>
      </c>
      <c r="C1502" s="838" t="s">
        <v>3512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1646</v>
      </c>
      <c r="I1502" s="1228" t="s">
        <v>1542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>
      <c r="B1503" s="710" t="s">
        <v>1677</v>
      </c>
      <c r="C1503" s="838" t="s">
        <v>3512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1646</v>
      </c>
      <c r="I1503" s="1228" t="s">
        <v>1695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>
      <c r="B1504" s="710" t="s">
        <v>1676</v>
      </c>
      <c r="C1504" s="838" t="s">
        <v>3512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1646</v>
      </c>
      <c r="I1504" s="1228" t="s">
        <v>1695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>
      <c r="B1505" s="710" t="s">
        <v>1675</v>
      </c>
      <c r="C1505" s="838" t="s">
        <v>3512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1646</v>
      </c>
      <c r="I1505" s="1228" t="s">
        <v>1698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>
      <c r="B1506" s="710" t="s">
        <v>1674</v>
      </c>
      <c r="C1506" s="838" t="s">
        <v>3512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1542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>
      <c r="B1507" s="710" t="s">
        <v>1673</v>
      </c>
      <c r="C1507" s="838" t="s">
        <v>3512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1542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>
      <c r="B1508" s="710" t="s">
        <v>1672</v>
      </c>
      <c r="C1508" s="838" t="s">
        <v>3512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1646</v>
      </c>
      <c r="I1508" s="1228" t="s">
        <v>1695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>
      <c r="B1509" s="710" t="s">
        <v>1671</v>
      </c>
      <c r="C1509" s="838" t="s">
        <v>3512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1646</v>
      </c>
      <c r="I1509" s="1228" t="s">
        <v>1645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>
      <c r="B1510" s="710" t="s">
        <v>1670</v>
      </c>
      <c r="C1510" s="838" t="s">
        <v>3512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1646</v>
      </c>
      <c r="I1510" s="1228" t="s">
        <v>1643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>
      <c r="B1511" s="710" t="s">
        <v>1669</v>
      </c>
      <c r="C1511" s="838" t="s">
        <v>3512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1646</v>
      </c>
      <c r="I1511" s="1228" t="s">
        <v>1695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>
      <c r="B1512" s="710" t="s">
        <v>1668</v>
      </c>
      <c r="C1512" s="838" t="s">
        <v>3512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1542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>
      <c r="B1513" s="710" t="s">
        <v>1667</v>
      </c>
      <c r="C1513" s="838" t="s">
        <v>3512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1646</v>
      </c>
      <c r="I1513" s="1228" t="s">
        <v>1698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>
      <c r="B1514" s="710" t="s">
        <v>1666</v>
      </c>
      <c r="C1514" s="838" t="s">
        <v>3512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1646</v>
      </c>
      <c r="I1514" s="1228" t="s">
        <v>1645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>
      <c r="B1515" s="710" t="s">
        <v>1665</v>
      </c>
      <c r="C1515" s="838" t="s">
        <v>3512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>
      <c r="B1516" s="710" t="s">
        <v>1664</v>
      </c>
      <c r="C1516" s="838" t="s">
        <v>3512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3367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0" t="s">
        <v>1664</v>
      </c>
      <c r="C1517" s="838" t="s">
        <v>3512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1539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0" t="s">
        <v>1663</v>
      </c>
      <c r="C1518" s="838" t="s">
        <v>3512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1646</v>
      </c>
      <c r="I1518" s="1228" t="s">
        <v>1542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>
      <c r="B1519" s="710" t="s">
        <v>1662</v>
      </c>
      <c r="C1519" s="838" t="s">
        <v>3512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1539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>
      <c r="B1520" s="710" t="s">
        <v>1661</v>
      </c>
      <c r="C1520" s="838" t="s">
        <v>3512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3367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1217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>
      <c r="B1521" s="710" t="s">
        <v>1660</v>
      </c>
      <c r="C1521" s="838" t="s">
        <v>3512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3367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0" t="s">
        <v>1660</v>
      </c>
      <c r="C1522" s="838" t="s">
        <v>3512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1646</v>
      </c>
      <c r="I1522" s="1228" t="s">
        <v>1697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0" t="s">
        <v>1659</v>
      </c>
      <c r="C1523" s="838" t="s">
        <v>3512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1646</v>
      </c>
      <c r="I1523" s="1228" t="s">
        <v>1542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>
      <c r="B1524" s="710" t="s">
        <v>1658</v>
      </c>
      <c r="C1524" s="838" t="s">
        <v>3512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1646</v>
      </c>
      <c r="I1524" s="1228" t="s">
        <v>1695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>
      <c r="B1525" s="710" t="s">
        <v>1657</v>
      </c>
      <c r="C1525" s="838" t="s">
        <v>3512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1646</v>
      </c>
      <c r="I1525" s="1228" t="s">
        <v>1542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>
      <c r="B1526" s="710" t="s">
        <v>1656</v>
      </c>
      <c r="C1526" s="838" t="s">
        <v>3512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1646</v>
      </c>
      <c r="I1526" s="1228" t="s">
        <v>1696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>
      <c r="B1527" s="710" t="s">
        <v>1655</v>
      </c>
      <c r="C1527" s="838" t="s">
        <v>3512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>
      <c r="B1528" s="710" t="s">
        <v>1654</v>
      </c>
      <c r="C1528" s="838" t="s">
        <v>3512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1646</v>
      </c>
      <c r="I1528" s="1228" t="s">
        <v>1542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>
      <c r="B1529" s="710" t="s">
        <v>1653</v>
      </c>
      <c r="C1529" s="838" t="s">
        <v>3512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1646</v>
      </c>
      <c r="I1529" s="1228" t="s">
        <v>1695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>
      <c r="B1530" s="710" t="s">
        <v>1652</v>
      </c>
      <c r="C1530" s="838" t="s">
        <v>3512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1646</v>
      </c>
      <c r="I1530" s="1228" t="s">
        <v>1542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>
      <c r="B1531" s="710" t="s">
        <v>1651</v>
      </c>
      <c r="C1531" s="838" t="s">
        <v>3512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1646</v>
      </c>
      <c r="I1531" s="1228" t="s">
        <v>1695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>
      <c r="B1532" s="710" t="s">
        <v>1650</v>
      </c>
      <c r="C1532" s="838" t="s">
        <v>3512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1646</v>
      </c>
      <c r="I1532" s="1228" t="s">
        <v>1698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>
      <c r="B1533" s="710" t="s">
        <v>1649</v>
      </c>
      <c r="C1533" s="838" t="s">
        <v>3512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1646</v>
      </c>
      <c r="I1533" s="1228" t="s">
        <v>1695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>
      <c r="B1534" s="710" t="s">
        <v>1648</v>
      </c>
      <c r="C1534" s="838" t="s">
        <v>3512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1646</v>
      </c>
      <c r="I1534" s="1228" t="s">
        <v>1542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>
      <c r="B1535" s="710" t="s">
        <v>1647</v>
      </c>
      <c r="C1535" s="838" t="s">
        <v>3512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1646</v>
      </c>
      <c r="I1535" s="1228" t="s">
        <v>1696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>
      <c r="B1536" s="710" t="s">
        <v>1727</v>
      </c>
      <c r="C1536" s="838" t="s">
        <v>3512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1646</v>
      </c>
      <c r="I1536" s="1228" t="s">
        <v>1697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>
      <c r="B1537" s="710" t="s">
        <v>1726</v>
      </c>
      <c r="C1537" s="838" t="s">
        <v>3512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1646</v>
      </c>
      <c r="I1537" s="1228" t="s">
        <v>1643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>
      <c r="B1538" s="710" t="s">
        <v>1725</v>
      </c>
      <c r="C1538" s="838" t="s">
        <v>3512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1646</v>
      </c>
      <c r="I1538" s="1228" t="s">
        <v>1695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>
      <c r="B1539" s="710" t="s">
        <v>1724</v>
      </c>
      <c r="C1539" s="838" t="s">
        <v>3512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1646</v>
      </c>
      <c r="I1539" s="1228" t="s">
        <v>1542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>
      <c r="B1540" s="710" t="s">
        <v>1723</v>
      </c>
      <c r="C1540" s="838" t="s">
        <v>3512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1646</v>
      </c>
      <c r="I1540" s="1228" t="s">
        <v>1542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>
      <c r="B1541" s="710" t="s">
        <v>1722</v>
      </c>
      <c r="C1541" s="838" t="s">
        <v>3512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1646</v>
      </c>
      <c r="I1541" s="1228" t="s">
        <v>1697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>
      <c r="B1542" s="710" t="s">
        <v>1721</v>
      </c>
      <c r="C1542" s="838" t="s">
        <v>3512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1646</v>
      </c>
      <c r="I1542" s="1228" t="s">
        <v>1645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>
      <c r="B1543" s="710" t="s">
        <v>1720</v>
      </c>
      <c r="C1543" s="838" t="s">
        <v>3512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1646</v>
      </c>
      <c r="I1543" s="1228" t="s">
        <v>1695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>
      <c r="B1544" s="710" t="s">
        <v>1719</v>
      </c>
      <c r="C1544" s="838" t="s">
        <v>3512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1646</v>
      </c>
      <c r="I1544" s="1228" t="s">
        <v>1542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>
      <c r="B1545" s="710" t="s">
        <v>1718</v>
      </c>
      <c r="C1545" s="838" t="s">
        <v>3512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1646</v>
      </c>
      <c r="I1545" s="1228" t="s">
        <v>1645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>
      <c r="B1546" s="710" t="s">
        <v>1717</v>
      </c>
      <c r="C1546" s="838" t="s">
        <v>3512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1646</v>
      </c>
      <c r="I1546" s="1228" t="s">
        <v>1542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>
      <c r="B1547" s="710" t="s">
        <v>1716</v>
      </c>
      <c r="C1547" s="838" t="s">
        <v>3512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1646</v>
      </c>
      <c r="I1547" s="1228" t="s">
        <v>1542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>
      <c r="B1548" s="710" t="s">
        <v>1715</v>
      </c>
      <c r="C1548" s="838" t="s">
        <v>3512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>
      <c r="B1549" s="710" t="s">
        <v>1714</v>
      </c>
      <c r="C1549" s="838" t="s">
        <v>3512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1646</v>
      </c>
      <c r="I1549" s="1228" t="s">
        <v>1542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>
      <c r="B1550" s="710" t="s">
        <v>1713</v>
      </c>
      <c r="C1550" s="838" t="s">
        <v>3512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1217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>
      <c r="B1551" s="710" t="s">
        <v>1712</v>
      </c>
      <c r="C1551" s="838" t="s">
        <v>3512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1646</v>
      </c>
      <c r="I1551" s="1228" t="s">
        <v>1695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>
      <c r="B1552" s="710" t="s">
        <v>1711</v>
      </c>
      <c r="C1552" s="838" t="s">
        <v>3512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1646</v>
      </c>
      <c r="I1552" s="1228" t="s">
        <v>1697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>
      <c r="B1553" s="710" t="s">
        <v>1710</v>
      </c>
      <c r="C1553" s="838" t="s">
        <v>3512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>
      <c r="B1554" s="710" t="s">
        <v>1709</v>
      </c>
      <c r="C1554" s="838" t="s">
        <v>3512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1646</v>
      </c>
      <c r="I1554" s="1228" t="s">
        <v>1542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>
      <c r="B1555" s="710" t="s">
        <v>1708</v>
      </c>
      <c r="C1555" s="838" t="s">
        <v>3512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>
      <c r="B1556" s="710" t="s">
        <v>1707</v>
      </c>
      <c r="C1556" s="838" t="s">
        <v>3512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1539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0" t="s">
        <v>1707</v>
      </c>
      <c r="C1557" s="838" t="s">
        <v>3512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3367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0" t="s">
        <v>1706</v>
      </c>
      <c r="C1558" s="838" t="s">
        <v>3512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3367</v>
      </c>
      <c r="I1558" s="1228" t="s">
        <v>1576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>
      <c r="B1559" s="710" t="s">
        <v>1705</v>
      </c>
      <c r="C1559" s="838" t="s">
        <v>3512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1646</v>
      </c>
      <c r="I1559" s="1228" t="s">
        <v>1696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>
      <c r="B1560" s="710" t="s">
        <v>1704</v>
      </c>
      <c r="C1560" s="838" t="s">
        <v>3512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1646</v>
      </c>
      <c r="I1560" s="1228" t="s">
        <v>1695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>
      <c r="B1561" s="710" t="s">
        <v>1703</v>
      </c>
      <c r="C1561" s="838" t="s">
        <v>3512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1359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>
      <c r="B1562" s="710" t="s">
        <v>1702</v>
      </c>
      <c r="C1562" s="838" t="s">
        <v>3512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1646</v>
      </c>
      <c r="I1562" s="1228" t="s">
        <v>1695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>
      <c r="B1563" s="710" t="s">
        <v>1701</v>
      </c>
      <c r="C1563" s="838" t="s">
        <v>3512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1646</v>
      </c>
      <c r="I1563" s="1228" t="s">
        <v>1736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>
      <c r="B1564" s="710" t="s">
        <v>1700</v>
      </c>
      <c r="C1564" s="838" t="s">
        <v>3512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1646</v>
      </c>
      <c r="I1564" s="1228" t="s">
        <v>1542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>
      <c r="B1565" s="710" t="s">
        <v>1699</v>
      </c>
      <c r="C1565" s="838" t="s">
        <v>3512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1646</v>
      </c>
      <c r="I1565" s="1228" t="s">
        <v>1695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>
      <c r="B1566" s="710" t="s">
        <v>1734</v>
      </c>
      <c r="C1566" s="838" t="s">
        <v>3512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1646</v>
      </c>
      <c r="I1566" s="1228" t="s">
        <v>1695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>
      <c r="B1567" s="710" t="s">
        <v>1733</v>
      </c>
      <c r="C1567" s="838" t="s">
        <v>3512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1646</v>
      </c>
      <c r="I1567" s="1228" t="s">
        <v>1695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>
      <c r="B1568" s="710" t="s">
        <v>1732</v>
      </c>
      <c r="C1568" s="838" t="s">
        <v>3512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1646</v>
      </c>
      <c r="I1568" s="1228" t="s">
        <v>1736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>
      <c r="B1569" s="710" t="s">
        <v>1731</v>
      </c>
      <c r="C1569" s="838" t="s">
        <v>3512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1646</v>
      </c>
      <c r="I1569" s="1228" t="s">
        <v>1542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>
      <c r="B1570" s="710" t="s">
        <v>1730</v>
      </c>
      <c r="C1570" s="838" t="s">
        <v>3512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1646</v>
      </c>
      <c r="I1570" s="1228" t="s">
        <v>1735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0" t="s">
        <v>1730</v>
      </c>
      <c r="C1571" s="838" t="s">
        <v>3512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1646</v>
      </c>
      <c r="I1571" s="1228" t="s">
        <v>1736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0" t="s">
        <v>1729</v>
      </c>
      <c r="C1572" s="838" t="s">
        <v>3512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3367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>
      <c r="B1573" s="710" t="s">
        <v>1728</v>
      </c>
      <c r="C1573" s="838" t="s">
        <v>3512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1646</v>
      </c>
      <c r="I1573" s="1228" t="s">
        <v>1737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>
      <c r="B1574" s="711" t="s">
        <v>1740</v>
      </c>
      <c r="C1574" s="838" t="s">
        <v>3512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1646</v>
      </c>
      <c r="I1574" s="1228" t="s">
        <v>1542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>
      <c r="B1575" s="711" t="s">
        <v>1739</v>
      </c>
      <c r="C1575" s="838" t="s">
        <v>3512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1646</v>
      </c>
      <c r="I1575" s="1228" t="s">
        <v>1736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>
      <c r="B1576" s="712" t="s">
        <v>1752</v>
      </c>
      <c r="C1576" s="838" t="s">
        <v>3512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1646</v>
      </c>
      <c r="I1576" s="1228" t="s">
        <v>1542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>
      <c r="B1577" s="712" t="s">
        <v>1751</v>
      </c>
      <c r="C1577" s="838" t="s">
        <v>3512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1646</v>
      </c>
      <c r="I1577" s="1228" t="s">
        <v>1695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>
      <c r="B1578" s="712" t="s">
        <v>1750</v>
      </c>
      <c r="C1578" s="838" t="s">
        <v>3512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1646</v>
      </c>
      <c r="I1578" s="1229" t="s">
        <v>1645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>
      <c r="B1579" s="712" t="s">
        <v>1749</v>
      </c>
      <c r="C1579" s="838" t="s">
        <v>3512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1646</v>
      </c>
      <c r="I1579" s="1229" t="s">
        <v>1753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>
      <c r="B1580" s="712" t="s">
        <v>1748</v>
      </c>
      <c r="C1580" s="838" t="s">
        <v>3512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1646</v>
      </c>
      <c r="I1580" s="1229" t="s">
        <v>1697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>
      <c r="B1581" s="712" t="s">
        <v>1747</v>
      </c>
      <c r="C1581" s="838" t="s">
        <v>3512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1646</v>
      </c>
      <c r="I1581" s="1228" t="s">
        <v>1695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>
      <c r="B1582" s="712" t="s">
        <v>1746</v>
      </c>
      <c r="C1582" s="838" t="s">
        <v>3512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1646</v>
      </c>
      <c r="I1582" s="1229" t="s">
        <v>1643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>
      <c r="B1583" s="712" t="s">
        <v>1745</v>
      </c>
      <c r="C1583" s="838" t="s">
        <v>3512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1646</v>
      </c>
      <c r="I1583" s="1229" t="s">
        <v>1737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>
      <c r="B1584" s="712" t="s">
        <v>1744</v>
      </c>
      <c r="C1584" s="838" t="s">
        <v>3512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1646</v>
      </c>
      <c r="I1584" s="1228" t="s">
        <v>1542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>
      <c r="B1585" s="712" t="s">
        <v>1743</v>
      </c>
      <c r="C1585" s="838" t="s">
        <v>3512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1646</v>
      </c>
      <c r="I1585" s="1229" t="s">
        <v>1643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>
      <c r="B1586" s="712" t="s">
        <v>1742</v>
      </c>
      <c r="C1586" s="838" t="s">
        <v>3512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3767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2" t="s">
        <v>1742</v>
      </c>
      <c r="C1587" s="838" t="s">
        <v>3512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1646</v>
      </c>
      <c r="I1587" s="1228" t="s">
        <v>1695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3767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>
      <c r="B1588" s="712" t="s">
        <v>1741</v>
      </c>
      <c r="C1588" s="838" t="s">
        <v>3512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1539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>
      <c r="B1589" s="713" t="s">
        <v>1813</v>
      </c>
      <c r="C1589" s="838" t="s">
        <v>3512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1646</v>
      </c>
      <c r="I1589" s="1228" t="s">
        <v>1736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>
      <c r="B1590" s="713" t="s">
        <v>1812</v>
      </c>
      <c r="C1590" s="838" t="s">
        <v>3512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1646</v>
      </c>
      <c r="I1590" s="1228" t="s">
        <v>1542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>
      <c r="B1591" s="713" t="s">
        <v>1811</v>
      </c>
      <c r="C1591" s="838" t="s">
        <v>3512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1646</v>
      </c>
      <c r="I1591" s="1228" t="s">
        <v>1736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>
      <c r="B1592" s="713" t="s">
        <v>1810</v>
      </c>
      <c r="C1592" s="838" t="s">
        <v>3512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1646</v>
      </c>
      <c r="I1592" s="1229" t="s">
        <v>1697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>
      <c r="B1593" s="713" t="s">
        <v>1809</v>
      </c>
      <c r="C1593" s="838" t="s">
        <v>3512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1646</v>
      </c>
      <c r="I1593" s="1228" t="s">
        <v>1542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>
      <c r="B1594" s="713" t="s">
        <v>1808</v>
      </c>
      <c r="C1594" s="838" t="s">
        <v>3512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1646</v>
      </c>
      <c r="I1594" s="1229" t="s">
        <v>1697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>
      <c r="B1595" s="713" t="s">
        <v>1807</v>
      </c>
      <c r="C1595" s="838" t="s">
        <v>3512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1646</v>
      </c>
      <c r="I1595" s="1228" t="s">
        <v>1736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>
      <c r="B1596" s="713" t="s">
        <v>1806</v>
      </c>
      <c r="C1596" s="838" t="s">
        <v>3512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1218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3" t="s">
        <v>1806</v>
      </c>
      <c r="C1597" s="838" t="s">
        <v>3512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1646</v>
      </c>
      <c r="I1597" s="1228" t="s">
        <v>1695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3" t="s">
        <v>1805</v>
      </c>
      <c r="C1598" s="838" t="s">
        <v>3512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1646</v>
      </c>
      <c r="I1598" s="1228" t="s">
        <v>1696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>
      <c r="B1599" s="713" t="s">
        <v>1804</v>
      </c>
      <c r="C1599" s="838" t="s">
        <v>3512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>
      <c r="B1600" s="714" t="s">
        <v>1819</v>
      </c>
      <c r="C1600" s="838" t="s">
        <v>3512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1646</v>
      </c>
      <c r="I1600" s="1228" t="s">
        <v>1736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>
      <c r="B1601" s="714" t="s">
        <v>1818</v>
      </c>
      <c r="C1601" s="838" t="s">
        <v>3512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1646</v>
      </c>
      <c r="I1601" s="1228" t="s">
        <v>1695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>
      <c r="B1602" s="714" t="s">
        <v>1817</v>
      </c>
      <c r="C1602" s="838" t="s">
        <v>3512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1646</v>
      </c>
      <c r="I1602" s="1228" t="s">
        <v>1736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>
      <c r="B1603" s="714" t="s">
        <v>1816</v>
      </c>
      <c r="C1603" s="838" t="s">
        <v>3512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1820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>
      <c r="B1604" s="714" t="s">
        <v>1926</v>
      </c>
      <c r="C1604" s="838" t="s">
        <v>3512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1646</v>
      </c>
      <c r="I1604" s="1231" t="s">
        <v>1771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>
      <c r="B1605" s="714" t="s">
        <v>1925</v>
      </c>
      <c r="C1605" s="838" t="s">
        <v>3512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>
      <c r="B1606" s="714" t="s">
        <v>1924</v>
      </c>
      <c r="C1606" s="838" t="s">
        <v>3512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1646</v>
      </c>
      <c r="I1606" s="1231" t="s">
        <v>1753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>
      <c r="B1607" s="714" t="s">
        <v>1923</v>
      </c>
      <c r="C1607" s="838" t="s">
        <v>3512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1646</v>
      </c>
      <c r="I1607" s="1231" t="s">
        <v>1753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>
      <c r="B1608" s="714" t="s">
        <v>1922</v>
      </c>
      <c r="C1608" s="838" t="s">
        <v>3512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1646</v>
      </c>
      <c r="I1608" s="1231" t="s">
        <v>1542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>
      <c r="B1609" s="714" t="s">
        <v>1921</v>
      </c>
      <c r="C1609" s="838" t="s">
        <v>3512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1646</v>
      </c>
      <c r="I1609" s="1228" t="s">
        <v>1695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>
      <c r="B1610" s="714" t="s">
        <v>1920</v>
      </c>
      <c r="C1610" s="838" t="s">
        <v>3512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1646</v>
      </c>
      <c r="I1610" s="1228" t="s">
        <v>1736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>
      <c r="B1611" s="714" t="s">
        <v>1919</v>
      </c>
      <c r="C1611" s="838" t="s">
        <v>3512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>
      <c r="B1612" s="714" t="s">
        <v>1918</v>
      </c>
      <c r="C1612" s="838" t="s">
        <v>3512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1646</v>
      </c>
      <c r="I1612" s="1231" t="s">
        <v>1737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>
      <c r="B1613" s="714" t="s">
        <v>1917</v>
      </c>
      <c r="C1613" s="838" t="s">
        <v>3512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3367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2008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>
      <c r="B1614" s="714" t="s">
        <v>1916</v>
      </c>
      <c r="C1614" s="838" t="s">
        <v>3512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1646</v>
      </c>
      <c r="I1614" s="1231" t="s">
        <v>1771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>
      <c r="B1615" s="714" t="s">
        <v>1915</v>
      </c>
      <c r="C1615" s="838" t="s">
        <v>3512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1646</v>
      </c>
      <c r="I1615" s="1228" t="s">
        <v>1695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>
      <c r="B1616" s="714" t="s">
        <v>1914</v>
      </c>
      <c r="C1616" s="838" t="s">
        <v>3512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1646</v>
      </c>
      <c r="I1616" s="1228" t="s">
        <v>1695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>
      <c r="B1617" s="714" t="s">
        <v>1913</v>
      </c>
      <c r="C1617" s="838" t="s">
        <v>3512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1646</v>
      </c>
      <c r="I1617" s="1231" t="s">
        <v>1643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>
      <c r="B1618" s="714" t="s">
        <v>1912</v>
      </c>
      <c r="C1618" s="838" t="s">
        <v>3512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1646</v>
      </c>
      <c r="I1618" s="1228" t="s">
        <v>1695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>
      <c r="B1619" s="714" t="s">
        <v>1911</v>
      </c>
      <c r="C1619" s="838" t="s">
        <v>3512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1646</v>
      </c>
      <c r="I1619" s="1231" t="s">
        <v>1542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>
      <c r="B1620" s="714" t="s">
        <v>1910</v>
      </c>
      <c r="C1620" s="838" t="s">
        <v>3512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1646</v>
      </c>
      <c r="I1620" s="1231" t="s">
        <v>1697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>
      <c r="B1621" s="714" t="s">
        <v>1909</v>
      </c>
      <c r="C1621" s="838" t="s">
        <v>3512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1646</v>
      </c>
      <c r="I1621" s="1231" t="s">
        <v>1735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>
      <c r="B1622" s="714" t="s">
        <v>1908</v>
      </c>
      <c r="C1622" s="838" t="s">
        <v>3512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>
      <c r="B1623" s="714" t="s">
        <v>1907</v>
      </c>
      <c r="C1623" s="838" t="s">
        <v>3512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>
      <c r="B1624" s="714" t="s">
        <v>1906</v>
      </c>
      <c r="C1624" s="838" t="s">
        <v>3512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1646</v>
      </c>
      <c r="I1624" s="1228" t="s">
        <v>1736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>
      <c r="B1625" s="714" t="s">
        <v>2007</v>
      </c>
      <c r="C1625" s="838" t="s">
        <v>3512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>
      <c r="B1626" s="714" t="s">
        <v>2006</v>
      </c>
      <c r="C1626" s="838" t="s">
        <v>3512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1646</v>
      </c>
      <c r="I1626" s="1231" t="s">
        <v>1771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>
      <c r="B1627" s="714" t="s">
        <v>2005</v>
      </c>
      <c r="C1627" s="838" t="s">
        <v>3512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1646</v>
      </c>
      <c r="I1627" s="1231" t="s">
        <v>1542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>
      <c r="B1628" s="714" t="s">
        <v>2004</v>
      </c>
      <c r="C1628" s="838" t="s">
        <v>3512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1646</v>
      </c>
      <c r="I1628" s="1231" t="s">
        <v>1542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>
      <c r="B1629" s="714" t="s">
        <v>2003</v>
      </c>
      <c r="C1629" s="838" t="s">
        <v>3512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>
      <c r="B1630" s="714" t="s">
        <v>2002</v>
      </c>
      <c r="C1630" s="838" t="s">
        <v>3512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1646</v>
      </c>
      <c r="I1630" s="1231" t="s">
        <v>1542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>
      <c r="B1631" s="714" t="s">
        <v>2001</v>
      </c>
      <c r="C1631" s="838" t="s">
        <v>3512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1646</v>
      </c>
      <c r="I1631" s="1228" t="s">
        <v>1736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>
      <c r="B1632" s="714" t="s">
        <v>2000</v>
      </c>
      <c r="C1632" s="838" t="s">
        <v>3512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>
      <c r="B1633" s="714" t="s">
        <v>1999</v>
      </c>
      <c r="C1633" s="838" t="s">
        <v>3512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1646</v>
      </c>
      <c r="I1633" s="1231" t="s">
        <v>1735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>
      <c r="B1634" s="714" t="s">
        <v>1999</v>
      </c>
      <c r="C1634" s="838" t="s">
        <v>3512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1646</v>
      </c>
      <c r="I1634" s="1228" t="s">
        <v>1736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4" t="s">
        <v>1998</v>
      </c>
      <c r="C1635" s="838" t="s">
        <v>3512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>
      <c r="B1636" s="714" t="s">
        <v>1997</v>
      </c>
      <c r="C1636" s="838" t="s">
        <v>3512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1646</v>
      </c>
      <c r="I1636" s="1231" t="s">
        <v>1542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>
      <c r="B1637" s="714" t="s">
        <v>1996</v>
      </c>
      <c r="C1637" s="838" t="s">
        <v>3512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1646</v>
      </c>
      <c r="I1637" s="1228" t="s">
        <v>1736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>
      <c r="B1638" s="714" t="s">
        <v>1995</v>
      </c>
      <c r="C1638" s="838" t="s">
        <v>3512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1646</v>
      </c>
      <c r="I1638" s="1231" t="s">
        <v>1698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>
      <c r="B1639" s="714" t="s">
        <v>1994</v>
      </c>
      <c r="C1639" s="838" t="s">
        <v>3512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1646</v>
      </c>
      <c r="I1639" s="1231" t="s">
        <v>1697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>
      <c r="B1640" s="714" t="s">
        <v>1993</v>
      </c>
      <c r="C1640" s="838" t="s">
        <v>3512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1646</v>
      </c>
      <c r="I1640" s="1231" t="s">
        <v>1645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>
      <c r="B1641" s="714" t="s">
        <v>1992</v>
      </c>
      <c r="C1641" s="838" t="s">
        <v>3512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3367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>
      <c r="B1642" s="714" t="s">
        <v>1991</v>
      </c>
      <c r="C1642" s="838" t="s">
        <v>3512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1646</v>
      </c>
      <c r="I1642" s="1231" t="s">
        <v>1735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>
      <c r="B1643" s="714" t="s">
        <v>1990</v>
      </c>
      <c r="C1643" s="838" t="s">
        <v>3512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1646</v>
      </c>
      <c r="I1643" s="1231" t="s">
        <v>1695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>
      <c r="B1644" s="714" t="s">
        <v>1989</v>
      </c>
      <c r="C1644" s="838" t="s">
        <v>3512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1646</v>
      </c>
      <c r="I1644" s="1231" t="s">
        <v>1643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>
      <c r="B1645" s="714" t="s">
        <v>1988</v>
      </c>
      <c r="C1645" s="838" t="s">
        <v>3512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1646</v>
      </c>
      <c r="I1645" s="1231" t="s">
        <v>1643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>
      <c r="B1646" s="714" t="s">
        <v>1987</v>
      </c>
      <c r="C1646" s="838" t="s">
        <v>3512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1646</v>
      </c>
      <c r="I1646" s="1231" t="s">
        <v>1735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>
      <c r="B1647" s="714" t="s">
        <v>1986</v>
      </c>
      <c r="C1647" s="838" t="s">
        <v>3512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1646</v>
      </c>
      <c r="I1647" s="1231" t="s">
        <v>1542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>
      <c r="B1648" s="714" t="s">
        <v>1985</v>
      </c>
      <c r="C1648" s="838" t="s">
        <v>3512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1646</v>
      </c>
      <c r="I1648" s="1231" t="s">
        <v>1643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>
      <c r="B1649" s="714" t="s">
        <v>1984</v>
      </c>
      <c r="C1649" s="838" t="s">
        <v>3512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1646</v>
      </c>
      <c r="I1649" s="1231" t="s">
        <v>1643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>
      <c r="B1650" s="714" t="s">
        <v>1983</v>
      </c>
      <c r="C1650" s="838" t="s">
        <v>3512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1820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>
      <c r="B1651" s="714" t="s">
        <v>1982</v>
      </c>
      <c r="C1651" s="838" t="s">
        <v>3512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1646</v>
      </c>
      <c r="I1651" s="1231" t="s">
        <v>1542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>
      <c r="B1652" s="714" t="s">
        <v>1981</v>
      </c>
      <c r="C1652" s="838" t="s">
        <v>3512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>
      <c r="B1653" s="714" t="s">
        <v>1980</v>
      </c>
      <c r="C1653" s="838" t="s">
        <v>3512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1646</v>
      </c>
      <c r="I1653" s="1231" t="s">
        <v>1697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>
      <c r="B1654" s="714" t="s">
        <v>1979</v>
      </c>
      <c r="C1654" s="838" t="s">
        <v>3512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1646</v>
      </c>
      <c r="I1654" s="1231" t="s">
        <v>1698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>
      <c r="B1655" s="714" t="s">
        <v>1978</v>
      </c>
      <c r="C1655" s="838" t="s">
        <v>3512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1646</v>
      </c>
      <c r="I1655" s="1231" t="s">
        <v>1643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>
      <c r="B1656" s="714" t="s">
        <v>1977</v>
      </c>
      <c r="C1656" s="838" t="s">
        <v>3512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1646</v>
      </c>
      <c r="I1656" s="1231" t="s">
        <v>1645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>
      <c r="B1657" s="714" t="s">
        <v>1976</v>
      </c>
      <c r="C1657" s="838" t="s">
        <v>3512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1646</v>
      </c>
      <c r="I1657" s="1231" t="s">
        <v>1737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>
      <c r="B1658" s="714" t="s">
        <v>1975</v>
      </c>
      <c r="C1658" s="838" t="s">
        <v>3512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>
      <c r="B1659" s="714" t="s">
        <v>1974</v>
      </c>
      <c r="C1659" s="838" t="s">
        <v>3512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1646</v>
      </c>
      <c r="I1659" s="1231" t="s">
        <v>1695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>
      <c r="B1660" s="714" t="s">
        <v>1973</v>
      </c>
      <c r="C1660" s="838" t="s">
        <v>3512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1646</v>
      </c>
      <c r="I1660" s="1231" t="s">
        <v>1737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>
      <c r="B1661" s="714" t="s">
        <v>1972</v>
      </c>
      <c r="C1661" s="838" t="s">
        <v>3512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1646</v>
      </c>
      <c r="I1661" s="1231" t="s">
        <v>1737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>
      <c r="B1662" s="714" t="s">
        <v>1971</v>
      </c>
      <c r="C1662" s="838" t="s">
        <v>3512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1646</v>
      </c>
      <c r="I1662" s="1231" t="s">
        <v>1643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>
      <c r="B1663" s="714" t="s">
        <v>1970</v>
      </c>
      <c r="C1663" s="838" t="s">
        <v>3512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3367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>
      <c r="B1664" s="714" t="s">
        <v>1969</v>
      </c>
      <c r="C1664" s="838" t="s">
        <v>3512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1646</v>
      </c>
      <c r="I1664" s="1231" t="s">
        <v>1542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>
      <c r="B1665" s="714" t="s">
        <v>1968</v>
      </c>
      <c r="C1665" s="838" t="s">
        <v>3512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1646</v>
      </c>
      <c r="I1665" s="1231" t="s">
        <v>1542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>
      <c r="B1666" s="714" t="s">
        <v>1967</v>
      </c>
      <c r="C1666" s="838" t="s">
        <v>3512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1646</v>
      </c>
      <c r="I1666" s="1231" t="s">
        <v>1771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>
      <c r="B1667" s="714" t="s">
        <v>1966</v>
      </c>
      <c r="C1667" s="838" t="s">
        <v>3512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1646</v>
      </c>
      <c r="I1667" s="1231" t="s">
        <v>1542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>
      <c r="B1668" s="714" t="s">
        <v>1965</v>
      </c>
      <c r="C1668" s="838" t="s">
        <v>3512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1646</v>
      </c>
      <c r="I1668" s="1231" t="s">
        <v>1542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>
      <c r="B1669" s="714" t="s">
        <v>1964</v>
      </c>
      <c r="C1669" s="838" t="s">
        <v>3512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>
      <c r="B1670" s="714" t="s">
        <v>1963</v>
      </c>
      <c r="C1670" s="838" t="s">
        <v>3512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3367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>
      <c r="B1671" s="714" t="s">
        <v>1962</v>
      </c>
      <c r="C1671" s="838" t="s">
        <v>3512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1646</v>
      </c>
      <c r="I1671" s="1231" t="s">
        <v>1736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>
      <c r="B1672" s="714" t="s">
        <v>1961</v>
      </c>
      <c r="C1672" s="838" t="s">
        <v>3512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1646</v>
      </c>
      <c r="I1672" s="1231" t="s">
        <v>1695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>
      <c r="B1673" s="714" t="s">
        <v>1960</v>
      </c>
      <c r="C1673" s="838" t="s">
        <v>3512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1539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>
      <c r="B1674" s="714" t="s">
        <v>1959</v>
      </c>
      <c r="C1674" s="838" t="s">
        <v>3512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>
      <c r="B1675" s="714" t="s">
        <v>1958</v>
      </c>
      <c r="C1675" s="838" t="s">
        <v>3512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1646</v>
      </c>
      <c r="I1675" s="1231" t="s">
        <v>1542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>
      <c r="B1676" s="714" t="s">
        <v>1957</v>
      </c>
      <c r="C1676" s="838" t="s">
        <v>3512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>
      <c r="B1677" s="714" t="s">
        <v>1956</v>
      </c>
      <c r="C1677" s="838" t="s">
        <v>3512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1646</v>
      </c>
      <c r="I1677" s="1231" t="s">
        <v>1771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>
      <c r="B1678" s="714" t="s">
        <v>1955</v>
      </c>
      <c r="C1678" s="838" t="s">
        <v>3512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1646</v>
      </c>
      <c r="I1678" s="1231" t="s">
        <v>1643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>
      <c r="B1679" s="714" t="s">
        <v>1954</v>
      </c>
      <c r="C1679" s="838" t="s">
        <v>3512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1646</v>
      </c>
      <c r="I1679" s="1231" t="s">
        <v>1695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>
      <c r="B1680" s="714" t="s">
        <v>1953</v>
      </c>
      <c r="C1680" s="838" t="s">
        <v>3512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1646</v>
      </c>
      <c r="I1680" s="1231" t="s">
        <v>1736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>
      <c r="B1681" s="714" t="s">
        <v>1952</v>
      </c>
      <c r="C1681" s="838" t="s">
        <v>3512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1646</v>
      </c>
      <c r="I1681" s="1231" t="s">
        <v>1542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>
      <c r="B1682" s="714" t="s">
        <v>1951</v>
      </c>
      <c r="C1682" s="838" t="s">
        <v>3512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1646</v>
      </c>
      <c r="I1682" s="1231" t="s">
        <v>1737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>
      <c r="B1683" s="714" t="s">
        <v>1950</v>
      </c>
      <c r="C1683" s="838" t="s">
        <v>3512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1646</v>
      </c>
      <c r="I1683" s="1231" t="s">
        <v>1737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>
      <c r="B1684" s="714" t="s">
        <v>1949</v>
      </c>
      <c r="C1684" s="838" t="s">
        <v>3512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1646</v>
      </c>
      <c r="I1684" s="1231" t="s">
        <v>1645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>
      <c r="B1685" s="714" t="s">
        <v>1948</v>
      </c>
      <c r="C1685" s="838" t="s">
        <v>3512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>
      <c r="B1686" s="714" t="s">
        <v>1947</v>
      </c>
      <c r="C1686" s="838" t="s">
        <v>3512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1646</v>
      </c>
      <c r="I1686" s="1231" t="s">
        <v>1643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>
      <c r="B1687" s="714" t="s">
        <v>1946</v>
      </c>
      <c r="C1687" s="838" t="s">
        <v>3512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1359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>
      <c r="B1688" s="714" t="s">
        <v>1945</v>
      </c>
      <c r="C1688" s="838" t="s">
        <v>3512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>
      <c r="B1689" s="714" t="s">
        <v>1944</v>
      </c>
      <c r="C1689" s="838" t="s">
        <v>3512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1646</v>
      </c>
      <c r="I1689" s="1231" t="s">
        <v>1643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>
      <c r="B1690" s="714" t="s">
        <v>1943</v>
      </c>
      <c r="C1690" s="838" t="s">
        <v>3512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1646</v>
      </c>
      <c r="I1690" s="1231" t="s">
        <v>1753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>
      <c r="B1691" s="714" t="s">
        <v>1942</v>
      </c>
      <c r="C1691" s="838" t="s">
        <v>3512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1646</v>
      </c>
      <c r="I1691" s="1231" t="s">
        <v>1542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>
      <c r="B1692" s="714" t="s">
        <v>1941</v>
      </c>
      <c r="C1692" s="838" t="s">
        <v>3512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3367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4" t="s">
        <v>1941</v>
      </c>
      <c r="C1693" s="838" t="s">
        <v>3512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1539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4" t="s">
        <v>1940</v>
      </c>
      <c r="C1694" s="838" t="s">
        <v>3512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1646</v>
      </c>
      <c r="I1694" s="1231" t="s">
        <v>1736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>
      <c r="B1695" s="714" t="s">
        <v>1939</v>
      </c>
      <c r="C1695" s="838" t="s">
        <v>3512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1646</v>
      </c>
      <c r="I1695" s="1231" t="s">
        <v>1542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>
      <c r="B1696" s="714" t="s">
        <v>1938</v>
      </c>
      <c r="C1696" s="838" t="s">
        <v>3512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1646</v>
      </c>
      <c r="I1696" s="1231" t="s">
        <v>1695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>
      <c r="B1697" s="714" t="s">
        <v>1937</v>
      </c>
      <c r="C1697" s="838" t="s">
        <v>3512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3367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1359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4" t="s">
        <v>1937</v>
      </c>
      <c r="C1698" s="838" t="s">
        <v>3512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1646</v>
      </c>
      <c r="I1698" s="1231" t="s">
        <v>1753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4" t="s">
        <v>1936</v>
      </c>
      <c r="C1699" s="838" t="s">
        <v>3512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1646</v>
      </c>
      <c r="I1699" s="1231" t="s">
        <v>1542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>
      <c r="B1700" s="714" t="s">
        <v>1935</v>
      </c>
      <c r="C1700" s="838" t="s">
        <v>3512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1646</v>
      </c>
      <c r="I1700" s="1231" t="s">
        <v>1695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>
      <c r="B1701" s="714" t="s">
        <v>1934</v>
      </c>
      <c r="C1701" s="838" t="s">
        <v>3512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1646</v>
      </c>
      <c r="I1701" s="1231" t="s">
        <v>1695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>
      <c r="B1702" s="714" t="s">
        <v>1933</v>
      </c>
      <c r="C1702" s="838" t="s">
        <v>3512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1359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>
      <c r="B1703" s="714" t="s">
        <v>1932</v>
      </c>
      <c r="C1703" s="838" t="s">
        <v>3512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1646</v>
      </c>
      <c r="I1703" s="1231" t="s">
        <v>1735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>
      <c r="B1704" s="714" t="s">
        <v>1931</v>
      </c>
      <c r="C1704" s="838" t="s">
        <v>3512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3367</v>
      </c>
      <c r="I1704" s="1231" t="s">
        <v>1576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1359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>
      <c r="B1705" s="714" t="s">
        <v>1930</v>
      </c>
      <c r="C1705" s="838" t="s">
        <v>3512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1646</v>
      </c>
      <c r="I1705" s="1231" t="s">
        <v>1697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>
      <c r="B1706" s="714" t="s">
        <v>1929</v>
      </c>
      <c r="C1706" s="838" t="s">
        <v>3512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1646</v>
      </c>
      <c r="I1706" s="1231" t="s">
        <v>1695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>
      <c r="B1707" s="714" t="s">
        <v>1928</v>
      </c>
      <c r="C1707" s="838" t="s">
        <v>3512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>
      <c r="B1708" s="714" t="s">
        <v>1927</v>
      </c>
      <c r="C1708" s="838" t="s">
        <v>3512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1646</v>
      </c>
      <c r="I1708" s="1231" t="s">
        <v>1695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>
      <c r="B1709" s="714" t="s">
        <v>2065</v>
      </c>
      <c r="C1709" s="838" t="s">
        <v>3512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1646</v>
      </c>
      <c r="I1709" s="1231" t="s">
        <v>1736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>
      <c r="B1710" s="714" t="s">
        <v>2064</v>
      </c>
      <c r="C1710" s="838" t="s">
        <v>3512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1646</v>
      </c>
      <c r="I1710" s="1231" t="s">
        <v>1736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>
      <c r="B1711" s="714" t="s">
        <v>2063</v>
      </c>
      <c r="C1711" s="838" t="s">
        <v>3512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1646</v>
      </c>
      <c r="I1711" s="1231" t="s">
        <v>1542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>
      <c r="B1712" s="714" t="s">
        <v>2062</v>
      </c>
      <c r="C1712" s="838" t="s">
        <v>3512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1646</v>
      </c>
      <c r="I1712" s="1231" t="s">
        <v>1737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>
      <c r="B1713" s="714" t="s">
        <v>2061</v>
      </c>
      <c r="C1713" s="838" t="s">
        <v>3512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1646</v>
      </c>
      <c r="I1713" s="1231" t="s">
        <v>1771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>
      <c r="B1714" s="714" t="s">
        <v>2060</v>
      </c>
      <c r="C1714" s="838" t="s">
        <v>3512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1646</v>
      </c>
      <c r="I1714" s="1231" t="s">
        <v>1542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>
      <c r="B1715" s="714" t="s">
        <v>2059</v>
      </c>
      <c r="C1715" s="838" t="s">
        <v>3512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1646</v>
      </c>
      <c r="I1715" s="1231" t="s">
        <v>1695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>
      <c r="B1716" s="714" t="s">
        <v>2058</v>
      </c>
      <c r="C1716" s="838" t="s">
        <v>3512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1646</v>
      </c>
      <c r="I1716" s="1231" t="s">
        <v>1736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>
      <c r="B1717" s="714" t="s">
        <v>2057</v>
      </c>
      <c r="C1717" s="838" t="s">
        <v>3512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1646</v>
      </c>
      <c r="I1717" s="1231" t="s">
        <v>1695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>
      <c r="B1718" s="714" t="s">
        <v>2056</v>
      </c>
      <c r="C1718" s="838" t="s">
        <v>3512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1646</v>
      </c>
      <c r="I1718" s="1231" t="s">
        <v>1736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>
      <c r="B1719" s="714" t="s">
        <v>2055</v>
      </c>
      <c r="C1719" s="838" t="s">
        <v>3512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1646</v>
      </c>
      <c r="I1719" s="1231" t="s">
        <v>1771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>
      <c r="B1720" s="714" t="s">
        <v>2054</v>
      </c>
      <c r="C1720" s="838" t="s">
        <v>3512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>
      <c r="B1721" s="714" t="s">
        <v>2053</v>
      </c>
      <c r="C1721" s="838" t="s">
        <v>3512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1646</v>
      </c>
      <c r="I1721" s="1231" t="s">
        <v>1697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>
      <c r="B1722" s="714" t="s">
        <v>2052</v>
      </c>
      <c r="C1722" s="838" t="s">
        <v>3512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1646</v>
      </c>
      <c r="I1722" s="1231" t="s">
        <v>1697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>
      <c r="B1723" s="714" t="s">
        <v>2051</v>
      </c>
      <c r="C1723" s="838" t="s">
        <v>3512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1646</v>
      </c>
      <c r="I1723" s="1231" t="s">
        <v>1542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>
      <c r="B1724" s="714" t="s">
        <v>2050</v>
      </c>
      <c r="C1724" s="838" t="s">
        <v>3512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1646</v>
      </c>
      <c r="I1724" s="1231" t="s">
        <v>1736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>
      <c r="B1725" s="714" t="s">
        <v>2049</v>
      </c>
      <c r="C1725" s="838" t="s">
        <v>3512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1646</v>
      </c>
      <c r="I1725" s="1231" t="s">
        <v>1645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>
      <c r="B1726" s="714" t="s">
        <v>2048</v>
      </c>
      <c r="C1726" s="838" t="s">
        <v>3512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1646</v>
      </c>
      <c r="I1726" s="1231" t="s">
        <v>1737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>
      <c r="B1727" s="714" t="s">
        <v>2047</v>
      </c>
      <c r="C1727" s="838" t="s">
        <v>3512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1820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>
      <c r="B1728" s="714" t="s">
        <v>2046</v>
      </c>
      <c r="C1728" s="838" t="s">
        <v>3512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1646</v>
      </c>
      <c r="I1728" s="1231" t="s">
        <v>1695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>
      <c r="B1729" s="714" t="s">
        <v>2045</v>
      </c>
      <c r="C1729" s="838" t="s">
        <v>3512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1646</v>
      </c>
      <c r="I1729" s="1231" t="s">
        <v>1542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>
      <c r="B1730" s="714" t="s">
        <v>2044</v>
      </c>
      <c r="C1730" s="838" t="s">
        <v>3512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1646</v>
      </c>
      <c r="I1730" s="1231" t="s">
        <v>1771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>
      <c r="B1731" s="714" t="s">
        <v>2043</v>
      </c>
      <c r="C1731" s="838" t="s">
        <v>3512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>
      <c r="B1732" s="714" t="s">
        <v>2042</v>
      </c>
      <c r="C1732" s="838" t="s">
        <v>3512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1820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>
      <c r="B1733" s="714" t="s">
        <v>2041</v>
      </c>
      <c r="C1733" s="838" t="s">
        <v>3512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1646</v>
      </c>
      <c r="I1733" s="1231" t="s">
        <v>1645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>
      <c r="B1734" s="714" t="s">
        <v>2040</v>
      </c>
      <c r="C1734" s="838" t="s">
        <v>3512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1820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>
      <c r="B1735" s="714" t="s">
        <v>2039</v>
      </c>
      <c r="C1735" s="838" t="s">
        <v>3512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1646</v>
      </c>
      <c r="I1735" s="1231" t="s">
        <v>1542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>
      <c r="B1736" s="714" t="s">
        <v>2038</v>
      </c>
      <c r="C1736" s="838" t="s">
        <v>3512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1646</v>
      </c>
      <c r="I1736" s="1231" t="s">
        <v>1736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>
      <c r="B1737" s="714" t="s">
        <v>2037</v>
      </c>
      <c r="C1737" s="838" t="s">
        <v>3512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1646</v>
      </c>
      <c r="I1737" s="1231" t="s">
        <v>1542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>
      <c r="B1738" s="714" t="s">
        <v>2036</v>
      </c>
      <c r="C1738" s="838" t="s">
        <v>3512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1646</v>
      </c>
      <c r="I1738" s="1231" t="s">
        <v>1695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>
      <c r="B1739" s="714" t="s">
        <v>2035</v>
      </c>
      <c r="C1739" s="838" t="s">
        <v>3512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1646</v>
      </c>
      <c r="I1739" s="1231" t="s">
        <v>1736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>
      <c r="B1740" s="714" t="s">
        <v>2034</v>
      </c>
      <c r="C1740" s="838" t="s">
        <v>3512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1646</v>
      </c>
      <c r="I1740" s="1231" t="s">
        <v>1645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>
      <c r="B1741" s="714" t="s">
        <v>2033</v>
      </c>
      <c r="C1741" s="838" t="s">
        <v>3512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3367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>
      <c r="B1742" s="714" t="s">
        <v>2032</v>
      </c>
      <c r="C1742" s="838" t="s">
        <v>3512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1820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>
      <c r="B1743" s="714" t="s">
        <v>2031</v>
      </c>
      <c r="C1743" s="838" t="s">
        <v>3512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1646</v>
      </c>
      <c r="I1743" s="1231" t="s">
        <v>1542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>
      <c r="B1744" s="714" t="s">
        <v>2030</v>
      </c>
      <c r="C1744" s="838" t="s">
        <v>3512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1646</v>
      </c>
      <c r="I1744" s="1231" t="s">
        <v>1736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>
      <c r="B1745" s="714" t="s">
        <v>2029</v>
      </c>
      <c r="C1745" s="838" t="s">
        <v>3512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1820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>
      <c r="B1746" s="714" t="s">
        <v>2028</v>
      </c>
      <c r="C1746" s="838" t="s">
        <v>3512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1646</v>
      </c>
      <c r="I1746" s="1231" t="s">
        <v>1695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>
      <c r="B1747" s="714" t="s">
        <v>2027</v>
      </c>
      <c r="C1747" s="838" t="s">
        <v>3512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1646</v>
      </c>
      <c r="I1747" s="1231" t="s">
        <v>1542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>
      <c r="B1748" s="714" t="s">
        <v>2026</v>
      </c>
      <c r="C1748" s="838" t="s">
        <v>3512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>
      <c r="B1749" s="714" t="s">
        <v>2026</v>
      </c>
      <c r="C1749" s="838" t="s">
        <v>3512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1646</v>
      </c>
      <c r="I1749" s="1231" t="s">
        <v>1645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>
      <c r="B1750" s="714" t="s">
        <v>2025</v>
      </c>
      <c r="C1750" s="838" t="s">
        <v>3512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1820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>
      <c r="B1751" s="714" t="s">
        <v>2024</v>
      </c>
      <c r="C1751" s="838" t="s">
        <v>3512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>
      <c r="B1752" s="714" t="s">
        <v>2023</v>
      </c>
      <c r="C1752" s="838" t="s">
        <v>3512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1646</v>
      </c>
      <c r="I1752" s="1231" t="s">
        <v>1542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>
      <c r="B1753" s="714" t="s">
        <v>2022</v>
      </c>
      <c r="C1753" s="838" t="s">
        <v>3512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3367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>
      <c r="B1754" s="714" t="s">
        <v>2021</v>
      </c>
      <c r="C1754" s="838" t="s">
        <v>3512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1646</v>
      </c>
      <c r="I1754" s="1231" t="s">
        <v>1542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4" t="s">
        <v>2021</v>
      </c>
      <c r="C1755" s="838" t="s">
        <v>3512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1820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4" t="s">
        <v>2020</v>
      </c>
      <c r="C1756" s="838" t="s">
        <v>3512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>
      <c r="B1757" s="714" t="s">
        <v>2019</v>
      </c>
      <c r="C1757" s="838" t="s">
        <v>3512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1359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>
      <c r="B1758" s="714" t="s">
        <v>2018</v>
      </c>
      <c r="C1758" s="838" t="s">
        <v>3512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1359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>
      <c r="B1759" s="714" t="s">
        <v>2017</v>
      </c>
      <c r="C1759" s="838" t="s">
        <v>3512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1646</v>
      </c>
      <c r="I1759" s="1231" t="s">
        <v>1735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>
      <c r="B1760" s="714" t="s">
        <v>2016</v>
      </c>
      <c r="C1760" s="838" t="s">
        <v>3512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1646</v>
      </c>
      <c r="I1760" s="1231" t="s">
        <v>1753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>
      <c r="B1761" s="714" t="s">
        <v>2015</v>
      </c>
      <c r="C1761" s="838" t="s">
        <v>3512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1646</v>
      </c>
      <c r="I1761" s="1231" t="s">
        <v>1697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>
      <c r="B1762" s="714" t="s">
        <v>2015</v>
      </c>
      <c r="C1762" s="838" t="s">
        <v>3512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1646</v>
      </c>
      <c r="I1762" s="1231" t="s">
        <v>1753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>
      <c r="B1763" s="714" t="s">
        <v>2015</v>
      </c>
      <c r="C1763" s="838" t="s">
        <v>3512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2066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>
      <c r="B1764" s="714" t="s">
        <v>2014</v>
      </c>
      <c r="C1764" s="838" t="s">
        <v>3512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1820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>
      <c r="B1765" s="714" t="s">
        <v>2013</v>
      </c>
      <c r="C1765" s="838" t="s">
        <v>3512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1646</v>
      </c>
      <c r="I1765" s="1231" t="s">
        <v>1695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>
      <c r="B1766" s="714" t="s">
        <v>2012</v>
      </c>
      <c r="C1766" s="838" t="s">
        <v>3512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1646</v>
      </c>
      <c r="I1766" s="1231" t="s">
        <v>1736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>
      <c r="B1767" s="714" t="s">
        <v>2011</v>
      </c>
      <c r="C1767" s="838" t="s">
        <v>3512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1646</v>
      </c>
      <c r="I1767" s="1231" t="s">
        <v>1696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>
      <c r="B1768" s="714" t="s">
        <v>2011</v>
      </c>
      <c r="C1768" s="838" t="s">
        <v>3512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1646</v>
      </c>
      <c r="I1768" s="1231" t="s">
        <v>1542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>
      <c r="B1769" s="714" t="s">
        <v>2010</v>
      </c>
      <c r="C1769" s="838" t="s">
        <v>3512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1646</v>
      </c>
      <c r="I1769" s="1231" t="s">
        <v>1697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>
      <c r="B1770" s="714" t="s">
        <v>2009</v>
      </c>
      <c r="C1770" s="838" t="s">
        <v>3512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>
      <c r="B1771" s="714" t="s">
        <v>2077</v>
      </c>
      <c r="C1771" s="838" t="s">
        <v>3512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>
      <c r="B1772" s="714" t="s">
        <v>2076</v>
      </c>
      <c r="C1772" s="838" t="s">
        <v>3512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1646</v>
      </c>
      <c r="I1772" s="1231" t="s">
        <v>1696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>
      <c r="B1773" s="714" t="s">
        <v>2075</v>
      </c>
      <c r="C1773" s="838" t="s">
        <v>3512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1646</v>
      </c>
      <c r="I1773" s="1231" t="s">
        <v>1542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>
      <c r="B1774" s="714" t="s">
        <v>1904</v>
      </c>
      <c r="C1774" s="838" t="s">
        <v>3512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1820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>
      <c r="B1775" s="714" t="s">
        <v>2074</v>
      </c>
      <c r="C1775" s="838" t="s">
        <v>3512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1646</v>
      </c>
      <c r="I1775" s="1231" t="s">
        <v>1643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>
      <c r="B1776" s="714" t="s">
        <v>2073</v>
      </c>
      <c r="C1776" s="838" t="s">
        <v>3512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1646</v>
      </c>
      <c r="I1776" s="1231" t="s">
        <v>1695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>
      <c r="B1777" s="714" t="s">
        <v>2072</v>
      </c>
      <c r="C1777" s="838" t="s">
        <v>3512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>
      <c r="B1778" s="714" t="s">
        <v>2071</v>
      </c>
      <c r="C1778" s="838" t="s">
        <v>3512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1646</v>
      </c>
      <c r="I1778" s="1231" t="s">
        <v>1695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>
      <c r="B1779" s="714" t="s">
        <v>2070</v>
      </c>
      <c r="C1779" s="838" t="s">
        <v>3512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>
      <c r="B1780" s="714" t="s">
        <v>2069</v>
      </c>
      <c r="C1780" s="838" t="s">
        <v>3512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>
      <c r="B1781" s="714" t="s">
        <v>2068</v>
      </c>
      <c r="C1781" s="838" t="s">
        <v>3512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1646</v>
      </c>
      <c r="I1781" s="1231" t="s">
        <v>1735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>
      <c r="B1782" s="714" t="s">
        <v>2067</v>
      </c>
      <c r="C1782" s="838" t="s">
        <v>3512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1646</v>
      </c>
      <c r="I1782" s="1231" t="s">
        <v>1735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>
      <c r="B1783" s="714" t="s">
        <v>2085</v>
      </c>
      <c r="C1783" s="838" t="s">
        <v>3512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1646</v>
      </c>
      <c r="I1783" s="1231" t="s">
        <v>1695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>
      <c r="B1784" s="714" t="s">
        <v>2084</v>
      </c>
      <c r="C1784" s="838" t="s">
        <v>3512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1646</v>
      </c>
      <c r="I1784" s="1231" t="s">
        <v>1542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>
      <c r="B1785" s="714" t="s">
        <v>2083</v>
      </c>
      <c r="C1785" s="838" t="s">
        <v>3512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1646</v>
      </c>
      <c r="I1785" s="1231" t="s">
        <v>1695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>
      <c r="B1786" s="714" t="s">
        <v>2082</v>
      </c>
      <c r="C1786" s="838" t="s">
        <v>3512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1646</v>
      </c>
      <c r="I1786" s="1231" t="s">
        <v>1736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>
      <c r="B1787" s="714" t="s">
        <v>2081</v>
      </c>
      <c r="C1787" s="838" t="s">
        <v>3512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1820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>
      <c r="B1788" s="714" t="s">
        <v>2080</v>
      </c>
      <c r="C1788" s="838" t="s">
        <v>3512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3367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>
      <c r="B1789" s="714" t="s">
        <v>2079</v>
      </c>
      <c r="C1789" s="838" t="s">
        <v>3512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1820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>
      <c r="B1790" s="714" t="s">
        <v>2078</v>
      </c>
      <c r="C1790" s="838" t="s">
        <v>3512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1646</v>
      </c>
      <c r="I1790" s="1231" t="s">
        <v>1736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>
      <c r="B1791" s="714" t="s">
        <v>2088</v>
      </c>
      <c r="C1791" s="838" t="s">
        <v>3512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1646</v>
      </c>
      <c r="I1791" s="1231" t="s">
        <v>1542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>
      <c r="B1792" s="714" t="s">
        <v>2087</v>
      </c>
      <c r="C1792" s="838" t="s">
        <v>3512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1646</v>
      </c>
      <c r="I1792" s="1231" t="s">
        <v>1542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>
      <c r="B1793" s="714" t="s">
        <v>2086</v>
      </c>
      <c r="C1793" s="838" t="s">
        <v>3512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1646</v>
      </c>
      <c r="I1793" s="1231" t="s">
        <v>1753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>
      <c r="B1794" s="714" t="s">
        <v>2090</v>
      </c>
      <c r="C1794" s="838" t="s">
        <v>3512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3367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>
      <c r="B1795" s="714" t="s">
        <v>2089</v>
      </c>
      <c r="C1795" s="838" t="s">
        <v>3512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1646</v>
      </c>
      <c r="I1795" s="1231" t="s">
        <v>1695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>
      <c r="B1796" s="714" t="s">
        <v>2123</v>
      </c>
      <c r="C1796" s="838" t="s">
        <v>3512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2124</v>
      </c>
      <c r="I1796" s="1231" t="s">
        <v>1771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>
      <c r="B1797" s="714" t="s">
        <v>2122</v>
      </c>
      <c r="C1797" s="838" t="s">
        <v>3512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2124</v>
      </c>
      <c r="I1797" s="1231" t="s">
        <v>1771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>
      <c r="B1798" s="714" t="s">
        <v>2121</v>
      </c>
      <c r="C1798" s="838" t="s">
        <v>3512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2124</v>
      </c>
      <c r="I1798" s="1231" t="s">
        <v>1771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>
      <c r="B1799" s="714" t="s">
        <v>2120</v>
      </c>
      <c r="C1799" s="838" t="s">
        <v>3512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2124</v>
      </c>
      <c r="I1799" s="1231" t="s">
        <v>1771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>
      <c r="B1800" s="714" t="s">
        <v>2119</v>
      </c>
      <c r="C1800" s="838" t="s">
        <v>3512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2124</v>
      </c>
      <c r="I1800" s="1231" t="s">
        <v>1771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>
      <c r="B1801" s="714" t="s">
        <v>2118</v>
      </c>
      <c r="C1801" s="838" t="s">
        <v>3512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2124</v>
      </c>
      <c r="I1801" s="1231" t="s">
        <v>1771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>
      <c r="B1802" s="714" t="s">
        <v>2117</v>
      </c>
      <c r="C1802" s="838" t="s">
        <v>3512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2124</v>
      </c>
      <c r="I1802" s="1231" t="s">
        <v>2125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>
      <c r="B1803" s="714" t="s">
        <v>2116</v>
      </c>
      <c r="C1803" s="838" t="s">
        <v>3512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1646</v>
      </c>
      <c r="I1803" s="1231" t="s">
        <v>1695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>
      <c r="B1804" s="714" t="s">
        <v>2115</v>
      </c>
      <c r="C1804" s="838" t="s">
        <v>3512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2124</v>
      </c>
      <c r="I1804" s="1231" t="s">
        <v>2125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>
      <c r="B1805" s="714" t="s">
        <v>2114</v>
      </c>
      <c r="C1805" s="838" t="s">
        <v>3512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1646</v>
      </c>
      <c r="I1805" s="1231" t="s">
        <v>1542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>
      <c r="B1806" s="714" t="s">
        <v>2113</v>
      </c>
      <c r="C1806" s="838" t="s">
        <v>3512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2124</v>
      </c>
      <c r="I1806" s="1231" t="s">
        <v>1771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>
      <c r="B1807" s="714" t="s">
        <v>2112</v>
      </c>
      <c r="C1807" s="838" t="s">
        <v>3512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>
      <c r="B1808" s="714" t="s">
        <v>2111</v>
      </c>
      <c r="C1808" s="838" t="s">
        <v>3512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1646</v>
      </c>
      <c r="I1808" s="1231" t="s">
        <v>1643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>
      <c r="B1809" s="714" t="s">
        <v>2110</v>
      </c>
      <c r="C1809" s="838" t="s">
        <v>3512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2124</v>
      </c>
      <c r="I1809" s="1231" t="s">
        <v>2125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>
      <c r="B1810" s="714" t="s">
        <v>2109</v>
      </c>
      <c r="C1810" s="838" t="s">
        <v>3512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1646</v>
      </c>
      <c r="I1810" s="1231" t="s">
        <v>1542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>
      <c r="B1811" s="714" t="s">
        <v>2108</v>
      </c>
      <c r="C1811" s="838" t="s">
        <v>3512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>
      <c r="B1812" s="714" t="s">
        <v>2107</v>
      </c>
      <c r="C1812" s="838" t="s">
        <v>3512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1646</v>
      </c>
      <c r="I1812" s="1231" t="s">
        <v>1542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>
      <c r="B1813" s="714" t="s">
        <v>2106</v>
      </c>
      <c r="C1813" s="838" t="s">
        <v>3512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1646</v>
      </c>
      <c r="I1813" s="1231" t="s">
        <v>1542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>
      <c r="B1814" s="714" t="s">
        <v>2105</v>
      </c>
      <c r="C1814" s="838" t="s">
        <v>3512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>
      <c r="B1815" s="714" t="s">
        <v>2104</v>
      </c>
      <c r="C1815" s="838" t="s">
        <v>3512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2124</v>
      </c>
      <c r="I1815" s="1231" t="s">
        <v>1771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>
      <c r="B1816" s="714" t="s">
        <v>2103</v>
      </c>
      <c r="C1816" s="838" t="s">
        <v>3512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1646</v>
      </c>
      <c r="I1816" s="1231" t="s">
        <v>1771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>
      <c r="B1817" s="714" t="s">
        <v>2102</v>
      </c>
      <c r="C1817" s="838" t="s">
        <v>3512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1646</v>
      </c>
      <c r="I1817" s="1231" t="s">
        <v>1542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>
      <c r="B1818" s="714" t="s">
        <v>2101</v>
      </c>
      <c r="C1818" s="838" t="s">
        <v>3512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1646</v>
      </c>
      <c r="I1818" s="1231" t="s">
        <v>1737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>
      <c r="B1819" s="714" t="s">
        <v>2100</v>
      </c>
      <c r="C1819" s="838" t="s">
        <v>3512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1646</v>
      </c>
      <c r="I1819" s="1231" t="s">
        <v>1695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>
      <c r="B1820" s="714" t="s">
        <v>1878</v>
      </c>
      <c r="C1820" s="838" t="s">
        <v>3512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1646</v>
      </c>
      <c r="I1820" s="1231" t="s">
        <v>1696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>
      <c r="B1821" s="714" t="s">
        <v>2099</v>
      </c>
      <c r="C1821" s="838" t="s">
        <v>3512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>
      <c r="B1822" s="714" t="s">
        <v>2098</v>
      </c>
      <c r="C1822" s="838" t="s">
        <v>3512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1646</v>
      </c>
      <c r="I1822" s="1231" t="s">
        <v>1695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>
      <c r="B1823" s="714" t="s">
        <v>2097</v>
      </c>
      <c r="C1823" s="838" t="s">
        <v>3512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1646</v>
      </c>
      <c r="I1823" s="1231" t="s">
        <v>1753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>
      <c r="B1824" s="714" t="s">
        <v>2096</v>
      </c>
      <c r="C1824" s="838" t="s">
        <v>3512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1646</v>
      </c>
      <c r="I1824" s="1231" t="s">
        <v>1695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>
      <c r="B1825" s="714" t="s">
        <v>2095</v>
      </c>
      <c r="C1825" s="838" t="s">
        <v>3512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1646</v>
      </c>
      <c r="I1825" s="1231" t="s">
        <v>1736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>
      <c r="B1826" s="714" t="s">
        <v>2094</v>
      </c>
      <c r="C1826" s="838" t="s">
        <v>3512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3367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2126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>
      <c r="B1827" s="714" t="s">
        <v>2093</v>
      </c>
      <c r="C1827" s="838" t="s">
        <v>3512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1646</v>
      </c>
      <c r="I1827" s="1231" t="s">
        <v>1643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>
      <c r="B1828" s="714" t="s">
        <v>1875</v>
      </c>
      <c r="C1828" s="838" t="s">
        <v>3512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1646</v>
      </c>
      <c r="I1828" s="1231" t="s">
        <v>1697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4" t="s">
        <v>1875</v>
      </c>
      <c r="C1829" s="838" t="s">
        <v>3512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2124</v>
      </c>
      <c r="I1829" s="1231" t="s">
        <v>2127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4" t="s">
        <v>1875</v>
      </c>
      <c r="C1830" s="838" t="s">
        <v>3512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4" t="s">
        <v>2092</v>
      </c>
      <c r="C1831" s="838" t="s">
        <v>3512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1646</v>
      </c>
      <c r="I1831" s="1231" t="s">
        <v>1695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>
      <c r="B1832" s="714" t="s">
        <v>2091</v>
      </c>
      <c r="C1832" s="838" t="s">
        <v>3512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3367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2128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>
      <c r="B1833" s="714" t="s">
        <v>2203</v>
      </c>
      <c r="C1833" s="838" t="s">
        <v>3512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2124</v>
      </c>
      <c r="I1833" s="1231" t="s">
        <v>2125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>
      <c r="B1834" s="714" t="s">
        <v>2202</v>
      </c>
      <c r="C1834" s="838" t="s">
        <v>3512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1646</v>
      </c>
      <c r="I1834" s="1231" t="s">
        <v>1542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>
      <c r="B1835" s="714" t="s">
        <v>2201</v>
      </c>
      <c r="C1835" s="838" t="s">
        <v>3512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2124</v>
      </c>
      <c r="I1835" s="1231" t="s">
        <v>1771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>
      <c r="B1836" s="714" t="s">
        <v>2200</v>
      </c>
      <c r="C1836" s="838" t="s">
        <v>3512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2124</v>
      </c>
      <c r="I1836" s="1231" t="s">
        <v>1771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>
      <c r="B1837" s="714" t="s">
        <v>2199</v>
      </c>
      <c r="C1837" s="838" t="s">
        <v>3512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2124</v>
      </c>
      <c r="I1837" s="1231" t="s">
        <v>1771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>
      <c r="B1838" s="714" t="s">
        <v>2198</v>
      </c>
      <c r="C1838" s="838" t="s">
        <v>3512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>
      <c r="B1839" s="714" t="s">
        <v>2197</v>
      </c>
      <c r="C1839" s="838" t="s">
        <v>3512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>
      <c r="B1840" s="714" t="s">
        <v>2196</v>
      </c>
      <c r="C1840" s="838" t="s">
        <v>3512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2124</v>
      </c>
      <c r="I1840" s="1231" t="s">
        <v>1771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>
      <c r="B1841" s="714" t="s">
        <v>2195</v>
      </c>
      <c r="C1841" s="838" t="s">
        <v>3512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>
      <c r="B1842" s="714" t="s">
        <v>2194</v>
      </c>
      <c r="C1842" s="838" t="s">
        <v>3512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2124</v>
      </c>
      <c r="I1842" s="1231" t="s">
        <v>1771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>
      <c r="B1843" s="714" t="s">
        <v>2193</v>
      </c>
      <c r="C1843" s="838" t="s">
        <v>3512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2124</v>
      </c>
      <c r="I1843" s="1231" t="s">
        <v>2125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>
      <c r="B1844" s="714" t="s">
        <v>2192</v>
      </c>
      <c r="C1844" s="838" t="s">
        <v>3512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1646</v>
      </c>
      <c r="I1844" s="1231" t="s">
        <v>1643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>
      <c r="B1845" s="714" t="s">
        <v>2191</v>
      </c>
      <c r="C1845" s="838" t="s">
        <v>3512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1646</v>
      </c>
      <c r="I1845" s="1231" t="s">
        <v>1542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>
      <c r="B1846" s="714" t="s">
        <v>2190</v>
      </c>
      <c r="C1846" s="838" t="s">
        <v>3512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1646</v>
      </c>
      <c r="I1846" s="1231" t="s">
        <v>1771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>
      <c r="B1847" s="714" t="s">
        <v>2189</v>
      </c>
      <c r="C1847" s="838" t="s">
        <v>3512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2124</v>
      </c>
      <c r="I1847" s="1231" t="s">
        <v>1771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>
      <c r="B1848" s="714" t="s">
        <v>2188</v>
      </c>
      <c r="C1848" s="838" t="s">
        <v>3512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2124</v>
      </c>
      <c r="I1848" s="1231" t="s">
        <v>1771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>
      <c r="B1849" s="714" t="s">
        <v>2187</v>
      </c>
      <c r="C1849" s="838" t="s">
        <v>3512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1646</v>
      </c>
      <c r="I1849" s="1231" t="s">
        <v>1643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>
      <c r="B1850" s="714" t="s">
        <v>2186</v>
      </c>
      <c r="C1850" s="838" t="s">
        <v>3512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1646</v>
      </c>
      <c r="I1850" s="1231" t="s">
        <v>1695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>
      <c r="B1851" s="714" t="s">
        <v>2185</v>
      </c>
      <c r="C1851" s="838" t="s">
        <v>3512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2124</v>
      </c>
      <c r="I1851" s="1231" t="s">
        <v>2125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>
      <c r="B1852" s="714" t="s">
        <v>2184</v>
      </c>
      <c r="C1852" s="838" t="s">
        <v>3512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1646</v>
      </c>
      <c r="I1852" s="1231" t="s">
        <v>1696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>
      <c r="B1853" s="714" t="s">
        <v>2183</v>
      </c>
      <c r="C1853" s="838" t="s">
        <v>3512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2124</v>
      </c>
      <c r="I1853" s="1231" t="s">
        <v>1771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>
      <c r="B1854" s="714" t="s">
        <v>2182</v>
      </c>
      <c r="C1854" s="838" t="s">
        <v>3512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1646</v>
      </c>
      <c r="I1854" s="1231" t="s">
        <v>1736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>
      <c r="B1855" s="714" t="s">
        <v>2181</v>
      </c>
      <c r="C1855" s="838" t="s">
        <v>3512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>
      <c r="B1856" s="714" t="s">
        <v>2181</v>
      </c>
      <c r="C1856" s="838" t="s">
        <v>3512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1646</v>
      </c>
      <c r="I1856" s="1231" t="s">
        <v>1645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>
      <c r="B1857" s="714" t="s">
        <v>2180</v>
      </c>
      <c r="C1857" s="838" t="s">
        <v>3512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1646</v>
      </c>
      <c r="I1857" s="1231" t="s">
        <v>1643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>
      <c r="B1858" s="714" t="s">
        <v>2178</v>
      </c>
      <c r="C1858" s="838" t="s">
        <v>3512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1646</v>
      </c>
      <c r="I1858" s="1231" t="s">
        <v>1698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>
      <c r="B1859" s="714" t="s">
        <v>2179</v>
      </c>
      <c r="C1859" s="838" t="s">
        <v>3512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2124</v>
      </c>
      <c r="I1859" s="1231" t="s">
        <v>2125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>
      <c r="B1860" s="714" t="s">
        <v>2177</v>
      </c>
      <c r="C1860" s="838" t="s">
        <v>3512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>
      <c r="B1861" s="714" t="s">
        <v>2176</v>
      </c>
      <c r="C1861" s="838" t="s">
        <v>3512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1646</v>
      </c>
      <c r="I1861" s="1231" t="s">
        <v>1736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>
      <c r="B1862" s="714" t="s">
        <v>2175</v>
      </c>
      <c r="C1862" s="838" t="s">
        <v>3512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2124</v>
      </c>
      <c r="I1862" s="1231" t="s">
        <v>1771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>
      <c r="B1863" s="714" t="s">
        <v>2174</v>
      </c>
      <c r="C1863" s="838" t="s">
        <v>3512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1646</v>
      </c>
      <c r="I1863" s="1231" t="s">
        <v>1736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>
      <c r="B1864" s="714" t="s">
        <v>2173</v>
      </c>
      <c r="C1864" s="838" t="s">
        <v>3512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2124</v>
      </c>
      <c r="I1864" s="1231" t="s">
        <v>1771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>
      <c r="B1865" s="714" t="s">
        <v>2172</v>
      </c>
      <c r="C1865" s="838" t="s">
        <v>3512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1646</v>
      </c>
      <c r="I1865" s="1231" t="s">
        <v>1771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>
      <c r="B1866" s="714" t="s">
        <v>2171</v>
      </c>
      <c r="C1866" s="838" t="s">
        <v>3512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2124</v>
      </c>
      <c r="I1866" s="1231" t="s">
        <v>1771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>
      <c r="B1867" s="714" t="s">
        <v>2170</v>
      </c>
      <c r="C1867" s="838" t="s">
        <v>3512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2124</v>
      </c>
      <c r="I1867" s="1231" t="s">
        <v>1771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>
      <c r="B1868" s="714" t="s">
        <v>2169</v>
      </c>
      <c r="C1868" s="838" t="s">
        <v>3512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1539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>
      <c r="B1869" s="714" t="s">
        <v>2168</v>
      </c>
      <c r="C1869" s="838" t="s">
        <v>3512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>
      <c r="B1870" s="714" t="s">
        <v>1871</v>
      </c>
      <c r="C1870" s="838" t="s">
        <v>3512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1539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4" t="s">
        <v>1871</v>
      </c>
      <c r="C1871" s="838" t="s">
        <v>3512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3367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4" t="s">
        <v>2167</v>
      </c>
      <c r="C1872" s="838" t="s">
        <v>3512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1646</v>
      </c>
      <c r="I1872" s="1231" t="s">
        <v>1735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>
      <c r="B1873" s="714" t="s">
        <v>2166</v>
      </c>
      <c r="C1873" s="838" t="s">
        <v>3512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1646</v>
      </c>
      <c r="I1873" s="1231" t="s">
        <v>1643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>
      <c r="B1874" s="714" t="s">
        <v>2165</v>
      </c>
      <c r="C1874" s="838" t="s">
        <v>3512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>
      <c r="B1875" s="714" t="s">
        <v>2164</v>
      </c>
      <c r="C1875" s="838" t="s">
        <v>3512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1646</v>
      </c>
      <c r="I1875" s="1231" t="s">
        <v>1736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>
      <c r="B1876" s="714" t="s">
        <v>1870</v>
      </c>
      <c r="C1876" s="838" t="s">
        <v>3512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2124</v>
      </c>
      <c r="I1876" s="1231" t="s">
        <v>1771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>
      <c r="B1877" s="714" t="s">
        <v>2163</v>
      </c>
      <c r="C1877" s="838" t="s">
        <v>3512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>
      <c r="B1878" s="714" t="s">
        <v>2162</v>
      </c>
      <c r="C1878" s="838" t="s">
        <v>3512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3367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>
      <c r="B1879" s="714" t="s">
        <v>2161</v>
      </c>
      <c r="C1879" s="838" t="s">
        <v>3512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2124</v>
      </c>
      <c r="I1879" s="1231" t="s">
        <v>1771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>
      <c r="B1880" s="714" t="s">
        <v>2160</v>
      </c>
      <c r="C1880" s="838" t="s">
        <v>3512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1646</v>
      </c>
      <c r="I1880" s="1231" t="s">
        <v>1542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>
      <c r="B1881" s="714" t="s">
        <v>2159</v>
      </c>
      <c r="C1881" s="838" t="s">
        <v>3512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2124</v>
      </c>
      <c r="I1881" s="1231" t="s">
        <v>1771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>
      <c r="B1882" s="714" t="s">
        <v>2158</v>
      </c>
      <c r="C1882" s="838" t="s">
        <v>3512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2124</v>
      </c>
      <c r="I1882" s="1231" t="s">
        <v>1771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>
      <c r="B1883" s="714" t="s">
        <v>2157</v>
      </c>
      <c r="C1883" s="838" t="s">
        <v>3512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1646</v>
      </c>
      <c r="I1883" s="1231" t="s">
        <v>1695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>
      <c r="B1884" s="714" t="s">
        <v>2156</v>
      </c>
      <c r="C1884" s="838" t="s">
        <v>3512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1646</v>
      </c>
      <c r="I1884" s="1231" t="s">
        <v>1695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>
      <c r="B1885" s="714" t="s">
        <v>2155</v>
      </c>
      <c r="C1885" s="838" t="s">
        <v>3512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2124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>
      <c r="B1886" s="714" t="s">
        <v>2154</v>
      </c>
      <c r="C1886" s="838" t="s">
        <v>3512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2124</v>
      </c>
      <c r="I1886" s="1231" t="s">
        <v>2125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>
      <c r="B1887" s="714" t="s">
        <v>2153</v>
      </c>
      <c r="C1887" s="838" t="s">
        <v>3512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1646</v>
      </c>
      <c r="I1887" s="1231" t="s">
        <v>1645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>
      <c r="B1888" s="714" t="s">
        <v>2152</v>
      </c>
      <c r="C1888" s="838" t="s">
        <v>3512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2124</v>
      </c>
      <c r="I1888" s="1231" t="s">
        <v>2125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>
      <c r="B1889" s="714" t="s">
        <v>2151</v>
      </c>
      <c r="C1889" s="838" t="s">
        <v>3512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2124</v>
      </c>
      <c r="I1889" s="1231" t="s">
        <v>2125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>
      <c r="B1890" s="714" t="s">
        <v>2150</v>
      </c>
      <c r="C1890" s="838" t="s">
        <v>3512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1646</v>
      </c>
      <c r="I1890" s="1231" t="s">
        <v>1695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>
      <c r="B1891" s="714" t="s">
        <v>2149</v>
      </c>
      <c r="C1891" s="838" t="s">
        <v>3512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1646</v>
      </c>
      <c r="I1891" s="1231" t="s">
        <v>1698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>
      <c r="B1892" s="714" t="s">
        <v>2148</v>
      </c>
      <c r="C1892" s="838" t="s">
        <v>3512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2124</v>
      </c>
      <c r="I1892" s="1231" t="s">
        <v>2125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>
      <c r="B1893" s="714" t="s">
        <v>2147</v>
      </c>
      <c r="C1893" s="838" t="s">
        <v>3512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1646</v>
      </c>
      <c r="I1893" s="1231" t="s">
        <v>1643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>
      <c r="B1894" s="714" t="s">
        <v>2146</v>
      </c>
      <c r="C1894" s="838" t="s">
        <v>3512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>
      <c r="B1895" s="714" t="s">
        <v>2145</v>
      </c>
      <c r="C1895" s="838" t="s">
        <v>3512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2124</v>
      </c>
      <c r="I1895" s="1231" t="s">
        <v>2125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>
      <c r="B1896" s="714" t="s">
        <v>2144</v>
      </c>
      <c r="C1896" s="838" t="s">
        <v>3512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1646</v>
      </c>
      <c r="I1896" s="1231" t="s">
        <v>1736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>
      <c r="B1897" s="714" t="s">
        <v>2143</v>
      </c>
      <c r="C1897" s="838" t="s">
        <v>3512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1646</v>
      </c>
      <c r="I1897" s="1231" t="s">
        <v>1542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>
      <c r="B1898" s="714" t="s">
        <v>2142</v>
      </c>
      <c r="C1898" s="838" t="s">
        <v>3512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1646</v>
      </c>
      <c r="I1898" s="1231" t="s">
        <v>1695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>
      <c r="B1899" s="714" t="s">
        <v>2141</v>
      </c>
      <c r="C1899" s="838" t="s">
        <v>3512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1646</v>
      </c>
      <c r="I1899" s="1231" t="s">
        <v>1735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>
      <c r="B1900" s="714" t="s">
        <v>2140</v>
      </c>
      <c r="C1900" s="838" t="s">
        <v>3512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2124</v>
      </c>
      <c r="I1900" s="1231" t="s">
        <v>2125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>
      <c r="B1901" s="714" t="s">
        <v>2139</v>
      </c>
      <c r="C1901" s="838" t="s">
        <v>3512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1646</v>
      </c>
      <c r="I1901" s="1231" t="s">
        <v>1542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>
      <c r="B1902" s="714" t="s">
        <v>2138</v>
      </c>
      <c r="C1902" s="838" t="s">
        <v>3512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1646</v>
      </c>
      <c r="I1902" s="1231" t="s">
        <v>1542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>
      <c r="B1903" s="714" t="s">
        <v>2137</v>
      </c>
      <c r="C1903" s="838" t="s">
        <v>3512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1646</v>
      </c>
      <c r="I1903" s="1231" t="s">
        <v>1695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>
      <c r="B1904" s="714" t="s">
        <v>2136</v>
      </c>
      <c r="C1904" s="838" t="s">
        <v>3512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2124</v>
      </c>
      <c r="I1904" s="1231" t="s">
        <v>1771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>
      <c r="B1905" s="714" t="s">
        <v>2135</v>
      </c>
      <c r="C1905" s="838" t="s">
        <v>3512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1646</v>
      </c>
      <c r="I1905" s="1231" t="s">
        <v>1695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>
      <c r="B1906" s="714" t="s">
        <v>1868</v>
      </c>
      <c r="C1906" s="838" t="s">
        <v>3512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1646</v>
      </c>
      <c r="I1906" s="1231" t="s">
        <v>2204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>
      <c r="B1907" s="714" t="s">
        <v>2134</v>
      </c>
      <c r="C1907" s="838" t="s">
        <v>3512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1646</v>
      </c>
      <c r="I1907" s="1231" t="s">
        <v>1695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>
      <c r="B1908" s="714" t="s">
        <v>2133</v>
      </c>
      <c r="C1908" s="838" t="s">
        <v>3512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1646</v>
      </c>
      <c r="I1908" s="1231" t="s">
        <v>2204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>
      <c r="B1909" s="714" t="s">
        <v>2132</v>
      </c>
      <c r="C1909" s="838" t="s">
        <v>3512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4" t="s">
        <v>2132</v>
      </c>
      <c r="C1910" s="838" t="s">
        <v>3512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1646</v>
      </c>
      <c r="I1910" s="1231" t="s">
        <v>2204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4" t="s">
        <v>2131</v>
      </c>
      <c r="C1911" s="838" t="s">
        <v>3512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1646</v>
      </c>
      <c r="I1911" s="1231" t="s">
        <v>2204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>
      <c r="B1912" s="714" t="s">
        <v>2130</v>
      </c>
      <c r="C1912" s="838" t="s">
        <v>3512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1646</v>
      </c>
      <c r="I1912" s="1231" t="s">
        <v>1696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>
      <c r="B1913" s="714" t="s">
        <v>2129</v>
      </c>
      <c r="C1913" s="838" t="s">
        <v>3512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2124</v>
      </c>
      <c r="I1913" s="1231" t="s">
        <v>1771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>
      <c r="B1914" s="714" t="s">
        <v>2273</v>
      </c>
      <c r="C1914" s="838" t="s">
        <v>3512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2124</v>
      </c>
      <c r="I1914" s="1231" t="s">
        <v>2125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>
      <c r="B1915" s="714" t="s">
        <v>2272</v>
      </c>
      <c r="C1915" s="838" t="s">
        <v>3512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1646</v>
      </c>
      <c r="I1915" s="1231" t="s">
        <v>2204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>
      <c r="B1916" s="714" t="s">
        <v>2271</v>
      </c>
      <c r="C1916" s="838" t="s">
        <v>3512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1646</v>
      </c>
      <c r="I1916" s="1231" t="s">
        <v>2204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>
      <c r="B1917" s="714" t="s">
        <v>2270</v>
      </c>
      <c r="C1917" s="838" t="s">
        <v>3512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1646</v>
      </c>
      <c r="I1917" s="1231" t="s">
        <v>1735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>
      <c r="B1918" s="714" t="s">
        <v>2269</v>
      </c>
      <c r="C1918" s="838" t="s">
        <v>3512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1646</v>
      </c>
      <c r="I1918" s="1231" t="s">
        <v>1695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>
      <c r="B1919" s="714" t="s">
        <v>2268</v>
      </c>
      <c r="C1919" s="838" t="s">
        <v>3512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1646</v>
      </c>
      <c r="I1919" s="1231" t="s">
        <v>2204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>
      <c r="B1920" s="714" t="s">
        <v>2267</v>
      </c>
      <c r="C1920" s="838" t="s">
        <v>3512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1646</v>
      </c>
      <c r="I1920" s="1231" t="s">
        <v>1542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>
      <c r="B1921" s="714" t="s">
        <v>2266</v>
      </c>
      <c r="C1921" s="838" t="s">
        <v>3512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1646</v>
      </c>
      <c r="I1921" s="1231" t="s">
        <v>1542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>
      <c r="B1922" s="714" t="s">
        <v>2265</v>
      </c>
      <c r="C1922" s="838" t="s">
        <v>3512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2124</v>
      </c>
      <c r="I1922" s="1231" t="s">
        <v>2127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>
      <c r="B1923" s="714" t="s">
        <v>2264</v>
      </c>
      <c r="C1923" s="838" t="s">
        <v>3512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2124</v>
      </c>
      <c r="I1923" s="1231" t="s">
        <v>2125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>
      <c r="B1924" s="714" t="s">
        <v>2263</v>
      </c>
      <c r="C1924" s="838" t="s">
        <v>3512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1646</v>
      </c>
      <c r="I1924" s="1231" t="s">
        <v>1736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>
      <c r="B1925" s="714" t="s">
        <v>2262</v>
      </c>
      <c r="C1925" s="838" t="s">
        <v>3512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2124</v>
      </c>
      <c r="I1925" s="1231" t="s">
        <v>2125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>
      <c r="B1926" s="714" t="s">
        <v>2261</v>
      </c>
      <c r="C1926" s="838" t="s">
        <v>3512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1646</v>
      </c>
      <c r="I1926" s="1231" t="s">
        <v>1736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>
      <c r="B1927" s="714" t="s">
        <v>2260</v>
      </c>
      <c r="C1927" s="838" t="s">
        <v>3512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2124</v>
      </c>
      <c r="I1927" s="1231" t="s">
        <v>1771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>
      <c r="B1928" s="714" t="s">
        <v>2259</v>
      </c>
      <c r="C1928" s="838" t="s">
        <v>3512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2124</v>
      </c>
      <c r="I1928" s="1231" t="s">
        <v>2125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>
      <c r="B1929" s="714" t="s">
        <v>2258</v>
      </c>
      <c r="C1929" s="838" t="s">
        <v>3512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1646</v>
      </c>
      <c r="I1929" s="1231" t="s">
        <v>1736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>
      <c r="B1930" s="714" t="s">
        <v>2257</v>
      </c>
      <c r="C1930" s="838" t="s">
        <v>3512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1646</v>
      </c>
      <c r="I1930" s="1231" t="s">
        <v>2204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>
      <c r="B1931" s="714" t="s">
        <v>2256</v>
      </c>
      <c r="C1931" s="838" t="s">
        <v>3512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1646</v>
      </c>
      <c r="I1931" s="1231" t="s">
        <v>1542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>
      <c r="B1932" s="714" t="s">
        <v>2255</v>
      </c>
      <c r="C1932" s="838" t="s">
        <v>3512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1646</v>
      </c>
      <c r="I1932" s="1231" t="s">
        <v>2204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>
      <c r="B1933" s="714" t="s">
        <v>2254</v>
      </c>
      <c r="C1933" s="838" t="s">
        <v>3512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1646</v>
      </c>
      <c r="I1933" s="1231" t="s">
        <v>1737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>
      <c r="B1934" s="714" t="s">
        <v>2253</v>
      </c>
      <c r="C1934" s="838" t="s">
        <v>3512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2124</v>
      </c>
      <c r="I1934" s="1231" t="s">
        <v>1771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>
      <c r="B1935" s="714" t="s">
        <v>2252</v>
      </c>
      <c r="C1935" s="838" t="s">
        <v>3512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1646</v>
      </c>
      <c r="I1935" s="1231" t="s">
        <v>1695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>
      <c r="B1936" s="714" t="s">
        <v>2251</v>
      </c>
      <c r="C1936" s="838" t="s">
        <v>3512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1646</v>
      </c>
      <c r="I1936" s="1231" t="s">
        <v>1695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>
      <c r="B1937" s="714" t="s">
        <v>2250</v>
      </c>
      <c r="C1937" s="838" t="s">
        <v>3512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1646</v>
      </c>
      <c r="I1937" s="1231" t="s">
        <v>2204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>
      <c r="B1938" s="714" t="s">
        <v>2249</v>
      </c>
      <c r="C1938" s="838" t="s">
        <v>3512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1646</v>
      </c>
      <c r="I1938" s="1231" t="s">
        <v>1695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>
      <c r="B1939" s="714" t="s">
        <v>2248</v>
      </c>
      <c r="C1939" s="838" t="s">
        <v>3512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1646</v>
      </c>
      <c r="I1939" s="1231" t="s">
        <v>1753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>
      <c r="B1940" s="714" t="s">
        <v>2247</v>
      </c>
      <c r="C1940" s="838" t="s">
        <v>3512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1646</v>
      </c>
      <c r="I1940" s="1231" t="s">
        <v>1542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>
      <c r="B1941" s="714" t="s">
        <v>2246</v>
      </c>
      <c r="C1941" s="838" t="s">
        <v>3512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1646</v>
      </c>
      <c r="I1941" s="1231" t="s">
        <v>1645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>
      <c r="B1942" s="714" t="s">
        <v>2245</v>
      </c>
      <c r="C1942" s="838" t="s">
        <v>3512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1646</v>
      </c>
      <c r="I1942" s="1231" t="s">
        <v>1643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>
      <c r="B1943" s="714" t="s">
        <v>2244</v>
      </c>
      <c r="C1943" s="838" t="s">
        <v>3512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>
      <c r="B1944" s="714" t="s">
        <v>2243</v>
      </c>
      <c r="C1944" s="838" t="s">
        <v>3512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>
      <c r="B1945" s="714" t="s">
        <v>2241</v>
      </c>
      <c r="C1945" s="838" t="s">
        <v>3512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1646</v>
      </c>
      <c r="I1945" s="1231" t="s">
        <v>1645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>
      <c r="B1946" s="714" t="s">
        <v>2242</v>
      </c>
      <c r="C1946" s="838" t="s">
        <v>3512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1646</v>
      </c>
      <c r="I1946" s="1231" t="s">
        <v>1643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>
      <c r="B1947" s="714" t="s">
        <v>2240</v>
      </c>
      <c r="C1947" s="838" t="s">
        <v>3512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1646</v>
      </c>
      <c r="I1947" s="1231" t="s">
        <v>1771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>
      <c r="B1948" s="714" t="s">
        <v>1864</v>
      </c>
      <c r="C1948" s="838" t="s">
        <v>3512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2124</v>
      </c>
      <c r="I1948" s="1231" t="s">
        <v>1771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>
      <c r="B1949" s="714" t="s">
        <v>1864</v>
      </c>
      <c r="C1949" s="838" t="s">
        <v>3512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1646</v>
      </c>
      <c r="I1949" s="1231" t="s">
        <v>1771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>
      <c r="B1950" s="714" t="s">
        <v>2239</v>
      </c>
      <c r="C1950" s="838" t="s">
        <v>3512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1646</v>
      </c>
      <c r="I1950" s="1231" t="s">
        <v>1542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>
      <c r="B1951" s="714" t="s">
        <v>2238</v>
      </c>
      <c r="C1951" s="838" t="s">
        <v>3512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1646</v>
      </c>
      <c r="I1951" s="1231" t="s">
        <v>1542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>
      <c r="B1952" s="714" t="s">
        <v>2237</v>
      </c>
      <c r="C1952" s="838" t="s">
        <v>3512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1646</v>
      </c>
      <c r="I1952" s="1231" t="s">
        <v>1695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>
      <c r="B1953" s="714" t="s">
        <v>2236</v>
      </c>
      <c r="C1953" s="838" t="s">
        <v>3512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1646</v>
      </c>
      <c r="I1953" s="1231" t="s">
        <v>1542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>
      <c r="B1954" s="714" t="s">
        <v>2235</v>
      </c>
      <c r="C1954" s="838" t="s">
        <v>3512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2124</v>
      </c>
      <c r="I1954" s="1231" t="s">
        <v>2125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>
      <c r="B1955" s="714" t="s">
        <v>2234</v>
      </c>
      <c r="C1955" s="838" t="s">
        <v>3512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1646</v>
      </c>
      <c r="I1955" s="1231" t="s">
        <v>1735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>
      <c r="B1956" s="714" t="s">
        <v>2233</v>
      </c>
      <c r="C1956" s="838" t="s">
        <v>3512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2124</v>
      </c>
      <c r="I1956" s="1231" t="s">
        <v>2125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>
      <c r="B1957" s="714" t="s">
        <v>2232</v>
      </c>
      <c r="C1957" s="838" t="s">
        <v>3512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2124</v>
      </c>
      <c r="I1957" s="1231" t="s">
        <v>2127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>
      <c r="B1958" s="714" t="s">
        <v>2231</v>
      </c>
      <c r="C1958" s="838" t="s">
        <v>3512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2124</v>
      </c>
      <c r="I1958" s="1231" t="s">
        <v>2125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>
      <c r="B1959" s="714" t="s">
        <v>2230</v>
      </c>
      <c r="C1959" s="838" t="s">
        <v>3512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1646</v>
      </c>
      <c r="I1959" s="1231" t="s">
        <v>1542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>
      <c r="B1960" s="714" t="s">
        <v>2229</v>
      </c>
      <c r="C1960" s="838" t="s">
        <v>3512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1646</v>
      </c>
      <c r="I1960" s="1231" t="s">
        <v>1736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>
      <c r="B1961" s="714" t="s">
        <v>2228</v>
      </c>
      <c r="C1961" s="838" t="s">
        <v>3512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1646</v>
      </c>
      <c r="I1961" s="1231" t="s">
        <v>1737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>
      <c r="B1962" s="714" t="s">
        <v>2227</v>
      </c>
      <c r="C1962" s="838" t="s">
        <v>3512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1646</v>
      </c>
      <c r="I1962" s="1231" t="s">
        <v>1542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>
      <c r="B1963" s="714" t="s">
        <v>2226</v>
      </c>
      <c r="C1963" s="838" t="s">
        <v>3512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1646</v>
      </c>
      <c r="I1963" s="1231" t="s">
        <v>1737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>
      <c r="B1964" s="714" t="s">
        <v>2225</v>
      </c>
      <c r="C1964" s="838" t="s">
        <v>3512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2124</v>
      </c>
      <c r="I1964" s="1231" t="s">
        <v>2125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>
      <c r="B1965" s="714" t="s">
        <v>2224</v>
      </c>
      <c r="C1965" s="838" t="s">
        <v>3512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1646</v>
      </c>
      <c r="I1965" s="1231" t="s">
        <v>1542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>
      <c r="B1966" s="714" t="s">
        <v>2223</v>
      </c>
      <c r="C1966" s="838" t="s">
        <v>3512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1646</v>
      </c>
      <c r="I1966" s="1231" t="s">
        <v>1695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>
      <c r="B1967" s="714" t="s">
        <v>2222</v>
      </c>
      <c r="C1967" s="838" t="s">
        <v>3512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>
      <c r="B1968" s="714" t="s">
        <v>2221</v>
      </c>
      <c r="C1968" s="838" t="s">
        <v>3512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1646</v>
      </c>
      <c r="I1968" s="1231" t="s">
        <v>1695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>
      <c r="B1969" s="714" t="s">
        <v>2220</v>
      </c>
      <c r="C1969" s="838" t="s">
        <v>3512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1646</v>
      </c>
      <c r="I1969" s="1231" t="s">
        <v>1542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>
      <c r="B1970" s="714" t="s">
        <v>1856</v>
      </c>
      <c r="C1970" s="838" t="s">
        <v>3512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2124</v>
      </c>
      <c r="I1970" s="1231" t="s">
        <v>1771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>
      <c r="B1971" s="714" t="s">
        <v>1856</v>
      </c>
      <c r="C1971" s="838" t="s">
        <v>3512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1646</v>
      </c>
      <c r="I1971" s="1231" t="s">
        <v>1771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>
      <c r="B1972" s="714" t="s">
        <v>2219</v>
      </c>
      <c r="C1972" s="838" t="s">
        <v>3512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>
      <c r="B1973" s="714" t="s">
        <v>2218</v>
      </c>
      <c r="C1973" s="838" t="s">
        <v>3512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1646</v>
      </c>
      <c r="I1973" s="1231" t="s">
        <v>1643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>
      <c r="B1974" s="714" t="s">
        <v>2217</v>
      </c>
      <c r="C1974" s="838" t="s">
        <v>3512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1646</v>
      </c>
      <c r="I1974" s="1231" t="s">
        <v>1735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>
      <c r="B1975" s="714" t="s">
        <v>2216</v>
      </c>
      <c r="C1975" s="838" t="s">
        <v>3512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1646</v>
      </c>
      <c r="I1975" s="1231" t="s">
        <v>1697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>
      <c r="B1976" s="714" t="s">
        <v>2215</v>
      </c>
      <c r="C1976" s="838" t="s">
        <v>3512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2124</v>
      </c>
      <c r="I1976" s="1231" t="s">
        <v>2125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>
      <c r="B1977" s="714" t="s">
        <v>2214</v>
      </c>
      <c r="C1977" s="838" t="s">
        <v>3512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2124</v>
      </c>
      <c r="I1977" s="1231" t="s">
        <v>1771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>
      <c r="B1978" s="714" t="s">
        <v>2213</v>
      </c>
      <c r="C1978" s="838" t="s">
        <v>3512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1646</v>
      </c>
      <c r="I1978" s="1231" t="s">
        <v>1771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>
      <c r="B1979" s="714" t="s">
        <v>2212</v>
      </c>
      <c r="C1979" s="838" t="s">
        <v>3512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1646</v>
      </c>
      <c r="I1979" s="1231" t="s">
        <v>1735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>
      <c r="B1980" s="714" t="s">
        <v>2211</v>
      </c>
      <c r="C1980" s="838" t="s">
        <v>3512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1646</v>
      </c>
      <c r="I1980" s="1231" t="s">
        <v>2274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>
      <c r="B1981" s="714" t="s">
        <v>2210</v>
      </c>
      <c r="C1981" s="838" t="s">
        <v>3512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2124</v>
      </c>
      <c r="I1981" s="1231" t="s">
        <v>2125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>
      <c r="B1982" s="714" t="s">
        <v>2209</v>
      </c>
      <c r="C1982" s="838" t="s">
        <v>3512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1646</v>
      </c>
      <c r="I1982" s="1231" t="s">
        <v>1695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>
      <c r="B1983" s="714" t="s">
        <v>2208</v>
      </c>
      <c r="C1983" s="838" t="s">
        <v>3512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>
      <c r="B1984" s="714" t="s">
        <v>2207</v>
      </c>
      <c r="C1984" s="838" t="s">
        <v>3512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1646</v>
      </c>
      <c r="I1984" s="1231" t="s">
        <v>1695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>
      <c r="B1985" s="714" t="s">
        <v>2206</v>
      </c>
      <c r="C1985" s="838" t="s">
        <v>3512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>
      <c r="B1986" s="715" t="s">
        <v>2303</v>
      </c>
      <c r="C1986" s="838" t="s">
        <v>3512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2124</v>
      </c>
      <c r="I1986" s="1231" t="s">
        <v>1771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>
      <c r="B1987" s="715" t="s">
        <v>2302</v>
      </c>
      <c r="C1987" s="838" t="s">
        <v>3512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1646</v>
      </c>
      <c r="I1987" s="1231" t="s">
        <v>1695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>
      <c r="B1988" s="715" t="s">
        <v>2301</v>
      </c>
      <c r="C1988" s="838" t="s">
        <v>3512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1646</v>
      </c>
      <c r="I1988" s="1231" t="s">
        <v>1735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>
      <c r="B1989" s="715" t="s">
        <v>2300</v>
      </c>
      <c r="C1989" s="838" t="s">
        <v>3512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2124</v>
      </c>
      <c r="I1989" s="1231" t="s">
        <v>1771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>
      <c r="B1990" s="715" t="s">
        <v>2299</v>
      </c>
      <c r="C1990" s="838" t="s">
        <v>3512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2124</v>
      </c>
      <c r="I1990" s="1231" t="s">
        <v>1771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>
      <c r="B1991" s="715" t="s">
        <v>2298</v>
      </c>
      <c r="C1991" s="838" t="s">
        <v>3512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1646</v>
      </c>
      <c r="I1991" s="1231" t="s">
        <v>1771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>
      <c r="B1992" s="715" t="s">
        <v>2297</v>
      </c>
      <c r="C1992" s="838" t="s">
        <v>3512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2124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>
      <c r="B1993" s="715" t="s">
        <v>2296</v>
      </c>
      <c r="C1993" s="838" t="s">
        <v>3512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2124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>
      <c r="B1994" s="715" t="s">
        <v>2295</v>
      </c>
      <c r="C1994" s="838" t="s">
        <v>3512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1646</v>
      </c>
      <c r="I1994" s="1232" t="s">
        <v>1542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>
      <c r="B1995" s="715" t="s">
        <v>2294</v>
      </c>
      <c r="C1995" s="838" t="s">
        <v>3512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1646</v>
      </c>
      <c r="I1995" s="1231" t="s">
        <v>1695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>
      <c r="B1996" s="715" t="s">
        <v>2293</v>
      </c>
      <c r="C1996" s="838" t="s">
        <v>3512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1646</v>
      </c>
      <c r="I1996" s="1232" t="s">
        <v>1736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>
      <c r="B1997" s="715" t="s">
        <v>2292</v>
      </c>
      <c r="C1997" s="838" t="s">
        <v>3512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2124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>
      <c r="B1998" s="715" t="s">
        <v>2291</v>
      </c>
      <c r="C1998" s="838" t="s">
        <v>3512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3367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4464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5" t="s">
        <v>2291</v>
      </c>
      <c r="C1999" s="838" t="s">
        <v>3512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1646</v>
      </c>
      <c r="I1999" s="1232" t="s">
        <v>1697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5" t="s">
        <v>2290</v>
      </c>
      <c r="C2000" s="838" t="s">
        <v>3512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2124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>
      <c r="B2001" s="715" t="s">
        <v>2289</v>
      </c>
      <c r="C2001" s="838" t="s">
        <v>3512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1646</v>
      </c>
      <c r="I2001" s="1231" t="s">
        <v>1695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>
      <c r="B2002" s="715" t="s">
        <v>2288</v>
      </c>
      <c r="C2002" s="838" t="s">
        <v>3512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1646</v>
      </c>
      <c r="I2002" s="1232" t="s">
        <v>1542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>
      <c r="B2003" s="715" t="s">
        <v>2287</v>
      </c>
      <c r="C2003" s="838" t="s">
        <v>3512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2124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>
      <c r="B2004" s="715" t="s">
        <v>2286</v>
      </c>
      <c r="C2004" s="838" t="s">
        <v>3512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1646</v>
      </c>
      <c r="I2004" s="1231" t="s">
        <v>1771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>
      <c r="B2005" s="715" t="s">
        <v>2285</v>
      </c>
      <c r="C2005" s="838" t="s">
        <v>3512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1646</v>
      </c>
      <c r="I2005" s="1232" t="s">
        <v>2304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>
      <c r="B2006" s="715" t="s">
        <v>2284</v>
      </c>
      <c r="C2006" s="838" t="s">
        <v>3512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1646</v>
      </c>
      <c r="I2006" s="1232" t="s">
        <v>2304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5" t="s">
        <v>2284</v>
      </c>
      <c r="C2007" s="838" t="s">
        <v>3512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2124</v>
      </c>
      <c r="I2007" s="1232" t="s">
        <v>2125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5" t="s">
        <v>2283</v>
      </c>
      <c r="C2008" s="838" t="s">
        <v>3512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1646</v>
      </c>
      <c r="I2008" s="1231" t="s">
        <v>1695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>
      <c r="B2009" s="715" t="s">
        <v>2282</v>
      </c>
      <c r="C2009" s="838" t="s">
        <v>3512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>
      <c r="B2010" s="715" t="s">
        <v>2281</v>
      </c>
      <c r="C2010" s="838" t="s">
        <v>3512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1646</v>
      </c>
      <c r="I2010" s="1232" t="s">
        <v>1737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>
      <c r="B2011" s="715" t="s">
        <v>2280</v>
      </c>
      <c r="C2011" s="838" t="s">
        <v>3512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>
      <c r="B2012" s="715" t="s">
        <v>2279</v>
      </c>
      <c r="C2012" s="838" t="s">
        <v>3512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1646</v>
      </c>
      <c r="I2012" s="1232" t="s">
        <v>2304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>
      <c r="B2013" s="715" t="s">
        <v>2278</v>
      </c>
      <c r="C2013" s="838" t="s">
        <v>3512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1646</v>
      </c>
      <c r="I2013" s="1231" t="s">
        <v>1695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>
      <c r="B2014" s="715" t="s">
        <v>2277</v>
      </c>
      <c r="C2014" s="838" t="s">
        <v>3512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1646</v>
      </c>
      <c r="I2014" s="1232" t="s">
        <v>1736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>
      <c r="B2015" s="715" t="s">
        <v>2276</v>
      </c>
      <c r="C2015" s="838" t="s">
        <v>3512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1646</v>
      </c>
      <c r="I2015" s="1232" t="s">
        <v>1697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>
      <c r="B2016" s="715" t="s">
        <v>2275</v>
      </c>
      <c r="C2016" s="838" t="s">
        <v>3512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1646</v>
      </c>
      <c r="I2016" s="1232" t="s">
        <v>2274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>
      <c r="B2017" s="716" t="s">
        <v>2333</v>
      </c>
      <c r="C2017" s="838" t="s">
        <v>3512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1646</v>
      </c>
      <c r="I2017" s="1233" t="s">
        <v>1771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>
      <c r="B2018" s="716" t="s">
        <v>2332</v>
      </c>
      <c r="C2018" s="838" t="s">
        <v>3512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2124</v>
      </c>
      <c r="I2018" s="1233" t="s">
        <v>1771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>
      <c r="B2019" s="716" t="s">
        <v>2331</v>
      </c>
      <c r="C2019" s="838" t="s">
        <v>3512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1646</v>
      </c>
      <c r="I2019" s="1231" t="s">
        <v>1695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>
      <c r="B2020" s="716" t="s">
        <v>2330</v>
      </c>
      <c r="C2020" s="838" t="s">
        <v>3512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2124</v>
      </c>
      <c r="I2020" s="1233" t="s">
        <v>1771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>
      <c r="B2021" s="716" t="s">
        <v>2329</v>
      </c>
      <c r="C2021" s="838" t="s">
        <v>3512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1646</v>
      </c>
      <c r="I2021" s="1233" t="s">
        <v>2334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>
      <c r="B2022" s="716" t="s">
        <v>2328</v>
      </c>
      <c r="C2022" s="838" t="s">
        <v>3512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>
      <c r="B2023" s="716" t="s">
        <v>2327</v>
      </c>
      <c r="C2023" s="838" t="s">
        <v>3512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1646</v>
      </c>
      <c r="I2023" s="1233" t="s">
        <v>1697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>
      <c r="B2024" s="716" t="s">
        <v>2326</v>
      </c>
      <c r="C2024" s="838" t="s">
        <v>3512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2124</v>
      </c>
      <c r="I2024" s="1233" t="s">
        <v>1771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>
      <c r="B2025" s="716" t="s">
        <v>2325</v>
      </c>
      <c r="C2025" s="838" t="s">
        <v>3512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2124</v>
      </c>
      <c r="I2025" s="1233" t="s">
        <v>1771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>
      <c r="B2026" s="716" t="s">
        <v>2324</v>
      </c>
      <c r="C2026" s="838" t="s">
        <v>3512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1646</v>
      </c>
      <c r="I2026" s="1233" t="s">
        <v>1645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>
      <c r="B2027" s="716" t="s">
        <v>2323</v>
      </c>
      <c r="C2027" s="838" t="s">
        <v>3512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>
      <c r="B2028" s="716" t="s">
        <v>2322</v>
      </c>
      <c r="C2028" s="838" t="s">
        <v>3512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6" t="s">
        <v>2322</v>
      </c>
      <c r="C2029" s="838" t="s">
        <v>3512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1646</v>
      </c>
      <c r="I2029" s="1231" t="s">
        <v>1695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6" t="s">
        <v>2321</v>
      </c>
      <c r="C2030" s="838" t="s">
        <v>3512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1646</v>
      </c>
      <c r="I2030" s="1233" t="s">
        <v>1736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>
      <c r="B2031" s="716" t="s">
        <v>2320</v>
      </c>
      <c r="C2031" s="838" t="s">
        <v>3512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1820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>
      <c r="B2032" s="716" t="s">
        <v>2319</v>
      </c>
      <c r="C2032" s="838" t="s">
        <v>3512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>
      <c r="B2033" s="716" t="s">
        <v>2318</v>
      </c>
      <c r="C2033" s="838" t="s">
        <v>3512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1646</v>
      </c>
      <c r="I2033" s="1231" t="s">
        <v>1695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6" t="s">
        <v>2318</v>
      </c>
      <c r="C2034" s="838" t="s">
        <v>3512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2919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6" t="s">
        <v>2317</v>
      </c>
      <c r="C2035" s="838" t="s">
        <v>3512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2124</v>
      </c>
      <c r="I2035" s="1233" t="s">
        <v>2125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>
      <c r="B2036" s="716" t="s">
        <v>2316</v>
      </c>
      <c r="C2036" s="838" t="s">
        <v>3512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2124</v>
      </c>
      <c r="I2036" s="1233" t="s">
        <v>2125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>
      <c r="B2037" s="716" t="s">
        <v>2315</v>
      </c>
      <c r="C2037" s="838" t="s">
        <v>3512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1646</v>
      </c>
      <c r="I2037" s="1231" t="s">
        <v>1695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>
      <c r="B2038" s="716" t="s">
        <v>2314</v>
      </c>
      <c r="C2038" s="838" t="s">
        <v>3512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1646</v>
      </c>
      <c r="I2038" s="1232" t="s">
        <v>2274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>
      <c r="B2039" s="716" t="s">
        <v>2313</v>
      </c>
      <c r="C2039" s="838" t="s">
        <v>3512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1646</v>
      </c>
      <c r="I2039" s="1231" t="s">
        <v>1695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>
      <c r="B2040" s="716" t="s">
        <v>2312</v>
      </c>
      <c r="C2040" s="838" t="s">
        <v>3512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1646</v>
      </c>
      <c r="I2040" s="1233" t="s">
        <v>2335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>
      <c r="B2041" s="716" t="s">
        <v>2311</v>
      </c>
      <c r="C2041" s="838" t="s">
        <v>3512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1646</v>
      </c>
      <c r="I2041" s="1233" t="s">
        <v>1542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>
      <c r="B2042" s="716" t="s">
        <v>2310</v>
      </c>
      <c r="C2042" s="838" t="s">
        <v>3512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1646</v>
      </c>
      <c r="I2042" s="1233" t="s">
        <v>1542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>
      <c r="B2043" s="716" t="s">
        <v>2309</v>
      </c>
      <c r="C2043" s="838" t="s">
        <v>3512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1646</v>
      </c>
      <c r="I2043" s="1231" t="s">
        <v>1695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>
      <c r="B2044" s="716" t="s">
        <v>2308</v>
      </c>
      <c r="C2044" s="838" t="s">
        <v>3512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1646</v>
      </c>
      <c r="I2044" s="1233" t="s">
        <v>1542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>
      <c r="B2045" s="717" t="s">
        <v>2395</v>
      </c>
      <c r="C2045" s="838" t="s">
        <v>3512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1646</v>
      </c>
      <c r="I2045" s="1234" t="s">
        <v>1696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>
      <c r="B2046" s="717" t="s">
        <v>2394</v>
      </c>
      <c r="C2046" s="838" t="s">
        <v>3512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2124</v>
      </c>
      <c r="I2046" s="1234" t="s">
        <v>1771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>
      <c r="B2047" s="717" t="s">
        <v>2396</v>
      </c>
      <c r="C2047" s="838" t="s">
        <v>3512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2124</v>
      </c>
      <c r="I2047" s="1233" t="s">
        <v>2125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>
      <c r="B2048" s="717" t="s">
        <v>2393</v>
      </c>
      <c r="C2048" s="838" t="s">
        <v>3512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2124</v>
      </c>
      <c r="I2048" s="1234" t="s">
        <v>1771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>
      <c r="B2049" s="717" t="s">
        <v>2392</v>
      </c>
      <c r="C2049" s="838" t="s">
        <v>3512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1646</v>
      </c>
      <c r="I2049" s="1234" t="s">
        <v>1697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>
      <c r="B2050" s="717" t="s">
        <v>2391</v>
      </c>
      <c r="C2050" s="838" t="s">
        <v>3512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2124</v>
      </c>
      <c r="I2050" s="1234" t="s">
        <v>1771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>
      <c r="B2051" s="717" t="s">
        <v>2390</v>
      </c>
      <c r="C2051" s="838" t="s">
        <v>3512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2124</v>
      </c>
      <c r="I2051" s="1234" t="s">
        <v>1771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>
      <c r="B2052" s="717" t="s">
        <v>2389</v>
      </c>
      <c r="C2052" s="838" t="s">
        <v>3512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1646</v>
      </c>
      <c r="I2052" s="1234" t="s">
        <v>1645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>
      <c r="B2053" s="717" t="s">
        <v>2388</v>
      </c>
      <c r="C2053" s="838" t="s">
        <v>3512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>
      <c r="B2054" s="717" t="s">
        <v>2397</v>
      </c>
      <c r="C2054" s="838" t="s">
        <v>3512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2124</v>
      </c>
      <c r="I2054" s="1234" t="s">
        <v>2127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>
      <c r="B2055" s="717" t="s">
        <v>2387</v>
      </c>
      <c r="C2055" s="838" t="s">
        <v>3512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2124</v>
      </c>
      <c r="I2055" s="1234" t="s">
        <v>2125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>
      <c r="B2056" s="717" t="s">
        <v>2386</v>
      </c>
      <c r="C2056" s="838" t="s">
        <v>3512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1646</v>
      </c>
      <c r="I2056" s="1234" t="s">
        <v>2335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>
      <c r="B2057" s="717" t="s">
        <v>2385</v>
      </c>
      <c r="C2057" s="838" t="s">
        <v>3512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2124</v>
      </c>
      <c r="I2057" s="1234" t="s">
        <v>1771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>
      <c r="B2058" s="717" t="s">
        <v>2384</v>
      </c>
      <c r="C2058" s="838" t="s">
        <v>3512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2124</v>
      </c>
      <c r="I2058" s="1234" t="s">
        <v>2125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>
      <c r="B2059" s="717" t="s">
        <v>2383</v>
      </c>
      <c r="C2059" s="838" t="s">
        <v>3512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2124</v>
      </c>
      <c r="I2059" s="1234" t="s">
        <v>2125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>
      <c r="B2060" s="717" t="s">
        <v>2382</v>
      </c>
      <c r="C2060" s="838" t="s">
        <v>3512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2124</v>
      </c>
      <c r="I2060" s="1234" t="s">
        <v>2125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>
      <c r="B2061" s="717" t="s">
        <v>2381</v>
      </c>
      <c r="C2061" s="838" t="s">
        <v>3512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2124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>
      <c r="B2062" s="717" t="s">
        <v>2380</v>
      </c>
      <c r="C2062" s="838" t="s">
        <v>3512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2124</v>
      </c>
      <c r="I2062" s="1234" t="s">
        <v>1771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>
      <c r="B2063" s="717" t="s">
        <v>2379</v>
      </c>
      <c r="C2063" s="838" t="s">
        <v>3512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2124</v>
      </c>
      <c r="I2063" s="1234" t="s">
        <v>1771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>
      <c r="B2064" s="717" t="s">
        <v>2378</v>
      </c>
      <c r="C2064" s="838" t="s">
        <v>3512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2124</v>
      </c>
      <c r="I2064" s="1234" t="s">
        <v>1771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>
      <c r="B2065" s="717" t="s">
        <v>2377</v>
      </c>
      <c r="C2065" s="838" t="s">
        <v>3512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1646</v>
      </c>
      <c r="I2065" s="1234" t="s">
        <v>2334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>
      <c r="B2066" s="717" t="s">
        <v>2376</v>
      </c>
      <c r="C2066" s="838" t="s">
        <v>3512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1646</v>
      </c>
      <c r="I2066" s="1234" t="s">
        <v>1771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>
      <c r="B2067" s="717" t="s">
        <v>2375</v>
      </c>
      <c r="C2067" s="838" t="s">
        <v>3512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1646</v>
      </c>
      <c r="I2067" s="1234" t="s">
        <v>1542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>
      <c r="B2068" s="717" t="s">
        <v>2374</v>
      </c>
      <c r="C2068" s="838" t="s">
        <v>3512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>
      <c r="B2069" s="717" t="s">
        <v>2373</v>
      </c>
      <c r="C2069" s="838" t="s">
        <v>3512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2124</v>
      </c>
      <c r="I2069" s="1234" t="s">
        <v>2125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>
      <c r="B2070" s="717" t="s">
        <v>2372</v>
      </c>
      <c r="C2070" s="838" t="s">
        <v>3512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1646</v>
      </c>
      <c r="I2070" s="1234" t="s">
        <v>2335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>
      <c r="B2071" s="717" t="s">
        <v>2371</v>
      </c>
      <c r="C2071" s="838" t="s">
        <v>3512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>
      <c r="B2072" s="717" t="s">
        <v>2370</v>
      </c>
      <c r="C2072" s="838" t="s">
        <v>3512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1646</v>
      </c>
      <c r="I2072" s="1234" t="s">
        <v>1753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>
      <c r="B2073" s="717" t="s">
        <v>2369</v>
      </c>
      <c r="C2073" s="838" t="s">
        <v>3512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3367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>
      <c r="B2074" s="717" t="s">
        <v>2368</v>
      </c>
      <c r="C2074" s="838" t="s">
        <v>3512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1646</v>
      </c>
      <c r="I2074" s="1234" t="s">
        <v>1542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>
      <c r="B2075" s="717" t="s">
        <v>2368</v>
      </c>
      <c r="C2075" s="838" t="s">
        <v>3512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1646</v>
      </c>
      <c r="I2075" s="1234" t="s">
        <v>2335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>
      <c r="B2076" s="717" t="s">
        <v>2367</v>
      </c>
      <c r="C2076" s="838" t="s">
        <v>3512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1357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>
      <c r="B2077" s="717" t="s">
        <v>2366</v>
      </c>
      <c r="C2077" s="838" t="s">
        <v>3512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1646</v>
      </c>
      <c r="I2077" s="1234" t="s">
        <v>1643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>
      <c r="B2078" s="717" t="s">
        <v>2365</v>
      </c>
      <c r="C2078" s="838" t="s">
        <v>3512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1646</v>
      </c>
      <c r="I2078" s="1234" t="s">
        <v>1645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>
      <c r="B2079" s="717" t="s">
        <v>2364</v>
      </c>
      <c r="C2079" s="838" t="s">
        <v>3512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1646</v>
      </c>
      <c r="I2079" s="1234" t="s">
        <v>1542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>
      <c r="B2080" s="717" t="s">
        <v>2363</v>
      </c>
      <c r="C2080" s="838" t="s">
        <v>3512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1646</v>
      </c>
      <c r="I2080" s="1234" t="s">
        <v>1542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>
      <c r="B2081" s="717" t="s">
        <v>2362</v>
      </c>
      <c r="C2081" s="838" t="s">
        <v>3512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1646</v>
      </c>
      <c r="I2081" s="1234" t="s">
        <v>1695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>
      <c r="B2082" s="717" t="s">
        <v>2361</v>
      </c>
      <c r="C2082" s="838" t="s">
        <v>3512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2124</v>
      </c>
      <c r="I2082" s="1234" t="s">
        <v>1771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>
      <c r="B2083" s="717" t="s">
        <v>2360</v>
      </c>
      <c r="C2083" s="838" t="s">
        <v>3512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2124</v>
      </c>
      <c r="I2083" s="1234" t="s">
        <v>1771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>
      <c r="B2084" s="717" t="s">
        <v>2359</v>
      </c>
      <c r="C2084" s="838" t="s">
        <v>3512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2124</v>
      </c>
      <c r="I2084" s="1234" t="s">
        <v>1771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>
      <c r="B2085" s="717" t="s">
        <v>2358</v>
      </c>
      <c r="C2085" s="838" t="s">
        <v>3512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1646</v>
      </c>
      <c r="I2085" s="1234" t="s">
        <v>1695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>
      <c r="B2086" s="717" t="s">
        <v>2357</v>
      </c>
      <c r="C2086" s="838" t="s">
        <v>3512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>
      <c r="B2087" s="717" t="s">
        <v>2356</v>
      </c>
      <c r="C2087" s="838" t="s">
        <v>3512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1646</v>
      </c>
      <c r="I2087" s="1234" t="s">
        <v>1542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>
      <c r="B2088" s="717" t="s">
        <v>2355</v>
      </c>
      <c r="C2088" s="838" t="s">
        <v>3512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1646</v>
      </c>
      <c r="I2088" s="1234" t="s">
        <v>1695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>
      <c r="B2089" s="717" t="s">
        <v>2354</v>
      </c>
      <c r="C2089" s="838" t="s">
        <v>3512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2124</v>
      </c>
      <c r="I2089" s="1234" t="s">
        <v>1771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>
      <c r="B2090" s="717" t="s">
        <v>2353</v>
      </c>
      <c r="C2090" s="838" t="s">
        <v>3512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1646</v>
      </c>
      <c r="I2090" s="1234" t="s">
        <v>1697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>
      <c r="B2091" s="717" t="s">
        <v>2352</v>
      </c>
      <c r="C2091" s="838" t="s">
        <v>3512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>
      <c r="B2092" s="717" t="s">
        <v>2351</v>
      </c>
      <c r="C2092" s="838" t="s">
        <v>3512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1646</v>
      </c>
      <c r="I2092" s="1234" t="s">
        <v>1542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>
      <c r="B2093" s="717" t="s">
        <v>2350</v>
      </c>
      <c r="C2093" s="838" t="s">
        <v>3512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2124</v>
      </c>
      <c r="I2093" s="1234" t="s">
        <v>1771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>
      <c r="B2094" s="717" t="s">
        <v>2349</v>
      </c>
      <c r="C2094" s="838" t="s">
        <v>3512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1646</v>
      </c>
      <c r="I2094" s="1234" t="s">
        <v>1695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>
      <c r="B2095" s="717" t="s">
        <v>2348</v>
      </c>
      <c r="C2095" s="838" t="s">
        <v>3512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1646</v>
      </c>
      <c r="I2095" s="1234" t="s">
        <v>1542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>
      <c r="B2096" s="717" t="s">
        <v>2347</v>
      </c>
      <c r="C2096" s="838" t="s">
        <v>3512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1646</v>
      </c>
      <c r="I2096" s="1234" t="s">
        <v>2304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>
      <c r="B2097" s="717" t="s">
        <v>2346</v>
      </c>
      <c r="C2097" s="838" t="s">
        <v>3512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1646</v>
      </c>
      <c r="I2097" s="1234" t="s">
        <v>1695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>
      <c r="B2098" s="717" t="s">
        <v>2345</v>
      </c>
      <c r="C2098" s="838" t="s">
        <v>3512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1646</v>
      </c>
      <c r="I2098" s="1234" t="s">
        <v>1643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>
      <c r="B2099" s="717" t="s">
        <v>2344</v>
      </c>
      <c r="C2099" s="838" t="s">
        <v>3512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2124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>
      <c r="B2100" s="717" t="s">
        <v>2343</v>
      </c>
      <c r="C2100" s="838" t="s">
        <v>3512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2124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>
      <c r="B2101" s="718" t="s">
        <v>2426</v>
      </c>
      <c r="C2101" s="838" t="s">
        <v>3512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2124</v>
      </c>
      <c r="I2101" s="1235" t="s">
        <v>1771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>
      <c r="B2102" s="718" t="s">
        <v>2426</v>
      </c>
      <c r="C2102" s="838" t="s">
        <v>3512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2124</v>
      </c>
      <c r="I2102" s="1235" t="s">
        <v>2127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>
      <c r="B2103" s="718" t="s">
        <v>2422</v>
      </c>
      <c r="C2103" s="838" t="s">
        <v>3512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1646</v>
      </c>
      <c r="I2103" s="1235" t="s">
        <v>1643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>
      <c r="B2104" s="718" t="s">
        <v>2421</v>
      </c>
      <c r="C2104" s="838" t="s">
        <v>3512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1646</v>
      </c>
      <c r="I2104" s="1234" t="s">
        <v>1695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>
      <c r="B2105" s="718" t="s">
        <v>2420</v>
      </c>
      <c r="C2105" s="838" t="s">
        <v>3512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2124</v>
      </c>
      <c r="I2105" s="1235" t="s">
        <v>2125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>
      <c r="B2106" s="718" t="s">
        <v>29</v>
      </c>
      <c r="C2106" s="838" t="s">
        <v>3512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1646</v>
      </c>
      <c r="I2106" s="1234" t="s">
        <v>1695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>
      <c r="B2107" s="718" t="s">
        <v>2419</v>
      </c>
      <c r="C2107" s="838" t="s">
        <v>3512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3367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2920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>
      <c r="B2108" s="718" t="s">
        <v>2418</v>
      </c>
      <c r="C2108" s="838" t="s">
        <v>3512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2124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>
      <c r="B2109" s="718" t="s">
        <v>2417</v>
      </c>
      <c r="C2109" s="838" t="s">
        <v>3512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1646</v>
      </c>
      <c r="I2109" s="1235" t="s">
        <v>1645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>
      <c r="B2110" s="718" t="s">
        <v>2416</v>
      </c>
      <c r="C2110" s="838" t="s">
        <v>3512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1646</v>
      </c>
      <c r="I2110" s="1235" t="s">
        <v>2304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>
      <c r="B2111" s="718" t="s">
        <v>2414</v>
      </c>
      <c r="C2111" s="838" t="s">
        <v>3512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2124</v>
      </c>
      <c r="I2111" s="1235" t="s">
        <v>1771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>
      <c r="B2112" s="718" t="s">
        <v>2415</v>
      </c>
      <c r="C2112" s="838" t="s">
        <v>3512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1646</v>
      </c>
      <c r="I2112" s="1235" t="s">
        <v>2334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>
      <c r="B2113" s="718" t="s">
        <v>2413</v>
      </c>
      <c r="C2113" s="838" t="s">
        <v>3512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1646</v>
      </c>
      <c r="I2113" s="1235" t="s">
        <v>1542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>
      <c r="B2114" s="718" t="s">
        <v>2413</v>
      </c>
      <c r="C2114" s="838" t="s">
        <v>3512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1646</v>
      </c>
      <c r="I2114" s="1235" t="s">
        <v>2335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>
      <c r="B2115" s="718" t="s">
        <v>2412</v>
      </c>
      <c r="C2115" s="838" t="s">
        <v>3512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1646</v>
      </c>
      <c r="I2115" s="1235" t="s">
        <v>1735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>
      <c r="B2116" s="718" t="s">
        <v>2411</v>
      </c>
      <c r="C2116" s="838" t="s">
        <v>3512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1646</v>
      </c>
      <c r="I2116" s="1235" t="s">
        <v>1697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>
      <c r="B2117" s="718" t="s">
        <v>2410</v>
      </c>
      <c r="C2117" s="838" t="s">
        <v>3512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1646</v>
      </c>
      <c r="I2117" s="1235" t="s">
        <v>1771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8" t="s">
        <v>2410</v>
      </c>
      <c r="C2118" s="838" t="s">
        <v>3512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2124</v>
      </c>
      <c r="I2118" s="1235" t="s">
        <v>1771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8" t="s">
        <v>2409</v>
      </c>
      <c r="C2119" s="838" t="s">
        <v>3512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2124</v>
      </c>
      <c r="I2119" s="1235" t="s">
        <v>2127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>
      <c r="B2120" s="718" t="s">
        <v>2409</v>
      </c>
      <c r="C2120" s="838" t="s">
        <v>3512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1646</v>
      </c>
      <c r="I2120" s="1235" t="s">
        <v>1697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>
      <c r="B2121" s="718" t="s">
        <v>2408</v>
      </c>
      <c r="C2121" s="838" t="s">
        <v>3512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2124</v>
      </c>
      <c r="I2121" s="1235" t="s">
        <v>2125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>
      <c r="B2122" s="718" t="s">
        <v>2407</v>
      </c>
      <c r="C2122" s="838" t="s">
        <v>3512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2124</v>
      </c>
      <c r="I2122" s="1235" t="s">
        <v>1771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>
      <c r="B2123" s="719" t="s">
        <v>2448</v>
      </c>
      <c r="C2123" s="838" t="s">
        <v>3512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1646</v>
      </c>
      <c r="I2123" s="1236" t="s">
        <v>1736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>
      <c r="B2124" s="719" t="s">
        <v>2447</v>
      </c>
      <c r="C2124" s="838" t="s">
        <v>3512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1646</v>
      </c>
      <c r="I2124" s="1236" t="s">
        <v>1753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>
      <c r="B2125" s="719" t="s">
        <v>2446</v>
      </c>
      <c r="C2125" s="838" t="s">
        <v>3512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1646</v>
      </c>
      <c r="I2125" s="1234" t="s">
        <v>1695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>
      <c r="B2126" s="719" t="s">
        <v>2445</v>
      </c>
      <c r="C2126" s="838" t="s">
        <v>3512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2124</v>
      </c>
      <c r="I2126" s="1235" t="s">
        <v>2125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>
      <c r="B2127" s="719" t="s">
        <v>2444</v>
      </c>
      <c r="C2127" s="838" t="s">
        <v>3512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1646</v>
      </c>
      <c r="I2127" s="1236" t="s">
        <v>1542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>
      <c r="B2128" s="719" t="s">
        <v>2443</v>
      </c>
      <c r="C2128" s="838" t="s">
        <v>3512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2124</v>
      </c>
      <c r="I2128" s="1235" t="s">
        <v>1771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>
      <c r="B2129" s="719" t="s">
        <v>2442</v>
      </c>
      <c r="C2129" s="838" t="s">
        <v>3512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2124</v>
      </c>
      <c r="I2129" s="1235" t="s">
        <v>1771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>
      <c r="B2130" s="719" t="s">
        <v>2441</v>
      </c>
      <c r="C2130" s="838" t="s">
        <v>3512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2124</v>
      </c>
      <c r="I2130" s="1235" t="s">
        <v>2125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>
      <c r="B2131" s="719" t="s">
        <v>2440</v>
      </c>
      <c r="C2131" s="838" t="s">
        <v>3512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1646</v>
      </c>
      <c r="I2131" s="1235" t="s">
        <v>1771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>
      <c r="B2132" s="719" t="s">
        <v>2439</v>
      </c>
      <c r="C2132" s="838" t="s">
        <v>3512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2124</v>
      </c>
      <c r="I2132" s="1235" t="s">
        <v>1771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>
      <c r="B2133" s="719" t="s">
        <v>2438</v>
      </c>
      <c r="C2133" s="838" t="s">
        <v>3512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2124</v>
      </c>
      <c r="I2133" s="1235" t="s">
        <v>1771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>
      <c r="B2134" s="719" t="s">
        <v>2437</v>
      </c>
      <c r="C2134" s="838" t="s">
        <v>3512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1646</v>
      </c>
      <c r="I2134" s="1234" t="s">
        <v>1695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>
      <c r="B2135" s="719" t="s">
        <v>2436</v>
      </c>
      <c r="C2135" s="838" t="s">
        <v>3512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1646</v>
      </c>
      <c r="I2135" s="1236" t="s">
        <v>1643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>
      <c r="B2136" s="719" t="s">
        <v>2435</v>
      </c>
      <c r="C2136" s="838" t="s">
        <v>3512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2124</v>
      </c>
      <c r="I2136" s="1236" t="s">
        <v>2127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>
      <c r="B2137" s="719" t="s">
        <v>2434</v>
      </c>
      <c r="C2137" s="838" t="s">
        <v>3512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1646</v>
      </c>
      <c r="I2137" s="1236" t="s">
        <v>1753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>
      <c r="B2138" s="719" t="s">
        <v>2433</v>
      </c>
      <c r="C2138" s="838" t="s">
        <v>3512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3367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1213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19" t="s">
        <v>2433</v>
      </c>
      <c r="C2139" s="838" t="s">
        <v>3512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1646</v>
      </c>
      <c r="I2139" s="1236" t="s">
        <v>1697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19" t="s">
        <v>2432</v>
      </c>
      <c r="C2140" s="838" t="s">
        <v>3512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1646</v>
      </c>
      <c r="I2140" s="1236" t="s">
        <v>1698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>
      <c r="B2141" s="719" t="s">
        <v>2431</v>
      </c>
      <c r="C2141" s="838" t="s">
        <v>3512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>
      <c r="B2142" s="719" t="s">
        <v>2430</v>
      </c>
      <c r="C2142" s="838" t="s">
        <v>3512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2124</v>
      </c>
      <c r="I2142" s="1235" t="s">
        <v>1771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>
      <c r="B2143" s="719" t="s">
        <v>2429</v>
      </c>
      <c r="C2143" s="838" t="s">
        <v>3512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1646</v>
      </c>
      <c r="I2143" s="1235" t="s">
        <v>1542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>
      <c r="B2144" s="719" t="s">
        <v>2428</v>
      </c>
      <c r="C2144" s="838" t="s">
        <v>3512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1646</v>
      </c>
      <c r="I2144" s="1236" t="s">
        <v>2304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>
      <c r="B2145" s="719" t="s">
        <v>2427</v>
      </c>
      <c r="C2145" s="838" t="s">
        <v>3512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1646</v>
      </c>
      <c r="I2145" s="1236" t="s">
        <v>1753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>
      <c r="B2146" s="719" t="s">
        <v>2533</v>
      </c>
      <c r="C2146" s="838" t="s">
        <v>3512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1646</v>
      </c>
      <c r="I2146" s="1236" t="s">
        <v>1737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>
      <c r="B2147" s="719" t="s">
        <v>2532</v>
      </c>
      <c r="C2147" s="838" t="s">
        <v>3512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1646</v>
      </c>
      <c r="I2147" s="1236" t="s">
        <v>1771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>
      <c r="B2148" s="719" t="s">
        <v>2531</v>
      </c>
      <c r="C2148" s="838" t="s">
        <v>3512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2124</v>
      </c>
      <c r="I2148" s="1235" t="s">
        <v>1771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>
      <c r="B2149" s="719" t="s">
        <v>2529</v>
      </c>
      <c r="C2149" s="838" t="s">
        <v>3512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1646</v>
      </c>
      <c r="I2149" s="1236" t="s">
        <v>1643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>
      <c r="B2150" s="719" t="s">
        <v>2530</v>
      </c>
      <c r="C2150" s="838" t="s">
        <v>3512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1646</v>
      </c>
      <c r="I2150" s="1236" t="s">
        <v>1645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>
      <c r="B2151" s="719" t="s">
        <v>2528</v>
      </c>
      <c r="C2151" s="838" t="s">
        <v>3512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1646</v>
      </c>
      <c r="I2151" s="1236" t="s">
        <v>2534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>
      <c r="B2152" s="719" t="s">
        <v>2527</v>
      </c>
      <c r="C2152" s="838" t="s">
        <v>3512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1646</v>
      </c>
      <c r="I2152" s="1236" t="s">
        <v>1697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>
      <c r="B2153" s="719" t="s">
        <v>2526</v>
      </c>
      <c r="C2153" s="838" t="s">
        <v>3512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1646</v>
      </c>
      <c r="I2153" s="1236" t="s">
        <v>2304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>
      <c r="B2154" s="719" t="s">
        <v>2525</v>
      </c>
      <c r="C2154" s="838" t="s">
        <v>3512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1646</v>
      </c>
      <c r="I2154" s="1236" t="s">
        <v>1695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>
      <c r="B2155" s="719" t="s">
        <v>2524</v>
      </c>
      <c r="C2155" s="838" t="s">
        <v>3512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1646</v>
      </c>
      <c r="I2155" s="1236" t="s">
        <v>1736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>
      <c r="B2156" s="719" t="s">
        <v>2523</v>
      </c>
      <c r="C2156" s="838" t="s">
        <v>3512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2124</v>
      </c>
      <c r="I2156" s="1236" t="s">
        <v>1771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>
      <c r="B2157" s="719" t="s">
        <v>2522</v>
      </c>
      <c r="C2157" s="838" t="s">
        <v>3512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2124</v>
      </c>
      <c r="I2157" s="1236" t="s">
        <v>1771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>
      <c r="B2158" s="719" t="s">
        <v>2521</v>
      </c>
      <c r="C2158" s="838" t="s">
        <v>3512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1646</v>
      </c>
      <c r="I2158" s="1236" t="s">
        <v>1542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>
      <c r="B2159" s="719" t="s">
        <v>2520</v>
      </c>
      <c r="C2159" s="838" t="s">
        <v>3512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1646</v>
      </c>
      <c r="I2159" s="1236" t="s">
        <v>2274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>
      <c r="B2160" s="719" t="s">
        <v>2519</v>
      </c>
      <c r="C2160" s="838" t="s">
        <v>3512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1646</v>
      </c>
      <c r="I2160" s="1236" t="s">
        <v>1643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>
      <c r="B2161" s="719" t="s">
        <v>2518</v>
      </c>
      <c r="C2161" s="838" t="s">
        <v>3512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1646</v>
      </c>
      <c r="I2161" s="1236" t="s">
        <v>1542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>
      <c r="B2162" s="719" t="s">
        <v>2517</v>
      </c>
      <c r="C2162" s="838" t="s">
        <v>3512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1646</v>
      </c>
      <c r="I2162" s="1236" t="s">
        <v>1542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>
      <c r="B2163" s="719" t="s">
        <v>2516</v>
      </c>
      <c r="C2163" s="838" t="s">
        <v>3512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1646</v>
      </c>
      <c r="I2163" s="1236" t="s">
        <v>2334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>
      <c r="B2164" s="719" t="s">
        <v>2515</v>
      </c>
      <c r="C2164" s="838" t="s">
        <v>3512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1646</v>
      </c>
      <c r="I2164" s="1236" t="s">
        <v>1542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>
      <c r="B2165" s="719" t="s">
        <v>2514</v>
      </c>
      <c r="C2165" s="838" t="s">
        <v>3512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1646</v>
      </c>
      <c r="I2165" s="1236" t="s">
        <v>1736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>
      <c r="B2166" s="719" t="s">
        <v>2513</v>
      </c>
      <c r="C2166" s="838" t="s">
        <v>3512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2124</v>
      </c>
      <c r="I2166" s="1236" t="s">
        <v>1771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>
      <c r="B2167" s="719" t="s">
        <v>2535</v>
      </c>
      <c r="C2167" s="838" t="s">
        <v>3512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>
      <c r="B2168" s="719" t="s">
        <v>2512</v>
      </c>
      <c r="C2168" s="838" t="s">
        <v>3512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1646</v>
      </c>
      <c r="I2168" s="1236" t="s">
        <v>2304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>
      <c r="B2169" s="719" t="s">
        <v>2511</v>
      </c>
      <c r="C2169" s="838" t="s">
        <v>3512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1646</v>
      </c>
      <c r="I2169" s="1236" t="s">
        <v>1771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>
      <c r="B2170" s="719" t="s">
        <v>2510</v>
      </c>
      <c r="C2170" s="838" t="s">
        <v>3512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1646</v>
      </c>
      <c r="I2170" s="1236" t="s">
        <v>1695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>
      <c r="B2171" s="719" t="s">
        <v>2509</v>
      </c>
      <c r="C2171" s="838" t="s">
        <v>3512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1646</v>
      </c>
      <c r="I2171" s="1236" t="s">
        <v>1643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>
      <c r="B2172" s="719" t="s">
        <v>2508</v>
      </c>
      <c r="C2172" s="838" t="s">
        <v>3512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1646</v>
      </c>
      <c r="I2172" s="1236" t="s">
        <v>1698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>
      <c r="B2173" s="719" t="s">
        <v>2507</v>
      </c>
      <c r="C2173" s="838" t="s">
        <v>3512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1646</v>
      </c>
      <c r="I2173" s="1236" t="s">
        <v>1698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>
      <c r="B2174" s="719" t="s">
        <v>2506</v>
      </c>
      <c r="C2174" s="838" t="s">
        <v>3512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1646</v>
      </c>
      <c r="I2174" s="1236" t="s">
        <v>2304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>
      <c r="B2175" s="719" t="s">
        <v>2505</v>
      </c>
      <c r="C2175" s="838" t="s">
        <v>3512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>
      <c r="B2176" s="719" t="s">
        <v>2504</v>
      </c>
      <c r="C2176" s="838" t="s">
        <v>3512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1646</v>
      </c>
      <c r="I2176" s="1236" t="s">
        <v>1643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>
      <c r="B2177" s="719" t="s">
        <v>2503</v>
      </c>
      <c r="C2177" s="838" t="s">
        <v>3512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3367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2008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19" t="s">
        <v>2503</v>
      </c>
      <c r="C2178" s="838" t="s">
        <v>3512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1539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19" t="s">
        <v>2502</v>
      </c>
      <c r="C2179" s="838" t="s">
        <v>3512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1646</v>
      </c>
      <c r="I2179" s="1236" t="s">
        <v>2304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>
      <c r="B2180" s="719" t="s">
        <v>2501</v>
      </c>
      <c r="C2180" s="838" t="s">
        <v>3512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2124</v>
      </c>
      <c r="I2180" s="1236" t="s">
        <v>1771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>
      <c r="B2181" s="719" t="s">
        <v>2500</v>
      </c>
      <c r="C2181" s="838" t="s">
        <v>3512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1646</v>
      </c>
      <c r="I2181" s="1236" t="s">
        <v>1695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>
      <c r="B2182" s="719" t="s">
        <v>2499</v>
      </c>
      <c r="C2182" s="838" t="s">
        <v>3512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2124</v>
      </c>
      <c r="I2182" s="1236" t="s">
        <v>2125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>
      <c r="B2183" s="719" t="s">
        <v>2498</v>
      </c>
      <c r="C2183" s="838" t="s">
        <v>3512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2124</v>
      </c>
      <c r="I2183" s="1236" t="s">
        <v>2127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>
      <c r="B2184" s="719" t="s">
        <v>2497</v>
      </c>
      <c r="C2184" s="838" t="s">
        <v>3512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1646</v>
      </c>
      <c r="I2184" s="1236" t="s">
        <v>1695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>
      <c r="B2185" s="719" t="s">
        <v>2496</v>
      </c>
      <c r="C2185" s="838" t="s">
        <v>3512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1646</v>
      </c>
      <c r="I2185" s="1236" t="s">
        <v>1771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>
      <c r="B2186" s="719" t="s">
        <v>2495</v>
      </c>
      <c r="C2186" s="838" t="s">
        <v>3512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1646</v>
      </c>
      <c r="I2186" s="1236" t="s">
        <v>1542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>
      <c r="B2187" s="719" t="s">
        <v>2494</v>
      </c>
      <c r="C2187" s="838" t="s">
        <v>3512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1646</v>
      </c>
      <c r="I2187" s="1236" t="s">
        <v>1542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>
      <c r="B2188" s="719" t="s">
        <v>2493</v>
      </c>
      <c r="C2188" s="838" t="s">
        <v>3512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1646</v>
      </c>
      <c r="I2188" s="1236" t="s">
        <v>1542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>
      <c r="B2189" s="719" t="s">
        <v>2492</v>
      </c>
      <c r="C2189" s="838" t="s">
        <v>3512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1646</v>
      </c>
      <c r="I2189" s="1236" t="s">
        <v>1697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>
      <c r="B2190" s="719" t="s">
        <v>2491</v>
      </c>
      <c r="C2190" s="838" t="s">
        <v>3512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1646</v>
      </c>
      <c r="I2190" s="1236" t="s">
        <v>1643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>
      <c r="B2191" s="719" t="s">
        <v>2490</v>
      </c>
      <c r="C2191" s="838" t="s">
        <v>3512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2124</v>
      </c>
      <c r="I2191" s="1236" t="s">
        <v>2125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>
      <c r="B2192" s="719" t="s">
        <v>2489</v>
      </c>
      <c r="C2192" s="838" t="s">
        <v>3512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2124</v>
      </c>
      <c r="I2192" s="1236" t="s">
        <v>2125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>
      <c r="B2193" s="719" t="s">
        <v>2488</v>
      </c>
      <c r="C2193" s="838" t="s">
        <v>3512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2124</v>
      </c>
      <c r="I2193" s="1236" t="s">
        <v>2125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>
      <c r="B2194" s="719" t="s">
        <v>2487</v>
      </c>
      <c r="C2194" s="838" t="s">
        <v>3512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>
      <c r="B2195" s="719" t="s">
        <v>2486</v>
      </c>
      <c r="C2195" s="838" t="s">
        <v>3512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3367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19" t="s">
        <v>2486</v>
      </c>
      <c r="C2196" s="838" t="s">
        <v>3512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1539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19" t="s">
        <v>2485</v>
      </c>
      <c r="C2197" s="838" t="s">
        <v>3512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1646</v>
      </c>
      <c r="I2197" s="1236" t="s">
        <v>1542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>
      <c r="B2198" s="719" t="s">
        <v>2484</v>
      </c>
      <c r="C2198" s="838" t="s">
        <v>3512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1646</v>
      </c>
      <c r="I2198" s="1236" t="s">
        <v>2274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>
      <c r="B2199" s="719" t="s">
        <v>2483</v>
      </c>
      <c r="C2199" s="838" t="s">
        <v>3512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1646</v>
      </c>
      <c r="I2199" s="1236" t="s">
        <v>1736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>
      <c r="B2200" s="719" t="s">
        <v>2483</v>
      </c>
      <c r="C2200" s="838" t="s">
        <v>3512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1646</v>
      </c>
      <c r="I2200" s="1236" t="s">
        <v>1735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>
      <c r="B2201" s="719" t="s">
        <v>2482</v>
      </c>
      <c r="C2201" s="838" t="s">
        <v>3512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1646</v>
      </c>
      <c r="I2201" s="1236" t="s">
        <v>2274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>
      <c r="B2202" s="719" t="s">
        <v>2481</v>
      </c>
      <c r="C2202" s="838" t="s">
        <v>3512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1646</v>
      </c>
      <c r="I2202" s="1236" t="s">
        <v>1542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>
      <c r="B2203" s="719" t="s">
        <v>2480</v>
      </c>
      <c r="C2203" s="838" t="s">
        <v>3512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1646</v>
      </c>
      <c r="I2203" s="1236" t="s">
        <v>1736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>
      <c r="B2204" s="719" t="s">
        <v>2479</v>
      </c>
      <c r="C2204" s="838" t="s">
        <v>3512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1646</v>
      </c>
      <c r="I2204" s="1236" t="s">
        <v>1736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>
      <c r="B2205" s="719" t="s">
        <v>2478</v>
      </c>
      <c r="C2205" s="838" t="s">
        <v>3512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1646</v>
      </c>
      <c r="I2205" s="1236" t="s">
        <v>1542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>
      <c r="B2206" s="719" t="s">
        <v>2477</v>
      </c>
      <c r="C2206" s="838" t="s">
        <v>3512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1646</v>
      </c>
      <c r="I2206" s="1236" t="s">
        <v>1645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>
      <c r="B2207" s="719" t="s">
        <v>2476</v>
      </c>
      <c r="C2207" s="838" t="s">
        <v>3512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2124</v>
      </c>
      <c r="I2207" s="1236" t="s">
        <v>2125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>
      <c r="B2208" s="719" t="s">
        <v>2475</v>
      </c>
      <c r="C2208" s="838" t="s">
        <v>3512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1646</v>
      </c>
      <c r="I2208" s="1236" t="s">
        <v>1737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>
      <c r="B2209" s="719" t="s">
        <v>2474</v>
      </c>
      <c r="C2209" s="838" t="s">
        <v>3512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1646</v>
      </c>
      <c r="I2209" s="1236" t="s">
        <v>2304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>
      <c r="B2210" s="719" t="s">
        <v>2473</v>
      </c>
      <c r="C2210" s="838" t="s">
        <v>3512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1646</v>
      </c>
      <c r="I2210" s="1236" t="s">
        <v>1697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>
      <c r="B2211" s="719" t="s">
        <v>2472</v>
      </c>
      <c r="C2211" s="838" t="s">
        <v>3512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>
      <c r="B2212" s="719" t="s">
        <v>2471</v>
      </c>
      <c r="C2212" s="838" t="s">
        <v>3512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1646</v>
      </c>
      <c r="I2212" s="1236" t="s">
        <v>1736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>
      <c r="B2213" s="719" t="s">
        <v>2470</v>
      </c>
      <c r="C2213" s="838" t="s">
        <v>3512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1646</v>
      </c>
      <c r="I2213" s="1236" t="s">
        <v>2334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>
      <c r="B2214" s="719" t="s">
        <v>2469</v>
      </c>
      <c r="C2214" s="838" t="s">
        <v>3512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3367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19" t="s">
        <v>2469</v>
      </c>
      <c r="C2215" s="838" t="s">
        <v>3512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1646</v>
      </c>
      <c r="I2215" s="1236" t="s">
        <v>1697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19" t="s">
        <v>2468</v>
      </c>
      <c r="C2216" s="838" t="s">
        <v>3512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1646</v>
      </c>
      <c r="I2216" s="1236" t="s">
        <v>1542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>
      <c r="B2217" s="719" t="s">
        <v>2467</v>
      </c>
      <c r="C2217" s="838" t="s">
        <v>3512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>
      <c r="B2218" s="719" t="s">
        <v>2466</v>
      </c>
      <c r="C2218" s="838" t="s">
        <v>3512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>
      <c r="B2219" s="719" t="s">
        <v>2465</v>
      </c>
      <c r="C2219" s="838" t="s">
        <v>3512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1646</v>
      </c>
      <c r="I2219" s="1236" t="s">
        <v>1542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>
      <c r="B2220" s="719" t="s">
        <v>2464</v>
      </c>
      <c r="C2220" s="838" t="s">
        <v>3512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>
      <c r="B2221" s="719" t="s">
        <v>2463</v>
      </c>
      <c r="C2221" s="838" t="s">
        <v>3512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1646</v>
      </c>
      <c r="I2221" s="1236" t="s">
        <v>1735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>
      <c r="B2222" s="719" t="s">
        <v>2462</v>
      </c>
      <c r="C2222" s="838" t="s">
        <v>3512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1646</v>
      </c>
      <c r="I2222" s="1236" t="s">
        <v>1753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>
      <c r="B2223" s="719" t="s">
        <v>2461</v>
      </c>
      <c r="C2223" s="838" t="s">
        <v>3512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1646</v>
      </c>
      <c r="I2223" s="1236" t="s">
        <v>2304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>
      <c r="B2224" s="719" t="s">
        <v>2460</v>
      </c>
      <c r="C2224" s="838" t="s">
        <v>3512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1646</v>
      </c>
      <c r="I2224" s="1236" t="s">
        <v>1695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>
      <c r="B2225" s="719" t="s">
        <v>2459</v>
      </c>
      <c r="C2225" s="838" t="s">
        <v>3512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1646</v>
      </c>
      <c r="I2225" s="1236" t="s">
        <v>1643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>
      <c r="B2226" s="719" t="s">
        <v>2458</v>
      </c>
      <c r="C2226" s="838" t="s">
        <v>3512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1646</v>
      </c>
      <c r="I2226" s="1236" t="s">
        <v>1736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>
      <c r="B2227" s="719" t="s">
        <v>2457</v>
      </c>
      <c r="C2227" s="838" t="s">
        <v>3512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1646</v>
      </c>
      <c r="I2227" s="1236" t="s">
        <v>1735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>
      <c r="B2228" s="719" t="s">
        <v>2457</v>
      </c>
      <c r="C2228" s="838" t="s">
        <v>3512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2124</v>
      </c>
      <c r="I2228" s="1236" t="s">
        <v>2125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19" t="s">
        <v>2456</v>
      </c>
      <c r="C2229" s="838" t="s">
        <v>3512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1646</v>
      </c>
      <c r="I2229" s="1236" t="s">
        <v>1695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>
      <c r="B2230" s="719" t="s">
        <v>2455</v>
      </c>
      <c r="C2230" s="838" t="s">
        <v>3512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>
      <c r="B2231" s="719" t="s">
        <v>2454</v>
      </c>
      <c r="C2231" s="838" t="s">
        <v>3512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1646</v>
      </c>
      <c r="I2231" s="1236" t="s">
        <v>1735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>
      <c r="B2232" s="719" t="s">
        <v>2453</v>
      </c>
      <c r="C2232" s="838" t="s">
        <v>3512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1646</v>
      </c>
      <c r="I2232" s="1236" t="s">
        <v>1542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>
      <c r="B2233" s="719" t="s">
        <v>2620</v>
      </c>
      <c r="C2233" s="838" t="s">
        <v>3512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1646</v>
      </c>
      <c r="I2233" s="1236" t="s">
        <v>1696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>
      <c r="B2234" s="719" t="s">
        <v>2619</v>
      </c>
      <c r="C2234" s="838" t="s">
        <v>3512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1646</v>
      </c>
      <c r="I2234" s="1236" t="s">
        <v>1695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>
      <c r="B2235" s="719" t="s">
        <v>2618</v>
      </c>
      <c r="C2235" s="838" t="s">
        <v>3512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>
      <c r="B2236" s="719" t="s">
        <v>2617</v>
      </c>
      <c r="C2236" s="838" t="s">
        <v>3512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1646</v>
      </c>
      <c r="I2236" s="1236" t="s">
        <v>1643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>
      <c r="B2237" s="719" t="s">
        <v>2616</v>
      </c>
      <c r="C2237" s="838" t="s">
        <v>3512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1646</v>
      </c>
      <c r="I2237" s="1236" t="s">
        <v>1542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>
      <c r="B2238" s="719" t="s">
        <v>2615</v>
      </c>
      <c r="C2238" s="838" t="s">
        <v>3512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1646</v>
      </c>
      <c r="I2238" s="1236" t="s">
        <v>1542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>
      <c r="B2239" s="719" t="s">
        <v>2614</v>
      </c>
      <c r="C2239" s="838" t="s">
        <v>3512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1646</v>
      </c>
      <c r="I2239" s="1236" t="s">
        <v>1771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>
      <c r="B2240" s="719" t="s">
        <v>2613</v>
      </c>
      <c r="C2240" s="838" t="s">
        <v>3512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1646</v>
      </c>
      <c r="I2240" s="1236" t="s">
        <v>1736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>
      <c r="B2241" s="719" t="s">
        <v>2612</v>
      </c>
      <c r="C2241" s="838" t="s">
        <v>3512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1646</v>
      </c>
      <c r="I2241" s="1236" t="s">
        <v>1542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>
      <c r="B2242" s="719" t="s">
        <v>2611</v>
      </c>
      <c r="C2242" s="838" t="s">
        <v>3512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1646</v>
      </c>
      <c r="I2242" s="1236" t="s">
        <v>2334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>
      <c r="B2243" s="719" t="s">
        <v>2610</v>
      </c>
      <c r="C2243" s="838" t="s">
        <v>3512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1646</v>
      </c>
      <c r="I2243" s="1236" t="s">
        <v>2334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>
      <c r="B2244" s="719" t="s">
        <v>2609</v>
      </c>
      <c r="C2244" s="838" t="s">
        <v>3512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1646</v>
      </c>
      <c r="I2244" s="1236" t="s">
        <v>2534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>
      <c r="B2245" s="719" t="s">
        <v>2608</v>
      </c>
      <c r="C2245" s="838" t="s">
        <v>3512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>
      <c r="B2246" s="719" t="s">
        <v>2607</v>
      </c>
      <c r="C2246" s="838" t="s">
        <v>3512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1646</v>
      </c>
      <c r="I2246" s="1236" t="s">
        <v>1735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>
      <c r="B2247" s="719" t="s">
        <v>2606</v>
      </c>
      <c r="C2247" s="838" t="s">
        <v>3512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1646</v>
      </c>
      <c r="I2247" s="1236" t="s">
        <v>1737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>
      <c r="B2248" s="719" t="s">
        <v>2605</v>
      </c>
      <c r="C2248" s="838" t="s">
        <v>3512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1646</v>
      </c>
      <c r="I2248" s="1236" t="s">
        <v>1542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>
      <c r="B2249" s="719" t="s">
        <v>2604</v>
      </c>
      <c r="C2249" s="838" t="s">
        <v>3512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1646</v>
      </c>
      <c r="I2249" s="1236" t="s">
        <v>1643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>
      <c r="B2250" s="719" t="s">
        <v>2603</v>
      </c>
      <c r="C2250" s="838" t="s">
        <v>3512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1646</v>
      </c>
      <c r="I2250" s="1236" t="s">
        <v>1542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>
      <c r="B2251" s="719" t="s">
        <v>2602</v>
      </c>
      <c r="C2251" s="838" t="s">
        <v>3512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1646</v>
      </c>
      <c r="I2251" s="1236" t="s">
        <v>1697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>
      <c r="B2252" s="719" t="s">
        <v>2601</v>
      </c>
      <c r="C2252" s="838" t="s">
        <v>3512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1646</v>
      </c>
      <c r="I2252" s="1236" t="s">
        <v>1542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>
      <c r="B2253" s="719" t="s">
        <v>2600</v>
      </c>
      <c r="C2253" s="838" t="s">
        <v>3512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1646</v>
      </c>
      <c r="I2253" s="1236" t="s">
        <v>1542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>
      <c r="B2254" s="719" t="s">
        <v>2599</v>
      </c>
      <c r="C2254" s="838" t="s">
        <v>3512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1646</v>
      </c>
      <c r="I2254" s="1236" t="s">
        <v>1736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19" t="s">
        <v>2599</v>
      </c>
      <c r="C2255" s="838" t="s">
        <v>3512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1646</v>
      </c>
      <c r="I2255" s="1236" t="s">
        <v>1735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19" t="s">
        <v>2598</v>
      </c>
      <c r="C2256" s="838" t="s">
        <v>3512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1646</v>
      </c>
      <c r="I2256" s="1236" t="s">
        <v>1542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>
      <c r="B2257" s="719" t="s">
        <v>2597</v>
      </c>
      <c r="C2257" s="838" t="s">
        <v>3512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3367</v>
      </c>
      <c r="I2257" s="1236" t="s">
        <v>1576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>
      <c r="B2258" s="719" t="s">
        <v>2596</v>
      </c>
      <c r="C2258" s="838" t="s">
        <v>3512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1646</v>
      </c>
      <c r="I2258" s="1236" t="s">
        <v>1697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>
      <c r="B2259" s="719" t="s">
        <v>2595</v>
      </c>
      <c r="C2259" s="838" t="s">
        <v>3512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1646</v>
      </c>
      <c r="I2259" s="1236" t="s">
        <v>1735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19" t="s">
        <v>2595</v>
      </c>
      <c r="C2260" s="838" t="s">
        <v>3512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1646</v>
      </c>
      <c r="I2260" s="1236" t="s">
        <v>2304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19" t="s">
        <v>2594</v>
      </c>
      <c r="C2261" s="838" t="s">
        <v>3512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3367</v>
      </c>
      <c r="I2261" s="1236" t="s">
        <v>1576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>
      <c r="B2262" s="719" t="s">
        <v>2593</v>
      </c>
      <c r="C2262" s="838" t="s">
        <v>3512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1646</v>
      </c>
      <c r="I2262" s="1236" t="s">
        <v>1695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>
      <c r="B2263" s="719" t="s">
        <v>2592</v>
      </c>
      <c r="C2263" s="838" t="s">
        <v>3512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>
      <c r="B2264" s="719" t="s">
        <v>2591</v>
      </c>
      <c r="C2264" s="838" t="s">
        <v>3512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3367</v>
      </c>
      <c r="I2264" s="1236" t="s">
        <v>1576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>
      <c r="B2265" s="719" t="s">
        <v>2590</v>
      </c>
      <c r="C2265" s="838" t="s">
        <v>3512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1646</v>
      </c>
      <c r="I2265" s="1236" t="s">
        <v>1736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>
      <c r="B2266" s="719" t="s">
        <v>2589</v>
      </c>
      <c r="C2266" s="838" t="s">
        <v>3512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1646</v>
      </c>
      <c r="I2266" s="1236" t="s">
        <v>1695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>
      <c r="B2267" s="719" t="s">
        <v>2588</v>
      </c>
      <c r="C2267" s="838" t="s">
        <v>3512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1646</v>
      </c>
      <c r="I2267" s="1236" t="s">
        <v>1542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>
      <c r="B2268" s="719" t="s">
        <v>2587</v>
      </c>
      <c r="C2268" s="838" t="s">
        <v>3512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1646</v>
      </c>
      <c r="I2268" s="1236" t="s">
        <v>1542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>
      <c r="B2269" s="719" t="s">
        <v>2587</v>
      </c>
      <c r="C2269" s="838" t="s">
        <v>3512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1646</v>
      </c>
      <c r="I2269" s="1236" t="s">
        <v>2335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>
      <c r="B2270" s="719" t="s">
        <v>2586</v>
      </c>
      <c r="C2270" s="838" t="s">
        <v>3512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1646</v>
      </c>
      <c r="I2270" s="1236" t="s">
        <v>1645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>
      <c r="B2271" s="719" t="s">
        <v>2585</v>
      </c>
      <c r="C2271" s="838" t="s">
        <v>3512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1646</v>
      </c>
      <c r="I2271" s="1236" t="s">
        <v>1737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>
      <c r="B2272" s="719" t="s">
        <v>2584</v>
      </c>
      <c r="C2272" s="838" t="s">
        <v>3512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1646</v>
      </c>
      <c r="I2272" s="1236" t="s">
        <v>1542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>
      <c r="B2273" s="719" t="s">
        <v>2583</v>
      </c>
      <c r="C2273" s="838" t="s">
        <v>3512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1646</v>
      </c>
      <c r="I2273" s="1236" t="s">
        <v>1695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>
      <c r="B2274" s="719" t="s">
        <v>2582</v>
      </c>
      <c r="C2274" s="838" t="s">
        <v>3512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1646</v>
      </c>
      <c r="I2274" s="1236" t="s">
        <v>1645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>
      <c r="B2275" s="719" t="s">
        <v>2581</v>
      </c>
      <c r="C2275" s="838" t="s">
        <v>3512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1646</v>
      </c>
      <c r="I2275" s="1236" t="s">
        <v>2304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>
      <c r="B2276" s="719" t="s">
        <v>2580</v>
      </c>
      <c r="C2276" s="838" t="s">
        <v>3512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1646</v>
      </c>
      <c r="I2276" s="1236" t="s">
        <v>1645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>
      <c r="B2277" s="719" t="s">
        <v>2579</v>
      </c>
      <c r="C2277" s="838" t="s">
        <v>3512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1646</v>
      </c>
      <c r="I2277" s="1236" t="s">
        <v>1542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>
      <c r="B2278" s="719" t="s">
        <v>2578</v>
      </c>
      <c r="C2278" s="838" t="s">
        <v>3512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1646</v>
      </c>
      <c r="I2278" s="1236" t="s">
        <v>2304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>
      <c r="B2279" s="719" t="s">
        <v>2577</v>
      </c>
      <c r="C2279" s="838" t="s">
        <v>3512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>
      <c r="B2280" s="719" t="s">
        <v>2576</v>
      </c>
      <c r="C2280" s="838" t="s">
        <v>3512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1646</v>
      </c>
      <c r="I2280" s="1236" t="s">
        <v>1736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>
      <c r="B2281" s="719" t="s">
        <v>2575</v>
      </c>
      <c r="C2281" s="838" t="s">
        <v>3512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1646</v>
      </c>
      <c r="I2281" s="1236" t="s">
        <v>1695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>
      <c r="B2282" s="719" t="s">
        <v>2574</v>
      </c>
      <c r="C2282" s="838" t="s">
        <v>3512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1646</v>
      </c>
      <c r="I2282" s="1236" t="s">
        <v>1696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>
      <c r="B2283" s="719" t="s">
        <v>2573</v>
      </c>
      <c r="C2283" s="838" t="s">
        <v>3512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>
      <c r="B2284" s="719" t="s">
        <v>2572</v>
      </c>
      <c r="C2284" s="838" t="s">
        <v>3512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1646</v>
      </c>
      <c r="I2284" s="1236" t="s">
        <v>2334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>
      <c r="B2285" s="719" t="s">
        <v>2571</v>
      </c>
      <c r="C2285" s="838" t="s">
        <v>3512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1646</v>
      </c>
      <c r="I2285" s="1236" t="s">
        <v>1771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>
      <c r="B2286" s="719" t="s">
        <v>2570</v>
      </c>
      <c r="C2286" s="838" t="s">
        <v>3512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1646</v>
      </c>
      <c r="I2286" s="1236" t="s">
        <v>2304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>
      <c r="B2287" s="719" t="s">
        <v>2569</v>
      </c>
      <c r="C2287" s="838" t="s">
        <v>3512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1646</v>
      </c>
      <c r="I2287" s="1236" t="s">
        <v>1542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>
      <c r="B2288" s="719" t="s">
        <v>2568</v>
      </c>
      <c r="C2288" s="838" t="s">
        <v>3512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1646</v>
      </c>
      <c r="I2288" s="1236" t="s">
        <v>2335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>
      <c r="B2289" s="719" t="s">
        <v>2567</v>
      </c>
      <c r="C2289" s="838" t="s">
        <v>3512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>
      <c r="B2290" s="719" t="s">
        <v>2566</v>
      </c>
      <c r="C2290" s="838" t="s">
        <v>3512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1646</v>
      </c>
      <c r="I2290" s="1236" t="s">
        <v>2534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>
      <c r="B2291" s="719" t="s">
        <v>2565</v>
      </c>
      <c r="C2291" s="838" t="s">
        <v>3512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1646</v>
      </c>
      <c r="I2291" s="1236" t="s">
        <v>1643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>
      <c r="B2292" s="719" t="s">
        <v>2564</v>
      </c>
      <c r="C2292" s="838" t="s">
        <v>3512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1646</v>
      </c>
      <c r="I2292" s="1236" t="s">
        <v>1735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>
      <c r="B2293" s="719" t="s">
        <v>2563</v>
      </c>
      <c r="C2293" s="838" t="s">
        <v>3512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1646</v>
      </c>
      <c r="I2293" s="1236" t="s">
        <v>1697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>
      <c r="B2294" s="719" t="s">
        <v>2562</v>
      </c>
      <c r="C2294" s="838" t="s">
        <v>3512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1646</v>
      </c>
      <c r="I2294" s="1236" t="s">
        <v>1697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>
      <c r="B2295" s="719" t="s">
        <v>2561</v>
      </c>
      <c r="C2295" s="838" t="s">
        <v>3512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1646</v>
      </c>
      <c r="I2295" s="1236" t="s">
        <v>2274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>
      <c r="B2296" s="719" t="s">
        <v>2560</v>
      </c>
      <c r="C2296" s="838" t="s">
        <v>3512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1646</v>
      </c>
      <c r="I2296" s="1236" t="s">
        <v>1542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>
      <c r="B2297" s="719" t="s">
        <v>2559</v>
      </c>
      <c r="C2297" s="838" t="s">
        <v>3512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1646</v>
      </c>
      <c r="I2297" s="1236" t="s">
        <v>2304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>
      <c r="B2298" s="719" t="s">
        <v>2558</v>
      </c>
      <c r="C2298" s="838" t="s">
        <v>3512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>
      <c r="B2299" s="719" t="s">
        <v>2557</v>
      </c>
      <c r="C2299" s="838" t="s">
        <v>3512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1646</v>
      </c>
      <c r="I2299" s="1236" t="s">
        <v>2304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>
      <c r="B2300" s="719" t="s">
        <v>2556</v>
      </c>
      <c r="C2300" s="838" t="s">
        <v>3512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1646</v>
      </c>
      <c r="I2300" s="1236" t="s">
        <v>1736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>
      <c r="B2301" s="720" t="s">
        <v>2640</v>
      </c>
      <c r="C2301" s="838" t="s">
        <v>3512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2124</v>
      </c>
      <c r="I2301" s="1237" t="s">
        <v>1771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>
      <c r="B2302" s="720" t="s">
        <v>2640</v>
      </c>
      <c r="C2302" s="838" t="s">
        <v>3512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2124</v>
      </c>
      <c r="I2302" s="1237" t="s">
        <v>1771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>
      <c r="B2303" s="720" t="s">
        <v>2642</v>
      </c>
      <c r="C2303" s="838" t="s">
        <v>3512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2124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>
      <c r="B2304" s="720" t="s">
        <v>2639</v>
      </c>
      <c r="C2304" s="838" t="s">
        <v>3512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2124</v>
      </c>
      <c r="I2304" s="1237" t="s">
        <v>2125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>
      <c r="B2305" s="720" t="s">
        <v>2638</v>
      </c>
      <c r="C2305" s="838" t="s">
        <v>3512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2124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>
      <c r="B2306" s="720" t="s">
        <v>2637</v>
      </c>
      <c r="C2306" s="838" t="s">
        <v>3512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1646</v>
      </c>
      <c r="I2306" s="1237" t="s">
        <v>1645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>
      <c r="B2307" s="720" t="s">
        <v>2637</v>
      </c>
      <c r="C2307" s="838" t="s">
        <v>3512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0" t="s">
        <v>2636</v>
      </c>
      <c r="C2308" s="838" t="s">
        <v>3512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2124</v>
      </c>
      <c r="I2308" s="1237" t="s">
        <v>2125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>
      <c r="B2309" s="720" t="s">
        <v>2635</v>
      </c>
      <c r="C2309" s="838" t="s">
        <v>3512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2124</v>
      </c>
      <c r="I2309" s="1237" t="s">
        <v>1771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>
      <c r="B2310" s="720" t="s">
        <v>2633</v>
      </c>
      <c r="C2310" s="838" t="s">
        <v>3512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2124</v>
      </c>
      <c r="I2310" s="1237" t="s">
        <v>2125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>
      <c r="B2311" s="720" t="s">
        <v>2634</v>
      </c>
      <c r="C2311" s="838" t="s">
        <v>3512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2124</v>
      </c>
      <c r="I2311" s="1237" t="s">
        <v>2641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>
      <c r="B2312" s="720" t="s">
        <v>2632</v>
      </c>
      <c r="C2312" s="838" t="s">
        <v>3512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1646</v>
      </c>
      <c r="I2312" s="1237" t="s">
        <v>1695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>
      <c r="B2313" s="720" t="s">
        <v>2631</v>
      </c>
      <c r="C2313" s="838" t="s">
        <v>3512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2124</v>
      </c>
      <c r="I2313" s="1237" t="s">
        <v>2125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>
      <c r="B2314" s="720" t="s">
        <v>2630</v>
      </c>
      <c r="C2314" s="838" t="s">
        <v>3512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1820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>
      <c r="B2315" s="720" t="s">
        <v>2629</v>
      </c>
      <c r="C2315" s="838" t="s">
        <v>3512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2124</v>
      </c>
      <c r="I2315" s="1237" t="s">
        <v>2641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>
      <c r="B2316" s="720" t="s">
        <v>2628</v>
      </c>
      <c r="C2316" s="838" t="s">
        <v>3512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1646</v>
      </c>
      <c r="I2316" s="1237" t="s">
        <v>2274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>
      <c r="B2317" s="720" t="s">
        <v>2627</v>
      </c>
      <c r="C2317" s="838" t="s">
        <v>3512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3367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>
      <c r="B2318" s="720" t="s">
        <v>2626</v>
      </c>
      <c r="C2318" s="838" t="s">
        <v>3512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1646</v>
      </c>
      <c r="I2318" s="1237" t="s">
        <v>1542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>
      <c r="B2319" s="720" t="s">
        <v>2625</v>
      </c>
      <c r="C2319" s="838" t="s">
        <v>3512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2124</v>
      </c>
      <c r="I2319" s="1237" t="s">
        <v>2125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>
      <c r="B2320" s="721" t="s">
        <v>2691</v>
      </c>
      <c r="C2320" s="838" t="s">
        <v>3512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2124</v>
      </c>
      <c r="I2320" s="1238" t="s">
        <v>2127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>
      <c r="B2321" s="721" t="s">
        <v>2690</v>
      </c>
      <c r="C2321" s="838" t="s">
        <v>3512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2124</v>
      </c>
      <c r="I2321" s="1237" t="s">
        <v>1771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>
      <c r="B2322" s="721" t="s">
        <v>2689</v>
      </c>
      <c r="C2322" s="838" t="s">
        <v>3512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2124</v>
      </c>
      <c r="I2322" s="1237" t="s">
        <v>1771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>
      <c r="B2323" s="721" t="s">
        <v>2688</v>
      </c>
      <c r="C2323" s="838" t="s">
        <v>3512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2124</v>
      </c>
      <c r="I2323" s="1237" t="s">
        <v>2125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>
      <c r="B2324" s="721" t="s">
        <v>2687</v>
      </c>
      <c r="C2324" s="838" t="s">
        <v>3512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1646</v>
      </c>
      <c r="I2324" s="1238" t="s">
        <v>2534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>
      <c r="B2325" s="721" t="s">
        <v>2686</v>
      </c>
      <c r="C2325" s="838" t="s">
        <v>3512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1646</v>
      </c>
      <c r="I2325" s="1238" t="s">
        <v>1542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>
      <c r="B2326" s="721" t="s">
        <v>2685</v>
      </c>
      <c r="C2326" s="838" t="s">
        <v>3512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1646</v>
      </c>
      <c r="I2326" s="1238" t="s">
        <v>1643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>
      <c r="B2327" s="721" t="s">
        <v>2684</v>
      </c>
      <c r="C2327" s="838" t="s">
        <v>3512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1646</v>
      </c>
      <c r="I2327" s="1238" t="s">
        <v>2304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>
      <c r="B2328" s="721" t="s">
        <v>2683</v>
      </c>
      <c r="C2328" s="838" t="s">
        <v>3512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2692</v>
      </c>
      <c r="I2328" s="1238" t="s">
        <v>1539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>
      <c r="B2329" s="721" t="s">
        <v>2682</v>
      </c>
      <c r="C2329" s="838" t="s">
        <v>3512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2692</v>
      </c>
      <c r="I2329" s="1238" t="s">
        <v>1539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>
      <c r="B2330" s="721" t="s">
        <v>2681</v>
      </c>
      <c r="C2330" s="838" t="s">
        <v>3512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2692</v>
      </c>
      <c r="I2330" s="1238" t="s">
        <v>1539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>
      <c r="B2331" s="721" t="s">
        <v>2680</v>
      </c>
      <c r="C2331" s="838" t="s">
        <v>3512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2692</v>
      </c>
      <c r="I2331" s="1238" t="s">
        <v>1539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1" t="s">
        <v>2680</v>
      </c>
      <c r="C2332" s="838" t="s">
        <v>3512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2124</v>
      </c>
      <c r="I2332" s="1238" t="s">
        <v>2125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1" t="s">
        <v>2679</v>
      </c>
      <c r="C2333" s="838" t="s">
        <v>3512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2692</v>
      </c>
      <c r="I2333" s="1238" t="s">
        <v>2693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>
      <c r="B2334" s="722" t="s">
        <v>2789</v>
      </c>
      <c r="C2334" s="838" t="s">
        <v>3512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2124</v>
      </c>
      <c r="I2334" s="1239" t="s">
        <v>2125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>
      <c r="B2335" s="722" t="s">
        <v>2782</v>
      </c>
      <c r="C2335" s="838" t="s">
        <v>3512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1646</v>
      </c>
      <c r="I2335" s="1239" t="s">
        <v>1542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>
      <c r="B2336" s="722" t="s">
        <v>2781</v>
      </c>
      <c r="C2336" s="838" t="s">
        <v>3512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1646</v>
      </c>
      <c r="I2336" s="1239" t="s">
        <v>1542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>
      <c r="B2337" s="722" t="s">
        <v>2780</v>
      </c>
      <c r="C2337" s="838" t="s">
        <v>3512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2124</v>
      </c>
      <c r="I2337" s="1239" t="s">
        <v>2125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>
      <c r="B2338" s="722" t="s">
        <v>2779</v>
      </c>
      <c r="C2338" s="838" t="s">
        <v>3512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2692</v>
      </c>
      <c r="I2338" s="1238" t="s">
        <v>1539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>
      <c r="B2339" s="722" t="s">
        <v>2778</v>
      </c>
      <c r="C2339" s="838" t="s">
        <v>3512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2124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>
      <c r="B2340" s="722" t="s">
        <v>2777</v>
      </c>
      <c r="C2340" s="838" t="s">
        <v>3512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2124</v>
      </c>
      <c r="I2340" s="1239" t="s">
        <v>1771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>
      <c r="B2341" s="722" t="s">
        <v>2776</v>
      </c>
      <c r="C2341" s="838" t="s">
        <v>3512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2124</v>
      </c>
      <c r="I2341" s="1239" t="s">
        <v>1771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>
      <c r="B2342" s="722" t="s">
        <v>2775</v>
      </c>
      <c r="C2342" s="838" t="s">
        <v>3512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2124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>
      <c r="B2343" s="722" t="s">
        <v>2774</v>
      </c>
      <c r="C2343" s="838" t="s">
        <v>3512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2124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>
      <c r="B2344" s="722" t="s">
        <v>2773</v>
      </c>
      <c r="C2344" s="838" t="s">
        <v>3512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2692</v>
      </c>
      <c r="I2344" s="1239" t="s">
        <v>2783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>
      <c r="B2345" s="722" t="s">
        <v>2772</v>
      </c>
      <c r="C2345" s="838" t="s">
        <v>3512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2692</v>
      </c>
      <c r="I2345" s="1239" t="s">
        <v>2783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>
      <c r="B2346" s="722" t="s">
        <v>2771</v>
      </c>
      <c r="C2346" s="838" t="s">
        <v>3512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2124</v>
      </c>
      <c r="I2346" s="1239" t="s">
        <v>1771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>
      <c r="B2347" s="722" t="s">
        <v>2770</v>
      </c>
      <c r="C2347" s="838" t="s">
        <v>3512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2692</v>
      </c>
      <c r="I2347" s="1238" t="s">
        <v>1539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>
      <c r="B2348" s="722" t="s">
        <v>2769</v>
      </c>
      <c r="C2348" s="838" t="s">
        <v>3512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2692</v>
      </c>
      <c r="I2348" s="1239" t="s">
        <v>2784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>
      <c r="B2349" s="722" t="s">
        <v>2768</v>
      </c>
      <c r="C2349" s="838" t="s">
        <v>3512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2692</v>
      </c>
      <c r="I2349" s="1239" t="s">
        <v>2786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>
      <c r="B2350" s="722" t="s">
        <v>2767</v>
      </c>
      <c r="C2350" s="838" t="s">
        <v>3512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2692</v>
      </c>
      <c r="I2350" s="1239" t="s">
        <v>2785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>
      <c r="B2351" s="722" t="s">
        <v>2766</v>
      </c>
      <c r="C2351" s="838" t="s">
        <v>3512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2124</v>
      </c>
      <c r="I2351" s="1239" t="s">
        <v>1771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>
      <c r="B2352" s="722" t="s">
        <v>2765</v>
      </c>
      <c r="C2352" s="838" t="s">
        <v>3512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>
      <c r="B2353" s="722" t="s">
        <v>2764</v>
      </c>
      <c r="C2353" s="838" t="s">
        <v>3512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2124</v>
      </c>
      <c r="I2353" s="1239" t="s">
        <v>1771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>
      <c r="B2354" s="722" t="s">
        <v>2763</v>
      </c>
      <c r="C2354" s="838" t="s">
        <v>3512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2692</v>
      </c>
      <c r="I2354" s="1239" t="s">
        <v>2786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>
      <c r="B2355" s="722" t="s">
        <v>2762</v>
      </c>
      <c r="C2355" s="838" t="s">
        <v>3512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2124</v>
      </c>
      <c r="I2355" s="1239" t="s">
        <v>1771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>
      <c r="B2356" s="722" t="s">
        <v>2761</v>
      </c>
      <c r="C2356" s="838" t="s">
        <v>3512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2692</v>
      </c>
      <c r="I2356" s="1238" t="s">
        <v>1539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2" t="s">
        <v>2761</v>
      </c>
      <c r="C2357" s="838" t="s">
        <v>3512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1646</v>
      </c>
      <c r="I2357" s="1239" t="s">
        <v>1736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2" t="s">
        <v>2760</v>
      </c>
      <c r="C2358" s="838" t="s">
        <v>3512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>
      <c r="B2359" s="722" t="s">
        <v>2759</v>
      </c>
      <c r="C2359" s="838" t="s">
        <v>3512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2124</v>
      </c>
      <c r="I2359" s="1239" t="s">
        <v>2127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>
      <c r="B2360" s="722" t="s">
        <v>2758</v>
      </c>
      <c r="C2360" s="838" t="s">
        <v>3512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2692</v>
      </c>
      <c r="I2360" s="1239" t="s">
        <v>2693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2" t="s">
        <v>2758</v>
      </c>
      <c r="C2361" s="838" t="s">
        <v>3512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2692</v>
      </c>
      <c r="I2361" s="1239" t="s">
        <v>1539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2" t="s">
        <v>2757</v>
      </c>
      <c r="C2362" s="838" t="s">
        <v>3512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1646</v>
      </c>
      <c r="I2362" s="1239" t="s">
        <v>1542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>
      <c r="B2363" s="722" t="s">
        <v>2756</v>
      </c>
      <c r="C2363" s="838" t="s">
        <v>3512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2124</v>
      </c>
      <c r="I2363" s="1239" t="s">
        <v>1771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>
      <c r="B2364" s="722" t="s">
        <v>2755</v>
      </c>
      <c r="C2364" s="838" t="s">
        <v>3512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2124</v>
      </c>
      <c r="I2364" s="1239" t="s">
        <v>1771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>
      <c r="B2365" s="722" t="s">
        <v>2754</v>
      </c>
      <c r="C2365" s="838" t="s">
        <v>3512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2008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>
      <c r="B2366" s="722" t="s">
        <v>2754</v>
      </c>
      <c r="C2366" s="838" t="s">
        <v>3512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2124</v>
      </c>
      <c r="I2366" s="1239" t="s">
        <v>2127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>
      <c r="B2367" s="722" t="s">
        <v>2753</v>
      </c>
      <c r="C2367" s="838" t="s">
        <v>3512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1646</v>
      </c>
      <c r="I2367" s="1239" t="s">
        <v>1542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>
      <c r="B2368" s="722" t="s">
        <v>2752</v>
      </c>
      <c r="C2368" s="838" t="s">
        <v>3512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2124</v>
      </c>
      <c r="I2368" s="1239" t="s">
        <v>2784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>
      <c r="B2369" s="722" t="s">
        <v>2751</v>
      </c>
      <c r="C2369" s="838" t="s">
        <v>3512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1646</v>
      </c>
      <c r="I2369" s="1239" t="s">
        <v>1736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>
      <c r="B2370" s="722" t="s">
        <v>2750</v>
      </c>
      <c r="C2370" s="838" t="s">
        <v>3512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1646</v>
      </c>
      <c r="I2370" s="1239" t="s">
        <v>1645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>
      <c r="B2371" s="722" t="s">
        <v>1925</v>
      </c>
      <c r="C2371" s="838" t="s">
        <v>3512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2124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>
      <c r="B2372" s="722" t="s">
        <v>2749</v>
      </c>
      <c r="C2372" s="838" t="s">
        <v>3512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2124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>
      <c r="B2373" s="722" t="s">
        <v>2748</v>
      </c>
      <c r="C2373" s="838" t="s">
        <v>3512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2692</v>
      </c>
      <c r="I2373" s="1239" t="s">
        <v>2125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>
      <c r="B2374" s="722" t="s">
        <v>2747</v>
      </c>
      <c r="C2374" s="838" t="s">
        <v>3512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2692</v>
      </c>
      <c r="I2374" s="1239" t="s">
        <v>1539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>
      <c r="B2375" s="722" t="s">
        <v>2746</v>
      </c>
      <c r="C2375" s="838" t="s">
        <v>3512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2692</v>
      </c>
      <c r="I2375" s="1239" t="s">
        <v>1539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>
      <c r="B2376" s="722" t="s">
        <v>2745</v>
      </c>
      <c r="C2376" s="838" t="s">
        <v>3512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2124</v>
      </c>
      <c r="I2376" s="1239" t="s">
        <v>2125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>
      <c r="B2377" s="722" t="s">
        <v>2744</v>
      </c>
      <c r="C2377" s="838" t="s">
        <v>3512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3367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2787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>
      <c r="B2378" s="722" t="s">
        <v>2743</v>
      </c>
      <c r="C2378" s="838" t="s">
        <v>3512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>
      <c r="B2379" s="723" t="s">
        <v>2836</v>
      </c>
      <c r="C2379" s="838" t="s">
        <v>3512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2124</v>
      </c>
      <c r="I2379" s="1239" t="s">
        <v>2125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>
      <c r="B2380" s="723" t="s">
        <v>2835</v>
      </c>
      <c r="C2380" s="838" t="s">
        <v>3512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1646</v>
      </c>
      <c r="I2380" s="1240" t="s">
        <v>1753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>
      <c r="B2381" s="723" t="s">
        <v>2834</v>
      </c>
      <c r="C2381" s="838" t="s">
        <v>3512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2124</v>
      </c>
      <c r="I2381" s="1239" t="s">
        <v>2125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>
      <c r="B2382" s="723" t="s">
        <v>2833</v>
      </c>
      <c r="C2382" s="838" t="s">
        <v>3512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2124</v>
      </c>
      <c r="I2382" s="1240" t="s">
        <v>1771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>
      <c r="B2383" s="723" t="s">
        <v>2832</v>
      </c>
      <c r="C2383" s="838" t="s">
        <v>3512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2124</v>
      </c>
      <c r="I2383" s="1240" t="s">
        <v>1771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>
      <c r="B2384" s="723" t="s">
        <v>2831</v>
      </c>
      <c r="C2384" s="838" t="s">
        <v>3512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>
      <c r="B2385" s="723" t="s">
        <v>2830</v>
      </c>
      <c r="C2385" s="838" t="s">
        <v>3512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2124</v>
      </c>
      <c r="I2385" s="1240" t="s">
        <v>1771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>
      <c r="B2386" s="723" t="s">
        <v>2829</v>
      </c>
      <c r="C2386" s="838" t="s">
        <v>3512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1646</v>
      </c>
      <c r="I2386" s="1239" t="s">
        <v>1542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>
      <c r="B2387" s="723" t="s">
        <v>2828</v>
      </c>
      <c r="C2387" s="838" t="s">
        <v>3512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1646</v>
      </c>
      <c r="I2387" s="1239" t="s">
        <v>1542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>
      <c r="B2388" s="723" t="s">
        <v>2827</v>
      </c>
      <c r="C2388" s="838" t="s">
        <v>3512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1646</v>
      </c>
      <c r="I2388" s="1240" t="s">
        <v>2335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>
      <c r="B2389" s="723" t="s">
        <v>2826</v>
      </c>
      <c r="C2389" s="838" t="s">
        <v>3512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2124</v>
      </c>
      <c r="I2389" s="1240" t="s">
        <v>1771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>
      <c r="B2390" s="723" t="s">
        <v>2825</v>
      </c>
      <c r="C2390" s="838" t="s">
        <v>3512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>
      <c r="B2391" s="723" t="s">
        <v>2824</v>
      </c>
      <c r="C2391" s="838" t="s">
        <v>3512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3367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>
      <c r="B2392" s="723" t="s">
        <v>2823</v>
      </c>
      <c r="C2392" s="838" t="s">
        <v>3512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1646</v>
      </c>
      <c r="I2392" s="1240" t="s">
        <v>1695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>
      <c r="B2393" s="723" t="s">
        <v>2822</v>
      </c>
      <c r="C2393" s="838" t="s">
        <v>3512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3367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>
      <c r="B2394" s="723" t="s">
        <v>2821</v>
      </c>
      <c r="C2394" s="838" t="s">
        <v>3512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>
      <c r="B2395" s="723" t="s">
        <v>2820</v>
      </c>
      <c r="C2395" s="838" t="s">
        <v>3512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1646</v>
      </c>
      <c r="I2395" s="1240" t="s">
        <v>1643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>
      <c r="B2396" s="723" t="s">
        <v>2819</v>
      </c>
      <c r="C2396" s="838" t="s">
        <v>3512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1646</v>
      </c>
      <c r="I2396" s="1240" t="s">
        <v>1695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>
      <c r="B2397" s="723" t="s">
        <v>2818</v>
      </c>
      <c r="C2397" s="838" t="s">
        <v>3512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2124</v>
      </c>
      <c r="I2397" s="1239" t="s">
        <v>2125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>
      <c r="B2398" s="723" t="s">
        <v>2817</v>
      </c>
      <c r="C2398" s="838" t="s">
        <v>3512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>
      <c r="B2399" s="723" t="s">
        <v>2816</v>
      </c>
      <c r="C2399" s="838" t="s">
        <v>3512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2124</v>
      </c>
      <c r="I2399" s="1239" t="s">
        <v>2125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>
      <c r="B2400" s="723" t="s">
        <v>2815</v>
      </c>
      <c r="C2400" s="838" t="s">
        <v>3512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2124</v>
      </c>
      <c r="I2400" s="1240" t="s">
        <v>1771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>
      <c r="B2401" s="723" t="s">
        <v>2849</v>
      </c>
      <c r="C2401" s="838" t="s">
        <v>3512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>
      <c r="B2402" s="723" t="s">
        <v>2848</v>
      </c>
      <c r="C2402" s="838" t="s">
        <v>3512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1646</v>
      </c>
      <c r="I2402" s="1240" t="s">
        <v>1753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>
      <c r="B2403" s="723" t="s">
        <v>2847</v>
      </c>
      <c r="C2403" s="838" t="s">
        <v>3512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1646</v>
      </c>
      <c r="I2403" s="1240" t="s">
        <v>2304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>
      <c r="B2404" s="723" t="s">
        <v>2846</v>
      </c>
      <c r="C2404" s="838" t="s">
        <v>3512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1646</v>
      </c>
      <c r="I2404" s="1240" t="s">
        <v>2274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>
      <c r="B2405" s="723" t="s">
        <v>2845</v>
      </c>
      <c r="C2405" s="838" t="s">
        <v>3512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1646</v>
      </c>
      <c r="I2405" s="1240" t="s">
        <v>1542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>
      <c r="B2406" s="723" t="s">
        <v>2844</v>
      </c>
      <c r="C2406" s="838" t="s">
        <v>3512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1646</v>
      </c>
      <c r="I2406" s="1240" t="s">
        <v>2274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>
      <c r="B2407" s="723" t="s">
        <v>2843</v>
      </c>
      <c r="C2407" s="838" t="s">
        <v>3512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1646</v>
      </c>
      <c r="I2407" s="1240" t="s">
        <v>1542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>
      <c r="B2408" s="723" t="s">
        <v>2842</v>
      </c>
      <c r="C2408" s="838" t="s">
        <v>3512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1646</v>
      </c>
      <c r="I2408" s="1240" t="s">
        <v>1736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>
      <c r="B2409" s="723" t="s">
        <v>2841</v>
      </c>
      <c r="C2409" s="838" t="s">
        <v>3512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1646</v>
      </c>
      <c r="I2409" s="1240" t="s">
        <v>1643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>
      <c r="B2410" s="723" t="s">
        <v>2840</v>
      </c>
      <c r="C2410" s="838" t="s">
        <v>3512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3367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2128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>
      <c r="B2411" s="723" t="s">
        <v>2839</v>
      </c>
      <c r="C2411" s="838" t="s">
        <v>3512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2850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>
      <c r="B2412" s="723" t="s">
        <v>2838</v>
      </c>
      <c r="C2412" s="838" t="s">
        <v>3512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1646</v>
      </c>
      <c r="I2412" s="1240" t="s">
        <v>2851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>
      <c r="B2413" s="723" t="s">
        <v>2837</v>
      </c>
      <c r="C2413" s="838" t="s">
        <v>3512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3367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3634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>
      <c r="B2414" s="723" t="s">
        <v>2915</v>
      </c>
      <c r="C2414" s="838" t="s">
        <v>3512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1646</v>
      </c>
      <c r="I2414" s="1240" t="s">
        <v>1736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>
      <c r="B2415" s="723" t="s">
        <v>2914</v>
      </c>
      <c r="C2415" s="838" t="s">
        <v>3512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1646</v>
      </c>
      <c r="I2415" s="1240" t="s">
        <v>1696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>
      <c r="B2416" s="723" t="s">
        <v>2913</v>
      </c>
      <c r="C2416" s="838" t="s">
        <v>3512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1646</v>
      </c>
      <c r="I2416" s="1433" t="s">
        <v>4684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>
      <c r="B2417" s="723" t="s">
        <v>2912</v>
      </c>
      <c r="C2417" s="838" t="s">
        <v>3512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1646</v>
      </c>
      <c r="I2417" s="1240" t="s">
        <v>2917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>
      <c r="B2418" s="723" t="s">
        <v>2911</v>
      </c>
      <c r="C2418" s="838" t="s">
        <v>3512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1646</v>
      </c>
      <c r="I2418" s="1240" t="s">
        <v>1542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>
      <c r="B2419" s="723" t="s">
        <v>2910</v>
      </c>
      <c r="C2419" s="838" t="s">
        <v>3512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1646</v>
      </c>
      <c r="I2419" s="1240" t="s">
        <v>1695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3" t="s">
        <v>2910</v>
      </c>
      <c r="C2420" s="838" t="s">
        <v>3512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1646</v>
      </c>
      <c r="I2420" s="1240" t="s">
        <v>2917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3" t="s">
        <v>2909</v>
      </c>
      <c r="C2421" s="838" t="s">
        <v>3512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1646</v>
      </c>
      <c r="I2421" s="1240" t="s">
        <v>1542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>
      <c r="B2422" s="723" t="s">
        <v>2908</v>
      </c>
      <c r="C2422" s="838" t="s">
        <v>3512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1646</v>
      </c>
      <c r="I2422" s="1240" t="s">
        <v>2304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>
      <c r="B2423" s="723" t="s">
        <v>2907</v>
      </c>
      <c r="C2423" s="838" t="s">
        <v>3512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1646</v>
      </c>
      <c r="I2423" s="1240" t="s">
        <v>2851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>
      <c r="B2424" s="723" t="s">
        <v>2906</v>
      </c>
      <c r="C2424" s="838" t="s">
        <v>3512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>
      <c r="B2425" s="723" t="s">
        <v>2905</v>
      </c>
      <c r="C2425" s="838" t="s">
        <v>3512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1646</v>
      </c>
      <c r="I2425" s="1240" t="s">
        <v>2304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>
      <c r="B2426" s="723" t="s">
        <v>2904</v>
      </c>
      <c r="C2426" s="838" t="s">
        <v>3512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1646</v>
      </c>
      <c r="I2426" s="1240" t="s">
        <v>2304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>
      <c r="B2427" s="723" t="s">
        <v>2903</v>
      </c>
      <c r="C2427" s="838" t="s">
        <v>3512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1646</v>
      </c>
      <c r="I2427" s="1240" t="s">
        <v>1753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>
      <c r="B2428" s="723" t="s">
        <v>2902</v>
      </c>
      <c r="C2428" s="838" t="s">
        <v>3512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1646</v>
      </c>
      <c r="I2428" s="1240" t="s">
        <v>1542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>
      <c r="B2429" s="723" t="s">
        <v>2901</v>
      </c>
      <c r="C2429" s="838" t="s">
        <v>3512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1646</v>
      </c>
      <c r="I2429" s="1240" t="s">
        <v>1643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>
      <c r="B2430" s="723" t="s">
        <v>2900</v>
      </c>
      <c r="C2430" s="838" t="s">
        <v>3512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1646</v>
      </c>
      <c r="I2430" s="1240" t="s">
        <v>1542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>
      <c r="B2431" s="723" t="s">
        <v>2899</v>
      </c>
      <c r="C2431" s="838" t="s">
        <v>3512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1646</v>
      </c>
      <c r="I2431" s="1240" t="s">
        <v>1542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>
      <c r="B2432" s="723" t="s">
        <v>2898</v>
      </c>
      <c r="C2432" s="838" t="s">
        <v>3512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1646</v>
      </c>
      <c r="I2432" s="1240" t="s">
        <v>1771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>
      <c r="B2433" s="723" t="s">
        <v>2897</v>
      </c>
      <c r="C2433" s="838" t="s">
        <v>3512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1646</v>
      </c>
      <c r="I2433" s="1240" t="s">
        <v>1695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>
      <c r="B2434" s="723" t="s">
        <v>2896</v>
      </c>
      <c r="C2434" s="838" t="s">
        <v>3512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1646</v>
      </c>
      <c r="I2434" s="1240" t="s">
        <v>1736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>
      <c r="B2435" s="723" t="s">
        <v>2895</v>
      </c>
      <c r="C2435" s="838" t="s">
        <v>3512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1646</v>
      </c>
      <c r="I2435" s="1240" t="s">
        <v>1736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>
      <c r="B2436" s="723" t="s">
        <v>2894</v>
      </c>
      <c r="C2436" s="838" t="s">
        <v>3512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1820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>
      <c r="B2437" s="723" t="s">
        <v>2893</v>
      </c>
      <c r="C2437" s="838" t="s">
        <v>3512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1646</v>
      </c>
      <c r="I2437" s="1240" t="s">
        <v>2334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>
      <c r="B2438" s="723" t="s">
        <v>2892</v>
      </c>
      <c r="C2438" s="838" t="s">
        <v>3512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1646</v>
      </c>
      <c r="I2438" s="1433" t="s">
        <v>4684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>
      <c r="B2439" s="723" t="s">
        <v>2891</v>
      </c>
      <c r="C2439" s="838" t="s">
        <v>3512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1646</v>
      </c>
      <c r="I2439" s="1240" t="s">
        <v>2851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>
      <c r="B2440" s="723" t="s">
        <v>2890</v>
      </c>
      <c r="C2440" s="838" t="s">
        <v>3512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1646</v>
      </c>
      <c r="I2440" s="1240" t="s">
        <v>2851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>
      <c r="B2441" s="723" t="s">
        <v>1567</v>
      </c>
      <c r="C2441" s="838" t="s">
        <v>3512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>
      <c r="B2442" s="723" t="s">
        <v>1566</v>
      </c>
      <c r="C2442" s="838" t="s">
        <v>3512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3" t="s">
        <v>1566</v>
      </c>
      <c r="C2443" s="838" t="s">
        <v>3512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1539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3" t="s">
        <v>2889</v>
      </c>
      <c r="C2444" s="838" t="s">
        <v>3512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1646</v>
      </c>
      <c r="I2444" s="1240" t="s">
        <v>1542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>
      <c r="B2445" s="723" t="s">
        <v>2888</v>
      </c>
      <c r="C2445" s="838" t="s">
        <v>3512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>
      <c r="B2446" s="723" t="s">
        <v>2887</v>
      </c>
      <c r="C2446" s="838" t="s">
        <v>3512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1646</v>
      </c>
      <c r="I2446" s="1240" t="s">
        <v>2334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>
      <c r="B2447" s="723" t="s">
        <v>2886</v>
      </c>
      <c r="C2447" s="838" t="s">
        <v>3512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1646</v>
      </c>
      <c r="I2447" s="1240" t="s">
        <v>1542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>
      <c r="B2448" s="723" t="s">
        <v>2885</v>
      </c>
      <c r="C2448" s="838" t="s">
        <v>3512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>
      <c r="B2449" s="723" t="s">
        <v>2884</v>
      </c>
      <c r="C2449" s="838" t="s">
        <v>3512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1646</v>
      </c>
      <c r="I2449" s="1240" t="s">
        <v>1695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>
      <c r="B2450" s="723" t="s">
        <v>2883</v>
      </c>
      <c r="C2450" s="838" t="s">
        <v>3512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1646</v>
      </c>
      <c r="I2450" s="1240" t="s">
        <v>2918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>
      <c r="B2451" s="723" t="s">
        <v>2882</v>
      </c>
      <c r="C2451" s="838" t="s">
        <v>3512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1646</v>
      </c>
      <c r="I2451" s="1240" t="s">
        <v>1695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>
      <c r="B2452" s="723" t="s">
        <v>2881</v>
      </c>
      <c r="C2452" s="838" t="s">
        <v>3512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1646</v>
      </c>
      <c r="I2452" s="1240" t="s">
        <v>2304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>
      <c r="B2453" s="723" t="s">
        <v>2880</v>
      </c>
      <c r="C2453" s="838" t="s">
        <v>3512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>
      <c r="B2454" s="723" t="s">
        <v>2880</v>
      </c>
      <c r="C2454" s="838" t="s">
        <v>3512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1646</v>
      </c>
      <c r="I2454" s="1240" t="s">
        <v>2851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>
      <c r="B2455" s="723" t="s">
        <v>2879</v>
      </c>
      <c r="C2455" s="838" t="s">
        <v>3512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1646</v>
      </c>
      <c r="I2455" s="1240" t="s">
        <v>1697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>
      <c r="B2456" s="723" t="s">
        <v>2878</v>
      </c>
      <c r="C2456" s="838" t="s">
        <v>3512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1646</v>
      </c>
      <c r="I2456" s="1240" t="s">
        <v>2917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>
      <c r="B2457" s="723" t="s">
        <v>2877</v>
      </c>
      <c r="C2457" s="838" t="s">
        <v>3512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1646</v>
      </c>
      <c r="I2457" s="1240" t="s">
        <v>2918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>
      <c r="B2458" s="723" t="s">
        <v>2876</v>
      </c>
      <c r="C2458" s="838" t="s">
        <v>3512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1646</v>
      </c>
      <c r="I2458" s="1240" t="s">
        <v>1735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>
      <c r="B2459" s="723" t="s">
        <v>2875</v>
      </c>
      <c r="C2459" s="838" t="s">
        <v>3512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1646</v>
      </c>
      <c r="I2459" s="1433" t="s">
        <v>4684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>
      <c r="B2460" s="723" t="s">
        <v>2874</v>
      </c>
      <c r="C2460" s="838" t="s">
        <v>3512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1646</v>
      </c>
      <c r="I2460" s="1240" t="s">
        <v>1643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>
      <c r="B2461" s="723" t="s">
        <v>2873</v>
      </c>
      <c r="C2461" s="838" t="s">
        <v>3512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1646</v>
      </c>
      <c r="I2461" s="1240" t="s">
        <v>1696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>
      <c r="B2462" s="723" t="s">
        <v>2872</v>
      </c>
      <c r="C2462" s="838" t="s">
        <v>3512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3367</v>
      </c>
      <c r="I2462" s="1240" t="s">
        <v>1576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1359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>
      <c r="B2463" s="723" t="s">
        <v>2871</v>
      </c>
      <c r="C2463" s="838" t="s">
        <v>3512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>
      <c r="B2464" s="723" t="s">
        <v>2870</v>
      </c>
      <c r="C2464" s="838" t="s">
        <v>3512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1646</v>
      </c>
      <c r="I2464" s="1240" t="s">
        <v>1695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>
      <c r="B2465" s="723" t="s">
        <v>2869</v>
      </c>
      <c r="C2465" s="838" t="s">
        <v>3512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2921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>
      <c r="B2466" s="723" t="s">
        <v>2868</v>
      </c>
      <c r="C2466" s="838" t="s">
        <v>3512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1576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1359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>
      <c r="B2467" s="723" t="s">
        <v>2867</v>
      </c>
      <c r="C2467" s="838" t="s">
        <v>3512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4318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1359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>
      <c r="B2468" s="723" t="s">
        <v>2866</v>
      </c>
      <c r="C2468" s="838" t="s">
        <v>3512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>
      <c r="B2469" s="723" t="s">
        <v>2865</v>
      </c>
      <c r="C2469" s="838" t="s">
        <v>3512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1646</v>
      </c>
      <c r="I2469" s="1240" t="s">
        <v>1695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>
      <c r="B2470" s="723" t="s">
        <v>2864</v>
      </c>
      <c r="C2470" s="838" t="s">
        <v>3512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1646</v>
      </c>
      <c r="I2470" s="1240" t="s">
        <v>1542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>
      <c r="B2471" s="723" t="s">
        <v>2863</v>
      </c>
      <c r="C2471" s="838" t="s">
        <v>3512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>
      <c r="B2472" s="723" t="s">
        <v>2862</v>
      </c>
      <c r="C2472" s="838" t="s">
        <v>3512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1646</v>
      </c>
      <c r="I2472" s="1240" t="s">
        <v>1771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>
      <c r="B2473" s="723" t="s">
        <v>2860</v>
      </c>
      <c r="C2473" s="838" t="s">
        <v>3512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1646</v>
      </c>
      <c r="I2473" s="1240" t="s">
        <v>1735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>
      <c r="B2474" s="723" t="s">
        <v>2861</v>
      </c>
      <c r="C2474" s="838" t="s">
        <v>3512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1646</v>
      </c>
      <c r="I2474" s="1240" t="s">
        <v>2851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>
      <c r="B2475" s="723" t="s">
        <v>2859</v>
      </c>
      <c r="C2475" s="838" t="s">
        <v>3512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1646</v>
      </c>
      <c r="I2475" s="1240" t="s">
        <v>1542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>
      <c r="B2476" s="723" t="s">
        <v>2859</v>
      </c>
      <c r="C2476" s="838" t="s">
        <v>3512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1646</v>
      </c>
      <c r="I2476" s="1240" t="s">
        <v>1696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>
      <c r="B2477" s="723" t="s">
        <v>2858</v>
      </c>
      <c r="C2477" s="838" t="s">
        <v>3512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1820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>
      <c r="B2478" s="723" t="s">
        <v>2857</v>
      </c>
      <c r="C2478" s="838" t="s">
        <v>3512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1646</v>
      </c>
      <c r="I2478" s="1240" t="s">
        <v>1542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>
      <c r="B2479" s="723" t="s">
        <v>2986</v>
      </c>
      <c r="C2479" s="838" t="s">
        <v>3512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1646</v>
      </c>
      <c r="I2479" s="1240" t="s">
        <v>1643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>
      <c r="B2480" s="723" t="s">
        <v>2985</v>
      </c>
      <c r="C2480" s="838" t="s">
        <v>3512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1646</v>
      </c>
      <c r="I2480" s="1240" t="s">
        <v>2334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>
      <c r="B2481" s="723" t="s">
        <v>2984</v>
      </c>
      <c r="C2481" s="838" t="s">
        <v>3512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1646</v>
      </c>
      <c r="I2481" s="1240" t="s">
        <v>1542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>
      <c r="B2482" s="723" t="s">
        <v>2983</v>
      </c>
      <c r="C2482" s="838" t="s">
        <v>3512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1646</v>
      </c>
      <c r="I2482" s="1240" t="s">
        <v>2274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>
      <c r="B2483" s="723" t="s">
        <v>2982</v>
      </c>
      <c r="C2483" s="838" t="s">
        <v>3512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1646</v>
      </c>
      <c r="I2483" s="1240" t="s">
        <v>2917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>
      <c r="B2484" s="723" t="s">
        <v>2981</v>
      </c>
      <c r="C2484" s="838" t="s">
        <v>3512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1646</v>
      </c>
      <c r="I2484" s="1240" t="s">
        <v>1542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>
      <c r="B2485" s="723" t="s">
        <v>2980</v>
      </c>
      <c r="C2485" s="838" t="s">
        <v>3512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1646</v>
      </c>
      <c r="I2485" s="1240" t="s">
        <v>2851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>
      <c r="B2486" s="723" t="s">
        <v>2979</v>
      </c>
      <c r="C2486" s="838" t="s">
        <v>3512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1646</v>
      </c>
      <c r="I2486" s="1240" t="s">
        <v>1645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>
      <c r="B2487" s="723" t="s">
        <v>2978</v>
      </c>
      <c r="C2487" s="838" t="s">
        <v>3512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1646</v>
      </c>
      <c r="I2487" s="1240" t="s">
        <v>1542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>
      <c r="B2488" s="723" t="s">
        <v>2977</v>
      </c>
      <c r="C2488" s="838" t="s">
        <v>3512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1646</v>
      </c>
      <c r="I2488" s="1240" t="s">
        <v>2851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>
      <c r="B2489" s="723" t="s">
        <v>2976</v>
      </c>
      <c r="C2489" s="838" t="s">
        <v>3512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1646</v>
      </c>
      <c r="I2489" s="1240" t="s">
        <v>1645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>
      <c r="B2490" s="723" t="s">
        <v>2975</v>
      </c>
      <c r="C2490" s="838" t="s">
        <v>3512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1646</v>
      </c>
      <c r="I2490" s="1240" t="s">
        <v>1771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>
      <c r="B2491" s="723" t="s">
        <v>2974</v>
      </c>
      <c r="C2491" s="838" t="s">
        <v>3512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1646</v>
      </c>
      <c r="I2491" s="1240" t="s">
        <v>1542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>
      <c r="B2492" s="723" t="s">
        <v>2973</v>
      </c>
      <c r="C2492" s="838" t="s">
        <v>3512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1646</v>
      </c>
      <c r="I2492" s="1240" t="s">
        <v>1542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>
      <c r="B2493" s="723" t="s">
        <v>2972</v>
      </c>
      <c r="C2493" s="838" t="s">
        <v>3512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1646</v>
      </c>
      <c r="I2493" s="1240" t="s">
        <v>1542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>
      <c r="B2494" s="723" t="s">
        <v>2971</v>
      </c>
      <c r="C2494" s="838" t="s">
        <v>3512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1646</v>
      </c>
      <c r="I2494" s="1240" t="s">
        <v>1645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>
      <c r="B2495" s="723" t="s">
        <v>2970</v>
      </c>
      <c r="C2495" s="838" t="s">
        <v>3512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1646</v>
      </c>
      <c r="I2495" s="1240" t="s">
        <v>1697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>
      <c r="B2496" s="723" t="s">
        <v>2969</v>
      </c>
      <c r="C2496" s="838" t="s">
        <v>3512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1646</v>
      </c>
      <c r="I2496" s="1240" t="s">
        <v>1542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>
      <c r="B2497" s="723" t="s">
        <v>2968</v>
      </c>
      <c r="C2497" s="838" t="s">
        <v>3512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1646</v>
      </c>
      <c r="I2497" s="1240" t="s">
        <v>2851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>
      <c r="B2498" s="723" t="s">
        <v>2967</v>
      </c>
      <c r="C2498" s="838" t="s">
        <v>3512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1646</v>
      </c>
      <c r="I2498" s="1240" t="s">
        <v>1542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>
      <c r="B2499" s="723" t="s">
        <v>2966</v>
      </c>
      <c r="C2499" s="838" t="s">
        <v>3512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>
      <c r="B2500" s="723" t="s">
        <v>2965</v>
      </c>
      <c r="C2500" s="838" t="s">
        <v>3512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1646</v>
      </c>
      <c r="I2500" s="1240" t="s">
        <v>1643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>
      <c r="B2501" s="723" t="s">
        <v>2964</v>
      </c>
      <c r="C2501" s="838" t="s">
        <v>3512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1646</v>
      </c>
      <c r="I2501" s="1240" t="s">
        <v>1643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>
      <c r="B2502" s="723" t="s">
        <v>2963</v>
      </c>
      <c r="C2502" s="838" t="s">
        <v>3512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1646</v>
      </c>
      <c r="I2502" s="1240" t="s">
        <v>1643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>
      <c r="B2503" s="723" t="s">
        <v>2962</v>
      </c>
      <c r="C2503" s="838" t="s">
        <v>3512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1646</v>
      </c>
      <c r="I2503" s="1240" t="s">
        <v>1645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>
      <c r="B2504" s="723" t="s">
        <v>2961</v>
      </c>
      <c r="C2504" s="838" t="s">
        <v>3512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>
      <c r="B2505" s="723" t="s">
        <v>2961</v>
      </c>
      <c r="C2505" s="838" t="s">
        <v>3512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1646</v>
      </c>
      <c r="I2505" s="1240" t="s">
        <v>1645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>
      <c r="B2506" s="723" t="s">
        <v>2960</v>
      </c>
      <c r="C2506" s="838" t="s">
        <v>3512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1646</v>
      </c>
      <c r="I2506" s="1240" t="s">
        <v>2918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>
      <c r="B2507" s="723" t="s">
        <v>2959</v>
      </c>
      <c r="C2507" s="838" t="s">
        <v>3512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1646</v>
      </c>
      <c r="I2507" s="1240" t="s">
        <v>2335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>
      <c r="B2508" s="723" t="s">
        <v>2958</v>
      </c>
      <c r="C2508" s="838" t="s">
        <v>3512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1646</v>
      </c>
      <c r="I2508" s="1240" t="s">
        <v>1542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>
      <c r="B2509" s="723" t="s">
        <v>2957</v>
      </c>
      <c r="C2509" s="838" t="s">
        <v>3512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1646</v>
      </c>
      <c r="I2509" s="1240" t="s">
        <v>1542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>
      <c r="B2510" s="723" t="s">
        <v>2956</v>
      </c>
      <c r="C2510" s="838" t="s">
        <v>3512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1646</v>
      </c>
      <c r="I2510" s="1433" t="s">
        <v>4684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>
      <c r="B2511" s="723" t="s">
        <v>2955</v>
      </c>
      <c r="C2511" s="838" t="s">
        <v>3512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1646</v>
      </c>
      <c r="I2511" s="1240" t="s">
        <v>1696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>
      <c r="B2512" s="723" t="s">
        <v>2954</v>
      </c>
      <c r="C2512" s="838" t="s">
        <v>3512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1646</v>
      </c>
      <c r="I2512" s="1240" t="s">
        <v>1753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>
      <c r="B2513" s="723" t="s">
        <v>2953</v>
      </c>
      <c r="C2513" s="838" t="s">
        <v>3512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1820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>
      <c r="B2514" s="723" t="s">
        <v>2952</v>
      </c>
      <c r="C2514" s="838" t="s">
        <v>3512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1646</v>
      </c>
      <c r="I2514" s="1240" t="s">
        <v>2304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>
      <c r="B2515" s="723" t="s">
        <v>2951</v>
      </c>
      <c r="C2515" s="838" t="s">
        <v>3512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1646</v>
      </c>
      <c r="I2515" s="1240" t="s">
        <v>1736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3" t="s">
        <v>2951</v>
      </c>
      <c r="C2516" s="838" t="s">
        <v>3512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1646</v>
      </c>
      <c r="I2516" s="1240" t="s">
        <v>2304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3" t="s">
        <v>2950</v>
      </c>
      <c r="C2517" s="838" t="s">
        <v>3512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3367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1213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>
      <c r="B2518" s="723" t="s">
        <v>2949</v>
      </c>
      <c r="C2518" s="838" t="s">
        <v>3512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1646</v>
      </c>
      <c r="I2518" s="1240" t="s">
        <v>1736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>
      <c r="B2519" s="723" t="s">
        <v>2948</v>
      </c>
      <c r="C2519" s="838" t="s">
        <v>3512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1646</v>
      </c>
      <c r="I2519" s="1433" t="s">
        <v>4684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>
      <c r="B2520" s="723" t="s">
        <v>2947</v>
      </c>
      <c r="C2520" s="838" t="s">
        <v>3512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1646</v>
      </c>
      <c r="I2520" s="1240" t="s">
        <v>1771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>
      <c r="B2521" s="723" t="s">
        <v>2946</v>
      </c>
      <c r="C2521" s="838" t="s">
        <v>3512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1646</v>
      </c>
      <c r="I2521" s="1240" t="s">
        <v>1643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>
      <c r="B2522" s="723" t="s">
        <v>2945</v>
      </c>
      <c r="C2522" s="838" t="s">
        <v>3512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>
      <c r="B2523" s="723" t="s">
        <v>2944</v>
      </c>
      <c r="C2523" s="838" t="s">
        <v>3512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1646</v>
      </c>
      <c r="I2523" s="1240" t="s">
        <v>1542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>
      <c r="B2524" s="723" t="s">
        <v>2943</v>
      </c>
      <c r="C2524" s="838" t="s">
        <v>3512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1646</v>
      </c>
      <c r="I2524" s="1433" t="s">
        <v>4684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>
      <c r="B2525" s="723" t="s">
        <v>2942</v>
      </c>
      <c r="C2525" s="838" t="s">
        <v>3512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>
      <c r="B2526" s="723" t="s">
        <v>2941</v>
      </c>
      <c r="C2526" s="838" t="s">
        <v>3512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1646</v>
      </c>
      <c r="I2526" s="1240" t="s">
        <v>2917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>
      <c r="B2527" s="723" t="s">
        <v>2940</v>
      </c>
      <c r="C2527" s="838" t="s">
        <v>3512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1646</v>
      </c>
      <c r="I2527" s="1240" t="s">
        <v>2304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>
      <c r="B2528" s="723" t="s">
        <v>2939</v>
      </c>
      <c r="C2528" s="838" t="s">
        <v>3512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1646</v>
      </c>
      <c r="I2528" s="1240" t="s">
        <v>1542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>
      <c r="B2529" s="723" t="s">
        <v>2938</v>
      </c>
      <c r="C2529" s="838" t="s">
        <v>3512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1646</v>
      </c>
      <c r="I2529" s="1240" t="s">
        <v>2917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>
      <c r="B2530" s="723" t="s">
        <v>2937</v>
      </c>
      <c r="C2530" s="838" t="s">
        <v>3512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3367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1359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>
      <c r="B2531" s="723" t="s">
        <v>2936</v>
      </c>
      <c r="C2531" s="838" t="s">
        <v>3512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1646</v>
      </c>
      <c r="I2531" s="1240" t="s">
        <v>1542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>
      <c r="B2532" s="723" t="s">
        <v>2935</v>
      </c>
      <c r="C2532" s="838" t="s">
        <v>3512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1646</v>
      </c>
      <c r="I2532" s="1240" t="s">
        <v>1697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>
      <c r="B2533" s="723" t="s">
        <v>2934</v>
      </c>
      <c r="C2533" s="838" t="s">
        <v>3512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1646</v>
      </c>
      <c r="I2533" s="1240" t="s">
        <v>2304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>
      <c r="B2534" s="723" t="s">
        <v>2933</v>
      </c>
      <c r="C2534" s="838" t="s">
        <v>3512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1646</v>
      </c>
      <c r="I2534" s="1240" t="s">
        <v>2851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>
      <c r="B2535" s="723" t="s">
        <v>2932</v>
      </c>
      <c r="C2535" s="838" t="s">
        <v>3512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1646</v>
      </c>
      <c r="I2535" s="1240" t="s">
        <v>2334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>
      <c r="B2536" s="723" t="s">
        <v>2931</v>
      </c>
      <c r="C2536" s="838" t="s">
        <v>3512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1646</v>
      </c>
      <c r="I2536" s="1240" t="s">
        <v>2851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>
      <c r="B2537" s="723" t="s">
        <v>2930</v>
      </c>
      <c r="C2537" s="838" t="s">
        <v>3512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>
      <c r="B2538" s="724" t="s">
        <v>3022</v>
      </c>
      <c r="C2538" s="838" t="s">
        <v>3512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1646</v>
      </c>
      <c r="I2538" s="1240" t="s">
        <v>1542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>
      <c r="B2539" s="724" t="s">
        <v>3021</v>
      </c>
      <c r="C2539" s="838" t="s">
        <v>3512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1646</v>
      </c>
      <c r="I2539" s="1240" t="s">
        <v>2304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>
      <c r="B2540" s="724" t="s">
        <v>3020</v>
      </c>
      <c r="C2540" s="838" t="s">
        <v>3512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1646</v>
      </c>
      <c r="I2540" s="1240" t="s">
        <v>1542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>
      <c r="B2541" s="724" t="s">
        <v>3019</v>
      </c>
      <c r="C2541" s="838" t="s">
        <v>3512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1646</v>
      </c>
      <c r="I2541" s="1240" t="s">
        <v>1542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>
      <c r="B2542" s="724" t="s">
        <v>3018</v>
      </c>
      <c r="C2542" s="838" t="s">
        <v>3512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1646</v>
      </c>
      <c r="I2542" s="1240" t="s">
        <v>1542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>
      <c r="B2543" s="724" t="s">
        <v>3017</v>
      </c>
      <c r="C2543" s="838" t="s">
        <v>3512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2008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>
      <c r="B2544" s="724" t="s">
        <v>3016</v>
      </c>
      <c r="C2544" s="838" t="s">
        <v>3512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1646</v>
      </c>
      <c r="I2544" s="1240" t="s">
        <v>2304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>
      <c r="B2545" s="724" t="s">
        <v>3015</v>
      </c>
      <c r="C2545" s="838" t="s">
        <v>3512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3023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>
      <c r="B2546" s="724" t="s">
        <v>3014</v>
      </c>
      <c r="C2546" s="838" t="s">
        <v>3512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1646</v>
      </c>
      <c r="I2546" s="1240" t="s">
        <v>1542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>
      <c r="B2547" s="724" t="s">
        <v>3013</v>
      </c>
      <c r="C2547" s="838" t="s">
        <v>3512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1646</v>
      </c>
      <c r="I2547" s="1241" t="s">
        <v>2851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>
      <c r="B2548" s="724" t="s">
        <v>3012</v>
      </c>
      <c r="C2548" s="838" t="s">
        <v>3512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1646</v>
      </c>
      <c r="I2548" s="1241" t="s">
        <v>1695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>
      <c r="B2549" s="724" t="s">
        <v>3011</v>
      </c>
      <c r="C2549" s="838" t="s">
        <v>3512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1646</v>
      </c>
      <c r="I2549" s="1241" t="s">
        <v>1737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>
      <c r="B2550" s="724" t="s">
        <v>3010</v>
      </c>
      <c r="C2550" s="838" t="s">
        <v>3512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1820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>
      <c r="B2551" s="724" t="s">
        <v>3009</v>
      </c>
      <c r="C2551" s="838" t="s">
        <v>3512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1820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>
      <c r="B2552" s="724" t="s">
        <v>3008</v>
      </c>
      <c r="C2552" s="838" t="s">
        <v>3512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1646</v>
      </c>
      <c r="I2552" s="1241" t="s">
        <v>1736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>
      <c r="B2553" s="724" t="s">
        <v>3007</v>
      </c>
      <c r="C2553" s="838" t="s">
        <v>3512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1646</v>
      </c>
      <c r="I2553" s="1241" t="s">
        <v>2917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>
      <c r="B2554" s="724" t="s">
        <v>3006</v>
      </c>
      <c r="C2554" s="838" t="s">
        <v>3512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1646</v>
      </c>
      <c r="I2554" s="1241" t="s">
        <v>2917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>
      <c r="B2555" s="725" t="s">
        <v>3031</v>
      </c>
      <c r="C2555" s="838" t="s">
        <v>3512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1820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>
      <c r="B2556" s="725" t="s">
        <v>3030</v>
      </c>
      <c r="C2556" s="838" t="s">
        <v>3512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1820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>
      <c r="B2557" s="725" t="s">
        <v>3029</v>
      </c>
      <c r="C2557" s="838" t="s">
        <v>3512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1820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>
      <c r="B2558" s="725" t="s">
        <v>3028</v>
      </c>
      <c r="C2558" s="838" t="s">
        <v>3512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2787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>
      <c r="B2559" s="725" t="s">
        <v>3027</v>
      </c>
      <c r="C2559" s="838" t="s">
        <v>3512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3367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2787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>
      <c r="B2560" s="726" t="s">
        <v>3035</v>
      </c>
      <c r="C2560" s="838" t="s">
        <v>3512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3367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2787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>
      <c r="B2561" s="726" t="s">
        <v>3034</v>
      </c>
      <c r="C2561" s="838" t="s">
        <v>3512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3367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2787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>
      <c r="B2562" s="727" t="s">
        <v>3049</v>
      </c>
      <c r="C2562" s="838" t="s">
        <v>3512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1646</v>
      </c>
      <c r="I2562" s="1243" t="s">
        <v>2918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>
      <c r="B2563" s="727" t="s">
        <v>3048</v>
      </c>
      <c r="C2563" s="838" t="s">
        <v>3512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1646</v>
      </c>
      <c r="I2563" s="1240" t="s">
        <v>1542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>
      <c r="B2564" s="727" t="s">
        <v>3047</v>
      </c>
      <c r="C2564" s="838" t="s">
        <v>3512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1646</v>
      </c>
      <c r="I2564" s="1243" t="s">
        <v>1643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>
      <c r="B2565" s="727" t="s">
        <v>3046</v>
      </c>
      <c r="C2565" s="838" t="s">
        <v>3512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1646</v>
      </c>
      <c r="I2565" s="1240" t="s">
        <v>1542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>
      <c r="B2566" s="727" t="s">
        <v>3045</v>
      </c>
      <c r="C2566" s="838" t="s">
        <v>3512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1646</v>
      </c>
      <c r="I2566" s="1243" t="s">
        <v>2851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>
      <c r="B2567" s="727" t="s">
        <v>3044</v>
      </c>
      <c r="C2567" s="838" t="s">
        <v>3512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1646</v>
      </c>
      <c r="I2567" s="1243" t="s">
        <v>1695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>
      <c r="B2568" s="727" t="s">
        <v>3043</v>
      </c>
      <c r="C2568" s="838" t="s">
        <v>3512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1646</v>
      </c>
      <c r="I2568" s="1243" t="s">
        <v>1695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>
      <c r="B2569" s="727" t="s">
        <v>3042</v>
      </c>
      <c r="C2569" s="838" t="s">
        <v>3512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1646</v>
      </c>
      <c r="I2569" s="1243" t="s">
        <v>1735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>
      <c r="B2570" s="727" t="s">
        <v>3087</v>
      </c>
      <c r="C2570" s="838" t="s">
        <v>3512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1646</v>
      </c>
      <c r="I2570" s="1243" t="s">
        <v>2851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>
      <c r="B2571" s="727" t="s">
        <v>3086</v>
      </c>
      <c r="C2571" s="838" t="s">
        <v>3512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1646</v>
      </c>
      <c r="I2571" s="1243" t="s">
        <v>1695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>
      <c r="B2572" s="727" t="s">
        <v>3085</v>
      </c>
      <c r="C2572" s="838" t="s">
        <v>3512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1646</v>
      </c>
      <c r="I2572" s="1240" t="s">
        <v>1542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>
      <c r="B2573" s="727" t="s">
        <v>3084</v>
      </c>
      <c r="C2573" s="838" t="s">
        <v>3512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1646</v>
      </c>
      <c r="I2573" s="1243" t="s">
        <v>2918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>
      <c r="B2574" s="727" t="s">
        <v>3083</v>
      </c>
      <c r="C2574" s="838" t="s">
        <v>3512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1646</v>
      </c>
      <c r="I2574" s="1240" t="s">
        <v>1542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>
      <c r="B2575" s="727" t="s">
        <v>3082</v>
      </c>
      <c r="C2575" s="838" t="s">
        <v>3512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1646</v>
      </c>
      <c r="I2575" s="1243" t="s">
        <v>2918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>
      <c r="B2576" s="727" t="s">
        <v>3081</v>
      </c>
      <c r="C2576" s="838" t="s">
        <v>3512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1646</v>
      </c>
      <c r="I2576" s="1240" t="s">
        <v>1542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>
      <c r="B2577" s="727" t="s">
        <v>3080</v>
      </c>
      <c r="C2577" s="838" t="s">
        <v>3512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1646</v>
      </c>
      <c r="I2577" s="1243" t="s">
        <v>2851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>
      <c r="B2578" s="727" t="s">
        <v>3079</v>
      </c>
      <c r="C2578" s="838" t="s">
        <v>3512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1646</v>
      </c>
      <c r="I2578" s="1243" t="s">
        <v>1736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>
      <c r="B2579" s="727" t="s">
        <v>3078</v>
      </c>
      <c r="C2579" s="838" t="s">
        <v>3512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1646</v>
      </c>
      <c r="I2579" s="1243" t="s">
        <v>2918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>
      <c r="B2580" s="727" t="s">
        <v>3077</v>
      </c>
      <c r="C2580" s="838" t="s">
        <v>3512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1646</v>
      </c>
      <c r="I2580" s="1243" t="s">
        <v>2918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>
      <c r="B2581" s="727" t="s">
        <v>3076</v>
      </c>
      <c r="C2581" s="838" t="s">
        <v>3512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1646</v>
      </c>
      <c r="I2581" s="1243" t="s">
        <v>2304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>
      <c r="B2582" s="727" t="s">
        <v>3075</v>
      </c>
      <c r="C2582" s="838" t="s">
        <v>3512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3367</v>
      </c>
      <c r="I2582" s="1243" t="s">
        <v>1576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2008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>
      <c r="B2583" s="727" t="s">
        <v>3074</v>
      </c>
      <c r="C2583" s="838" t="s">
        <v>3512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1646</v>
      </c>
      <c r="I2583" s="1243" t="s">
        <v>1736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>
      <c r="B2584" s="727" t="s">
        <v>3073</v>
      </c>
      <c r="C2584" s="838" t="s">
        <v>3512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1646</v>
      </c>
      <c r="I2584" s="1240" t="s">
        <v>1542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>
      <c r="B2585" s="727" t="s">
        <v>3072</v>
      </c>
      <c r="C2585" s="838" t="s">
        <v>3512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1646</v>
      </c>
      <c r="I2585" s="1243" t="s">
        <v>2274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>
      <c r="B2586" s="727" t="s">
        <v>3071</v>
      </c>
      <c r="C2586" s="838" t="s">
        <v>3512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1646</v>
      </c>
      <c r="I2586" s="1243" t="s">
        <v>2851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>
      <c r="B2587" s="727" t="s">
        <v>3070</v>
      </c>
      <c r="C2587" s="838" t="s">
        <v>3512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1646</v>
      </c>
      <c r="I2587" s="1240" t="s">
        <v>1542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>
      <c r="B2588" s="727" t="s">
        <v>3069</v>
      </c>
      <c r="C2588" s="838" t="s">
        <v>3512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1646</v>
      </c>
      <c r="I2588" s="1243" t="s">
        <v>2851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>
      <c r="B2589" s="727" t="s">
        <v>3068</v>
      </c>
      <c r="C2589" s="838" t="s">
        <v>3512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3367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1359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7" t="s">
        <v>3068</v>
      </c>
      <c r="C2590" s="838" t="s">
        <v>3512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1646</v>
      </c>
      <c r="I2590" s="1243" t="s">
        <v>1697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7" t="s">
        <v>3067</v>
      </c>
      <c r="C2591" s="838" t="s">
        <v>3512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3367</v>
      </c>
      <c r="I2591" s="1243" t="s">
        <v>1576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1359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>
      <c r="B2592" s="727" t="s">
        <v>3066</v>
      </c>
      <c r="C2592" s="838" t="s">
        <v>3512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1646</v>
      </c>
      <c r="I2592" s="1243" t="s">
        <v>1735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>
      <c r="B2593" s="727" t="s">
        <v>3065</v>
      </c>
      <c r="C2593" s="838" t="s">
        <v>3512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1646</v>
      </c>
      <c r="I2593" s="1433" t="s">
        <v>4684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>
      <c r="B2594" s="727" t="s">
        <v>3064</v>
      </c>
      <c r="C2594" s="838" t="s">
        <v>3512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1646</v>
      </c>
      <c r="I2594" s="1243" t="s">
        <v>2851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>
      <c r="B2595" s="727" t="s">
        <v>3062</v>
      </c>
      <c r="C2595" s="838" t="s">
        <v>3512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1646</v>
      </c>
      <c r="I2595" s="1240" t="s">
        <v>1542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>
      <c r="B2596" s="727" t="s">
        <v>3062</v>
      </c>
      <c r="C2596" s="838" t="s">
        <v>3512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1646</v>
      </c>
      <c r="I2596" s="1243" t="s">
        <v>2335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>
      <c r="B2597" s="727" t="s">
        <v>3063</v>
      </c>
      <c r="C2597" s="838" t="s">
        <v>3512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1646</v>
      </c>
      <c r="I2597" s="1243" t="s">
        <v>2851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>
      <c r="B2598" s="727" t="s">
        <v>3061</v>
      </c>
      <c r="C2598" s="838" t="s">
        <v>3512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1646</v>
      </c>
      <c r="I2598" s="1243" t="s">
        <v>1697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>
      <c r="B2599" s="727" t="s">
        <v>3060</v>
      </c>
      <c r="C2599" s="838" t="s">
        <v>3512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1646</v>
      </c>
      <c r="I2599" s="1240" t="s">
        <v>1542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>
      <c r="B2600" s="727" t="s">
        <v>3059</v>
      </c>
      <c r="C2600" s="838" t="s">
        <v>3512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1646</v>
      </c>
      <c r="I2600" s="1240" t="s">
        <v>1542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>
      <c r="B2601" s="727" t="s">
        <v>3058</v>
      </c>
      <c r="C2601" s="838" t="s">
        <v>3512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1646</v>
      </c>
      <c r="I2601" s="1240" t="s">
        <v>1542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>
      <c r="B2602" s="727" t="s">
        <v>3057</v>
      </c>
      <c r="C2602" s="838" t="s">
        <v>3512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1646</v>
      </c>
      <c r="I2602" s="1243" t="s">
        <v>2274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>
      <c r="B2603" s="727" t="s">
        <v>3056</v>
      </c>
      <c r="C2603" s="838" t="s">
        <v>3512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1646</v>
      </c>
      <c r="I2603" s="1243" t="s">
        <v>1736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>
      <c r="B2604" s="727" t="s">
        <v>3055</v>
      </c>
      <c r="C2604" s="838" t="s">
        <v>3512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1646</v>
      </c>
      <c r="I2604" s="1243" t="s">
        <v>2274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>
      <c r="B2605" s="727" t="s">
        <v>3054</v>
      </c>
      <c r="C2605" s="838" t="s">
        <v>3512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1646</v>
      </c>
      <c r="I2605" s="1243" t="s">
        <v>2335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>
      <c r="B2606" s="727" t="s">
        <v>3053</v>
      </c>
      <c r="C2606" s="838" t="s">
        <v>3512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1646</v>
      </c>
      <c r="I2606" s="1243" t="s">
        <v>1695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>
      <c r="B2607" s="727" t="s">
        <v>3052</v>
      </c>
      <c r="C2607" s="838" t="s">
        <v>3512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1646</v>
      </c>
      <c r="I2607" s="1243" t="s">
        <v>1697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>
      <c r="B2608" s="727" t="s">
        <v>3129</v>
      </c>
      <c r="C2608" s="838" t="s">
        <v>3512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1646</v>
      </c>
      <c r="I2608" s="1240" t="s">
        <v>1542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>
      <c r="B2609" s="727" t="s">
        <v>3128</v>
      </c>
      <c r="C2609" s="838" t="s">
        <v>3512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1646</v>
      </c>
      <c r="I2609" s="1240" t="s">
        <v>1542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>
      <c r="B2610" s="727" t="s">
        <v>3127</v>
      </c>
      <c r="C2610" s="838" t="s">
        <v>3512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1646</v>
      </c>
      <c r="I2610" s="1243" t="s">
        <v>1736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>
      <c r="B2611" s="727" t="s">
        <v>3126</v>
      </c>
      <c r="C2611" s="838" t="s">
        <v>3512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1646</v>
      </c>
      <c r="I2611" s="1243" t="s">
        <v>2851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>
      <c r="B2612" s="727" t="s">
        <v>3125</v>
      </c>
      <c r="C2612" s="838" t="s">
        <v>3512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1646</v>
      </c>
      <c r="I2612" s="1243" t="s">
        <v>2917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>
      <c r="B2613" s="727" t="s">
        <v>3124</v>
      </c>
      <c r="C2613" s="838" t="s">
        <v>3512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1646</v>
      </c>
      <c r="I2613" s="1243" t="s">
        <v>1736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>
      <c r="B2614" s="727" t="s">
        <v>3123</v>
      </c>
      <c r="C2614" s="838" t="s">
        <v>3512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1646</v>
      </c>
      <c r="I2614" s="1243" t="s">
        <v>2918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>
      <c r="B2615" s="727" t="s">
        <v>3122</v>
      </c>
      <c r="C2615" s="838" t="s">
        <v>3512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1646</v>
      </c>
      <c r="I2615" s="1240" t="s">
        <v>1542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>
      <c r="B2616" s="727" t="s">
        <v>3121</v>
      </c>
      <c r="C2616" s="838" t="s">
        <v>3512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3297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>
      <c r="B2617" s="727" t="s">
        <v>3120</v>
      </c>
      <c r="C2617" s="838" t="s">
        <v>3512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3367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3023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>
      <c r="B2618" s="727" t="s">
        <v>3119</v>
      </c>
      <c r="C2618" s="838" t="s">
        <v>3512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1646</v>
      </c>
      <c r="I2618" s="1243" t="s">
        <v>2334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>
      <c r="B2619" s="727" t="s">
        <v>3118</v>
      </c>
      <c r="C2619" s="838" t="s">
        <v>3512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1646</v>
      </c>
      <c r="I2619" s="1243" t="s">
        <v>1771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>
      <c r="B2620" s="727" t="s">
        <v>3117</v>
      </c>
      <c r="C2620" s="838" t="s">
        <v>3512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1646</v>
      </c>
      <c r="I2620" s="1243" t="s">
        <v>2335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>
      <c r="B2621" s="727" t="s">
        <v>3116</v>
      </c>
      <c r="C2621" s="838" t="s">
        <v>3512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1646</v>
      </c>
      <c r="I2621" s="1243" t="s">
        <v>2334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>
      <c r="B2622" s="727" t="s">
        <v>3115</v>
      </c>
      <c r="C2622" s="838" t="s">
        <v>3512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1646</v>
      </c>
      <c r="I2622" s="1243" t="s">
        <v>1753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>
      <c r="B2623" s="727" t="s">
        <v>3114</v>
      </c>
      <c r="C2623" s="838" t="s">
        <v>3512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1646</v>
      </c>
      <c r="I2623" s="1240" t="s">
        <v>1542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>
      <c r="B2624" s="727" t="s">
        <v>3113</v>
      </c>
      <c r="C2624" s="838" t="s">
        <v>3512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3367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1213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>
      <c r="B2625" s="727" t="s">
        <v>3112</v>
      </c>
      <c r="C2625" s="838" t="s">
        <v>3512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1646</v>
      </c>
      <c r="I2625" s="1243" t="s">
        <v>1736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>
      <c r="B2626" s="727" t="s">
        <v>3111</v>
      </c>
      <c r="C2626" s="838" t="s">
        <v>3512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1646</v>
      </c>
      <c r="I2626" s="1243" t="s">
        <v>2851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>
      <c r="B2627" s="727" t="s">
        <v>3110</v>
      </c>
      <c r="C2627" s="838" t="s">
        <v>3512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3367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1213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>
      <c r="B2628" s="727" t="s">
        <v>3109</v>
      </c>
      <c r="C2628" s="838" t="s">
        <v>3512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1646</v>
      </c>
      <c r="I2628" s="1240" t="s">
        <v>1542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>
      <c r="B2629" s="727" t="s">
        <v>3108</v>
      </c>
      <c r="C2629" s="838" t="s">
        <v>3512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1646</v>
      </c>
      <c r="I2629" s="1243" t="s">
        <v>1696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>
      <c r="B2630" s="727" t="s">
        <v>3107</v>
      </c>
      <c r="C2630" s="838" t="s">
        <v>3512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1646</v>
      </c>
      <c r="I2630" s="1433" t="s">
        <v>4684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>
      <c r="B2631" s="727" t="s">
        <v>3106</v>
      </c>
      <c r="C2631" s="838" t="s">
        <v>3512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1646</v>
      </c>
      <c r="I2631" s="1243" t="s">
        <v>1696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>
      <c r="B2632" s="727" t="s">
        <v>3105</v>
      </c>
      <c r="C2632" s="838" t="s">
        <v>3512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1359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>
      <c r="B2633" s="727" t="s">
        <v>3104</v>
      </c>
      <c r="C2633" s="838" t="s">
        <v>3512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3367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1359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>
      <c r="B2634" s="727" t="s">
        <v>3103</v>
      </c>
      <c r="C2634" s="838" t="s">
        <v>3512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1646</v>
      </c>
      <c r="I2634" s="1243" t="s">
        <v>2851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>
      <c r="B2635" s="727" t="s">
        <v>3102</v>
      </c>
      <c r="C2635" s="838" t="s">
        <v>3512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1646</v>
      </c>
      <c r="I2635" s="1240" t="s">
        <v>1542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>
      <c r="B2636" s="727" t="s">
        <v>3101</v>
      </c>
      <c r="C2636" s="838" t="s">
        <v>3512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1646</v>
      </c>
      <c r="I2636" s="1243" t="s">
        <v>2851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>
      <c r="B2637" s="727" t="s">
        <v>3100</v>
      </c>
      <c r="C2637" s="838" t="s">
        <v>3512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1646</v>
      </c>
      <c r="I2637" s="1243" t="s">
        <v>1735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>
      <c r="B2638" s="727" t="s">
        <v>3099</v>
      </c>
      <c r="C2638" s="838" t="s">
        <v>3512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1646</v>
      </c>
      <c r="I2638" s="1243" t="s">
        <v>1695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>
      <c r="B2639" s="727" t="s">
        <v>3098</v>
      </c>
      <c r="C2639" s="838" t="s">
        <v>3512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1646</v>
      </c>
      <c r="I2639" s="1243" t="s">
        <v>2334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>
      <c r="B2640" s="727" t="s">
        <v>3097</v>
      </c>
      <c r="C2640" s="838" t="s">
        <v>3512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1646</v>
      </c>
      <c r="I2640" s="1243" t="s">
        <v>2274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>
      <c r="B2641" s="727" t="s">
        <v>3096</v>
      </c>
      <c r="C2641" s="838" t="s">
        <v>3512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1646</v>
      </c>
      <c r="I2641" s="1243" t="s">
        <v>2334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>
      <c r="B2642" s="727" t="s">
        <v>3095</v>
      </c>
      <c r="C2642" s="838" t="s">
        <v>3512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1646</v>
      </c>
      <c r="I2642" s="1243" t="s">
        <v>2851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>
      <c r="B2643" s="727" t="s">
        <v>3094</v>
      </c>
      <c r="C2643" s="838" t="s">
        <v>3512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1646</v>
      </c>
      <c r="I2643" s="1243" t="s">
        <v>1735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>
      <c r="B2644" s="727" t="s">
        <v>3093</v>
      </c>
      <c r="C2644" s="838" t="s">
        <v>3512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1646</v>
      </c>
      <c r="I2644" s="1243" t="s">
        <v>1737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>
      <c r="B2645" s="728" t="s">
        <v>3141</v>
      </c>
      <c r="C2645" s="838" t="s">
        <v>3512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1646</v>
      </c>
      <c r="I2645" s="1243" t="s">
        <v>1737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>
      <c r="B2646" s="728" t="s">
        <v>3140</v>
      </c>
      <c r="C2646" s="838" t="s">
        <v>3512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1646</v>
      </c>
      <c r="I2646" s="1244" t="s">
        <v>2851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>
      <c r="B2647" s="728" t="s">
        <v>3139</v>
      </c>
      <c r="C2647" s="838" t="s">
        <v>3512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1646</v>
      </c>
      <c r="I2647" s="1244" t="s">
        <v>2918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>
      <c r="B2648" s="729" t="s">
        <v>3147</v>
      </c>
      <c r="C2648" s="838" t="s">
        <v>3512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3148</v>
      </c>
      <c r="I2648" s="1245" t="s">
        <v>1555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>
      <c r="B2649" s="729" t="s">
        <v>3146</v>
      </c>
      <c r="C2649" s="838" t="s">
        <v>3512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1646</v>
      </c>
      <c r="I2649" s="1244" t="s">
        <v>2851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>
      <c r="B2650" s="729" t="s">
        <v>3145</v>
      </c>
      <c r="C2650" s="838" t="s">
        <v>3512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1646</v>
      </c>
      <c r="I2650" s="1244" t="s">
        <v>2851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>
      <c r="B2651" s="730" t="s">
        <v>3168</v>
      </c>
      <c r="C2651" s="838" t="s">
        <v>3512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1646</v>
      </c>
      <c r="I2651" s="1246" t="s">
        <v>1753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>
      <c r="B2652" s="730" t="s">
        <v>3167</v>
      </c>
      <c r="C2652" s="838" t="s">
        <v>3512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1646</v>
      </c>
      <c r="I2652" s="1240" t="s">
        <v>1542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>
      <c r="B2653" s="730" t="s">
        <v>3166</v>
      </c>
      <c r="C2653" s="838" t="s">
        <v>3512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3148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>
      <c r="B2654" s="730" t="s">
        <v>3165</v>
      </c>
      <c r="C2654" s="838" t="s">
        <v>3512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1646</v>
      </c>
      <c r="I2654" s="1246" t="s">
        <v>1697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>
      <c r="B2655" s="730" t="s">
        <v>3164</v>
      </c>
      <c r="C2655" s="838" t="s">
        <v>3512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3294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>
      <c r="B2656" s="730" t="s">
        <v>3163</v>
      </c>
      <c r="C2656" s="838" t="s">
        <v>3512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1646</v>
      </c>
      <c r="I2656" s="1240" t="s">
        <v>1542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>
      <c r="B2657" s="730" t="s">
        <v>3162</v>
      </c>
      <c r="C2657" s="838" t="s">
        <v>3512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1646</v>
      </c>
      <c r="I2657" s="1246" t="s">
        <v>2274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>
      <c r="B2658" s="730" t="s">
        <v>3161</v>
      </c>
      <c r="C2658" s="838" t="s">
        <v>3512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1646</v>
      </c>
      <c r="I2658" s="1246" t="s">
        <v>1736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>
      <c r="B2659" s="730" t="s">
        <v>3160</v>
      </c>
      <c r="C2659" s="838" t="s">
        <v>3512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1646</v>
      </c>
      <c r="I2659" s="1240" t="s">
        <v>1542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>
      <c r="B2660" s="730" t="s">
        <v>3159</v>
      </c>
      <c r="C2660" s="838" t="s">
        <v>3512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3169</v>
      </c>
      <c r="I2660" s="1246" t="s">
        <v>3170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>
      <c r="B2661" s="730" t="s">
        <v>3158</v>
      </c>
      <c r="C2661" s="838" t="s">
        <v>3512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1646</v>
      </c>
      <c r="I2661" s="1246" t="s">
        <v>2274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>
      <c r="B2662" s="730" t="s">
        <v>3157</v>
      </c>
      <c r="C2662" s="838" t="s">
        <v>3512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1646</v>
      </c>
      <c r="I2662" s="1246" t="s">
        <v>2851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>
      <c r="B2663" s="730" t="s">
        <v>3156</v>
      </c>
      <c r="C2663" s="838" t="s">
        <v>3512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1646</v>
      </c>
      <c r="I2663" s="1240" t="s">
        <v>1542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>
      <c r="B2664" s="730" t="s">
        <v>3155</v>
      </c>
      <c r="C2664" s="838" t="s">
        <v>3512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1646</v>
      </c>
      <c r="I2664" s="1240" t="s">
        <v>1542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>
      <c r="B2665" s="730" t="s">
        <v>3154</v>
      </c>
      <c r="C2665" s="838" t="s">
        <v>3512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3023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>
      <c r="B2666" s="730" t="s">
        <v>3153</v>
      </c>
      <c r="C2666" s="838" t="s">
        <v>3512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1646</v>
      </c>
      <c r="I2666" s="1246" t="s">
        <v>1736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>
      <c r="B2667" s="730" t="s">
        <v>3152</v>
      </c>
      <c r="C2667" s="838" t="s">
        <v>3512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3169</v>
      </c>
      <c r="I2667" s="1246" t="s">
        <v>3171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>
      <c r="B2668" s="730" t="s">
        <v>3152</v>
      </c>
      <c r="C2668" s="838" t="s">
        <v>3512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1646</v>
      </c>
      <c r="I2668" s="1246" t="s">
        <v>1695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>
      <c r="B2669" s="730" t="s">
        <v>3151</v>
      </c>
      <c r="C2669" s="838" t="s">
        <v>3512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1646</v>
      </c>
      <c r="I2669" s="1246" t="s">
        <v>2851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>
      <c r="B2670" s="730" t="s">
        <v>3150</v>
      </c>
      <c r="C2670" s="838" t="s">
        <v>3512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1646</v>
      </c>
      <c r="I2670" s="1240" t="s">
        <v>1542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>
      <c r="B2671" s="730" t="s">
        <v>3149</v>
      </c>
      <c r="C2671" s="838" t="s">
        <v>3512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1646</v>
      </c>
      <c r="I2671" s="1240" t="s">
        <v>1542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>
      <c r="B2672" s="731" t="s">
        <v>3186</v>
      </c>
      <c r="C2672" s="838" t="s">
        <v>3512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1646</v>
      </c>
      <c r="I2672" s="1240" t="s">
        <v>1542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>
      <c r="B2673" s="731" t="s">
        <v>3185</v>
      </c>
      <c r="C2673" s="838" t="s">
        <v>3512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3187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>
      <c r="B2674" s="731" t="s">
        <v>3184</v>
      </c>
      <c r="C2674" s="838" t="s">
        <v>3512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3294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>
      <c r="B2675" s="731" t="s">
        <v>3183</v>
      </c>
      <c r="C2675" s="838" t="s">
        <v>3512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3169</v>
      </c>
      <c r="I2675" s="1247" t="s">
        <v>3171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>
      <c r="B2676" s="732" t="s">
        <v>3212</v>
      </c>
      <c r="C2676" s="838" t="s">
        <v>3512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1646</v>
      </c>
      <c r="I2676" s="1246" t="s">
        <v>2851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>
      <c r="B2677" s="732" t="s">
        <v>3211</v>
      </c>
      <c r="C2677" s="838" t="s">
        <v>3512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1646</v>
      </c>
      <c r="I2677" s="1246" t="s">
        <v>1695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>
      <c r="B2678" s="732" t="s">
        <v>3210</v>
      </c>
      <c r="C2678" s="838" t="s">
        <v>3512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1646</v>
      </c>
      <c r="I2678" s="1240" t="s">
        <v>1542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>
      <c r="B2679" s="732" t="s">
        <v>3209</v>
      </c>
      <c r="C2679" s="838" t="s">
        <v>3512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3213</v>
      </c>
      <c r="I2679" s="1248" t="s">
        <v>3214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>
      <c r="B2680" s="732" t="s">
        <v>3208</v>
      </c>
      <c r="C2680" s="838" t="s">
        <v>3512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3213</v>
      </c>
      <c r="I2680" s="1248" t="s">
        <v>1539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>
      <c r="B2681" s="732" t="s">
        <v>3207</v>
      </c>
      <c r="C2681" s="838" t="s">
        <v>3512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1646</v>
      </c>
      <c r="I2681" s="1248" t="s">
        <v>2304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>
      <c r="B2682" s="732" t="s">
        <v>3206</v>
      </c>
      <c r="C2682" s="838" t="s">
        <v>3512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1646</v>
      </c>
      <c r="I2682" s="1248" t="s">
        <v>1753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>
      <c r="B2683" s="732" t="s">
        <v>3205</v>
      </c>
      <c r="C2683" s="838" t="s">
        <v>3512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3169</v>
      </c>
      <c r="I2683" s="1248" t="s">
        <v>3171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>
      <c r="B2684" s="732" t="s">
        <v>3204</v>
      </c>
      <c r="C2684" s="838" t="s">
        <v>3512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3169</v>
      </c>
      <c r="I2684" s="1248" t="s">
        <v>3170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>
      <c r="B2685" s="732" t="s">
        <v>3203</v>
      </c>
      <c r="C2685" s="838" t="s">
        <v>3512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1646</v>
      </c>
      <c r="I2685" s="1246" t="s">
        <v>1695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>
      <c r="B2686" s="733" t="s">
        <v>3227</v>
      </c>
      <c r="C2686" s="838" t="s">
        <v>3512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3148</v>
      </c>
      <c r="I2686" s="1249" t="s">
        <v>1555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>
      <c r="B2687" s="733" t="s">
        <v>3226</v>
      </c>
      <c r="C2687" s="838" t="s">
        <v>3512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2406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>
      <c r="B2688" s="733" t="s">
        <v>3225</v>
      </c>
      <c r="C2688" s="838" t="s">
        <v>3512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1646</v>
      </c>
      <c r="I2688" s="1249" t="s">
        <v>2851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>
      <c r="B2689" s="733" t="s">
        <v>3224</v>
      </c>
      <c r="C2689" s="838" t="s">
        <v>3512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1646</v>
      </c>
      <c r="I2689" s="1240" t="s">
        <v>1542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>
      <c r="B2690" s="733" t="s">
        <v>3223</v>
      </c>
      <c r="C2690" s="838" t="s">
        <v>3512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3148</v>
      </c>
      <c r="I2690" s="1249" t="s">
        <v>1555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>
      <c r="B2691" s="733" t="s">
        <v>3222</v>
      </c>
      <c r="C2691" s="838" t="s">
        <v>3512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1646</v>
      </c>
      <c r="I2691" s="1249" t="s">
        <v>1697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>
      <c r="B2692" s="733" t="s">
        <v>3221</v>
      </c>
      <c r="C2692" s="838" t="s">
        <v>3512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1646</v>
      </c>
      <c r="I2692" s="1240" t="s">
        <v>1542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>
      <c r="B2693" s="733" t="s">
        <v>3220</v>
      </c>
      <c r="C2693" s="838" t="s">
        <v>3512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3228</v>
      </c>
      <c r="I2693" s="1249" t="s">
        <v>1757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>
      <c r="B2694" s="733" t="s">
        <v>3219</v>
      </c>
      <c r="C2694" s="838" t="s">
        <v>3512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3148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>
      <c r="B2695" s="733" t="s">
        <v>3218</v>
      </c>
      <c r="C2695" s="838" t="s">
        <v>3512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1434" t="s">
        <v>4685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3" t="s">
        <v>3218</v>
      </c>
      <c r="C2696" s="838" t="s">
        <v>3512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1646</v>
      </c>
      <c r="I2696" s="1249" t="s">
        <v>2917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3" t="s">
        <v>3217</v>
      </c>
      <c r="C2697" s="838" t="s">
        <v>3512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1646</v>
      </c>
      <c r="I2697" s="1249" t="s">
        <v>1736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>
      <c r="B2698" s="733" t="s">
        <v>3216</v>
      </c>
      <c r="C2698" s="838" t="s">
        <v>3512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1646</v>
      </c>
      <c r="I2698" s="1433" t="s">
        <v>4684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>
      <c r="B2699" s="734" t="s">
        <v>3237</v>
      </c>
      <c r="C2699" s="838" t="s">
        <v>3512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3148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>
      <c r="B2700" s="734" t="s">
        <v>3236</v>
      </c>
      <c r="C2700" s="838" t="s">
        <v>3512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3148</v>
      </c>
      <c r="I2700" s="1250" t="s">
        <v>1555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>
      <c r="B2701" s="734" t="s">
        <v>3235</v>
      </c>
      <c r="C2701" s="838" t="s">
        <v>3512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3238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>
      <c r="B2702" s="734" t="s">
        <v>3234</v>
      </c>
      <c r="C2702" s="838" t="s">
        <v>3512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3367</v>
      </c>
      <c r="I2702" s="1251" t="s">
        <v>3350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3291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>
      <c r="B2703" s="734" t="s">
        <v>3233</v>
      </c>
      <c r="C2703" s="838" t="s">
        <v>3512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3228</v>
      </c>
      <c r="I2703" s="1249" t="s">
        <v>1757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>
      <c r="B2704" s="734" t="s">
        <v>3232</v>
      </c>
      <c r="C2704" s="838" t="s">
        <v>3512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3169</v>
      </c>
      <c r="I2704" s="1248" t="s">
        <v>3171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>
      <c r="B2705" s="735" t="s">
        <v>3286</v>
      </c>
      <c r="C2705" s="838" t="s">
        <v>3512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3148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5" t="s">
        <v>3286</v>
      </c>
      <c r="C2706" s="838" t="s">
        <v>3512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3228</v>
      </c>
      <c r="I2706" s="1249" t="s">
        <v>1757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5" t="s">
        <v>3285</v>
      </c>
      <c r="C2707" s="838" t="s">
        <v>3512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3148</v>
      </c>
      <c r="I2707" s="1252" t="s">
        <v>1555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>
      <c r="B2708" s="735" t="s">
        <v>3284</v>
      </c>
      <c r="C2708" s="838" t="s">
        <v>3512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3228</v>
      </c>
      <c r="I2708" s="1249" t="s">
        <v>1757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5" t="s">
        <v>3284</v>
      </c>
      <c r="C2709" s="838" t="s">
        <v>3512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1646</v>
      </c>
      <c r="I2709" s="1252" t="s">
        <v>2334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5" t="s">
        <v>3284</v>
      </c>
      <c r="C2710" s="838" t="s">
        <v>3512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3148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5" t="s">
        <v>3283</v>
      </c>
      <c r="C2711" s="838" t="s">
        <v>3512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2128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>
      <c r="B2712" s="735" t="s">
        <v>3282</v>
      </c>
      <c r="C2712" s="838" t="s">
        <v>3512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1646</v>
      </c>
      <c r="I2712" s="1252" t="s">
        <v>2851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>
      <c r="B2713" s="735" t="s">
        <v>3281</v>
      </c>
      <c r="C2713" s="838" t="s">
        <v>3512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3148</v>
      </c>
      <c r="I2713" s="1252" t="s">
        <v>1555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>
      <c r="B2714" s="735" t="s">
        <v>3280</v>
      </c>
      <c r="C2714" s="838" t="s">
        <v>3512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3169</v>
      </c>
      <c r="I2714" s="1252" t="s">
        <v>3171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>
      <c r="B2715" s="735" t="s">
        <v>3279</v>
      </c>
      <c r="C2715" s="838" t="s">
        <v>3512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3367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2128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>
      <c r="B2716" s="735" t="s">
        <v>3278</v>
      </c>
      <c r="C2716" s="838" t="s">
        <v>3512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1646</v>
      </c>
      <c r="I2716" s="1252" t="s">
        <v>2851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>
      <c r="B2717" s="735" t="s">
        <v>3277</v>
      </c>
      <c r="C2717" s="838" t="s">
        <v>3512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3228</v>
      </c>
      <c r="I2717" s="1249" t="s">
        <v>1757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>
      <c r="B2718" s="735" t="s">
        <v>3276</v>
      </c>
      <c r="C2718" s="838" t="s">
        <v>3512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3294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>
      <c r="B2719" s="735" t="s">
        <v>3275</v>
      </c>
      <c r="C2719" s="838" t="s">
        <v>3512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1646</v>
      </c>
      <c r="I2719" s="1252" t="s">
        <v>2917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>
      <c r="B2720" s="735" t="s">
        <v>3274</v>
      </c>
      <c r="C2720" s="838" t="s">
        <v>3512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1434" t="s">
        <v>4685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>
      <c r="B2721" s="735" t="s">
        <v>3273</v>
      </c>
      <c r="C2721" s="838" t="s">
        <v>3512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3148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>
      <c r="B2722" s="735" t="s">
        <v>3272</v>
      </c>
      <c r="C2722" s="838" t="s">
        <v>3512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1434" t="s">
        <v>4685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>
      <c r="B2723" s="735" t="s">
        <v>3271</v>
      </c>
      <c r="C2723" s="838" t="s">
        <v>3512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3169</v>
      </c>
      <c r="I2723" s="1252" t="s">
        <v>3171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>
      <c r="B2724" s="735" t="s">
        <v>3270</v>
      </c>
      <c r="C2724" s="838" t="s">
        <v>3512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3290</v>
      </c>
      <c r="I2724" s="1253" t="s">
        <v>3524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>
      <c r="B2725" s="735" t="s">
        <v>3269</v>
      </c>
      <c r="C2725" s="838" t="s">
        <v>3512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3228</v>
      </c>
      <c r="I2725" s="1249" t="s">
        <v>1757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>
      <c r="B2726" s="735" t="s">
        <v>3269</v>
      </c>
      <c r="C2726" s="838" t="s">
        <v>3512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1646</v>
      </c>
      <c r="I2726" s="1252" t="s">
        <v>1737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>
      <c r="B2727" s="735" t="s">
        <v>3268</v>
      </c>
      <c r="C2727" s="838" t="s">
        <v>3512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3148</v>
      </c>
      <c r="I2727" s="1252" t="s">
        <v>1555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>
      <c r="B2728" s="735" t="s">
        <v>3267</v>
      </c>
      <c r="C2728" s="838" t="s">
        <v>3512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3367</v>
      </c>
      <c r="I2728" s="1251" t="s">
        <v>3350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3291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>
      <c r="B2729" s="735" t="s">
        <v>3266</v>
      </c>
      <c r="C2729" s="838" t="s">
        <v>3512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3367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3292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>
      <c r="B2730" s="735" t="s">
        <v>3265</v>
      </c>
      <c r="C2730" s="838" t="s">
        <v>3512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1646</v>
      </c>
      <c r="I2730" s="1252" t="s">
        <v>2335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>
      <c r="B2731" s="735" t="s">
        <v>3263</v>
      </c>
      <c r="C2731" s="838" t="s">
        <v>3512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1646</v>
      </c>
      <c r="I2731" s="1252" t="s">
        <v>1542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>
      <c r="B2732" s="735" t="s">
        <v>3263</v>
      </c>
      <c r="C2732" s="838" t="s">
        <v>3512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1646</v>
      </c>
      <c r="I2732" s="1252" t="s">
        <v>2335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>
      <c r="B2733" s="735" t="s">
        <v>3264</v>
      </c>
      <c r="C2733" s="838" t="s">
        <v>3512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1646</v>
      </c>
      <c r="I2733" s="1252" t="s">
        <v>3293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>
      <c r="B2734" s="735" t="s">
        <v>3262</v>
      </c>
      <c r="C2734" s="838" t="s">
        <v>3512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1646</v>
      </c>
      <c r="I2734" s="1252" t="s">
        <v>2917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>
      <c r="B2735" s="735" t="s">
        <v>3261</v>
      </c>
      <c r="C2735" s="838" t="s">
        <v>3512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3294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>
      <c r="B2736" s="735" t="s">
        <v>3260</v>
      </c>
      <c r="C2736" s="838" t="s">
        <v>3512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3350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3291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>
      <c r="B2737" s="735" t="s">
        <v>3259</v>
      </c>
      <c r="C2737" s="838" t="s">
        <v>3512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3294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>
      <c r="B2738" s="735" t="s">
        <v>3258</v>
      </c>
      <c r="C2738" s="838" t="s">
        <v>3512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1646</v>
      </c>
      <c r="I2738" s="1252" t="s">
        <v>2851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>
      <c r="B2739" s="735" t="s">
        <v>3257</v>
      </c>
      <c r="C2739" s="838" t="s">
        <v>3512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1646</v>
      </c>
      <c r="I2739" s="1252" t="s">
        <v>1771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>
      <c r="B2740" s="735" t="s">
        <v>3256</v>
      </c>
      <c r="C2740" s="838" t="s">
        <v>3512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1434" t="s">
        <v>4685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>
      <c r="B2741" s="735" t="s">
        <v>3255</v>
      </c>
      <c r="C2741" s="838" t="s">
        <v>3512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3290</v>
      </c>
      <c r="I2741" s="1254" t="s">
        <v>4304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>
      <c r="B2742" s="735" t="s">
        <v>3254</v>
      </c>
      <c r="C2742" s="838" t="s">
        <v>3512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3367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3023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>
      <c r="B2743" s="735" t="s">
        <v>3253</v>
      </c>
      <c r="C2743" s="838" t="s">
        <v>3512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3213</v>
      </c>
      <c r="I2743" s="1252" t="s">
        <v>3214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>
      <c r="B2744" s="735" t="s">
        <v>3252</v>
      </c>
      <c r="C2744" s="838" t="s">
        <v>3512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3213</v>
      </c>
      <c r="I2744" s="1252" t="s">
        <v>1539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>
      <c r="B2745" s="735" t="s">
        <v>3251</v>
      </c>
      <c r="C2745" s="838" t="s">
        <v>3512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3023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>
      <c r="B2746" s="735" t="s">
        <v>3250</v>
      </c>
      <c r="C2746" s="838" t="s">
        <v>3512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3023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>
      <c r="B2747" s="735" t="s">
        <v>3249</v>
      </c>
      <c r="C2747" s="838" t="s">
        <v>3512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1646</v>
      </c>
      <c r="I2747" s="1252" t="s">
        <v>2917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>
      <c r="B2748" s="735" t="s">
        <v>3248</v>
      </c>
      <c r="C2748" s="838" t="s">
        <v>3512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3148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>
      <c r="B2749" s="735" t="s">
        <v>3247</v>
      </c>
      <c r="C2749" s="838" t="s">
        <v>3512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1539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3291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5" t="s">
        <v>3247</v>
      </c>
      <c r="C2750" s="838" t="s">
        <v>3512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3367</v>
      </c>
      <c r="I2750" s="1251" t="s">
        <v>3350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3291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5" t="s">
        <v>3246</v>
      </c>
      <c r="C2751" s="838" t="s">
        <v>3512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1646</v>
      </c>
      <c r="I2751" s="1252" t="s">
        <v>1771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>
      <c r="B2752" s="735" t="s">
        <v>3245</v>
      </c>
      <c r="C2752" s="838" t="s">
        <v>3512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1646</v>
      </c>
      <c r="I2752" s="1252" t="s">
        <v>1542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>
      <c r="B2753" s="735" t="s">
        <v>3244</v>
      </c>
      <c r="C2753" s="838" t="s">
        <v>3512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3228</v>
      </c>
      <c r="I2753" s="1249" t="s">
        <v>1757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>
      <c r="B2754" s="735" t="s">
        <v>3243</v>
      </c>
      <c r="C2754" s="838" t="s">
        <v>3512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3367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3292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5" t="s">
        <v>3243</v>
      </c>
      <c r="C2755" s="838" t="s">
        <v>3512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1646</v>
      </c>
      <c r="I2755" s="1252" t="s">
        <v>1697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5" t="s">
        <v>3242</v>
      </c>
      <c r="C2756" s="838" t="s">
        <v>3512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3290</v>
      </c>
      <c r="I2756" s="1254" t="s">
        <v>4304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>
      <c r="B2757" s="735" t="s">
        <v>3241</v>
      </c>
      <c r="C2757" s="838" t="s">
        <v>3512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3148</v>
      </c>
      <c r="I2757" s="1252" t="s">
        <v>1555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>
      <c r="B2758" s="735" t="s">
        <v>3240</v>
      </c>
      <c r="C2758" s="838" t="s">
        <v>3512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3148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>
      <c r="B2759" s="735" t="s">
        <v>3239</v>
      </c>
      <c r="C2759" s="838" t="s">
        <v>3512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3294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>
      <c r="B2760" s="736" t="s">
        <v>3311</v>
      </c>
      <c r="C2760" s="838" t="s">
        <v>3512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3291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>
      <c r="B2761" s="736" t="s">
        <v>3310</v>
      </c>
      <c r="C2761" s="838" t="s">
        <v>3512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3148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>
      <c r="B2762" s="736" t="s">
        <v>3309</v>
      </c>
      <c r="C2762" s="838" t="s">
        <v>3512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3367</v>
      </c>
      <c r="I2762" s="1251" t="s">
        <v>3350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3291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>
      <c r="B2763" s="736" t="s">
        <v>3309</v>
      </c>
      <c r="C2763" s="838" t="s">
        <v>3512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1539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3291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>
      <c r="B2764" s="736" t="s">
        <v>3308</v>
      </c>
      <c r="C2764" s="838" t="s">
        <v>3512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3148</v>
      </c>
      <c r="I2764" s="1252" t="s">
        <v>1555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>
      <c r="B2765" s="736" t="s">
        <v>3307</v>
      </c>
      <c r="C2765" s="838" t="s">
        <v>3512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2406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>
      <c r="B2766" s="736" t="s">
        <v>3306</v>
      </c>
      <c r="C2766" s="838" t="s">
        <v>3512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1646</v>
      </c>
      <c r="I2766" s="1252" t="s">
        <v>2851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>
      <c r="B2767" s="736" t="s">
        <v>3305</v>
      </c>
      <c r="C2767" s="838" t="s">
        <v>3512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3148</v>
      </c>
      <c r="I2767" s="1252" t="s">
        <v>1555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>
      <c r="B2768" s="736" t="s">
        <v>3304</v>
      </c>
      <c r="C2768" s="838" t="s">
        <v>3512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3169</v>
      </c>
      <c r="I2768" s="1255" t="s">
        <v>3170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6" t="s">
        <v>3304</v>
      </c>
      <c r="C2769" s="838" t="s">
        <v>3512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3294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6" t="s">
        <v>3303</v>
      </c>
      <c r="C2770" s="838" t="s">
        <v>3512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3293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>
      <c r="B2771" s="736" t="s">
        <v>3302</v>
      </c>
      <c r="C2771" s="838" t="s">
        <v>3512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3350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3291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>
      <c r="B2772" s="736" t="s">
        <v>3301</v>
      </c>
      <c r="C2772" s="838" t="s">
        <v>3512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3148</v>
      </c>
      <c r="I2772" s="1252" t="s">
        <v>1555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>
      <c r="B2773" s="736" t="s">
        <v>3300</v>
      </c>
      <c r="C2773" s="838" t="s">
        <v>3512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3290</v>
      </c>
      <c r="I2773" s="1254" t="s">
        <v>4305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>
      <c r="B2774" s="736" t="s">
        <v>3299</v>
      </c>
      <c r="C2774" s="838" t="s">
        <v>3512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3148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>
      <c r="B2775" s="736" t="s">
        <v>3298</v>
      </c>
      <c r="C2775" s="838" t="s">
        <v>3512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3294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>
      <c r="B2776" s="596" t="s">
        <v>3343</v>
      </c>
      <c r="C2776" s="838" t="s">
        <v>3512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3148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>
      <c r="B2777" s="596" t="s">
        <v>3342</v>
      </c>
      <c r="C2777" s="838" t="s">
        <v>3512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3148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>
      <c r="B2778" s="596" t="s">
        <v>3341</v>
      </c>
      <c r="C2778" s="838" t="s">
        <v>3512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3228</v>
      </c>
      <c r="I2778" s="1249" t="s">
        <v>1757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>
      <c r="B2779" s="596" t="s">
        <v>3341</v>
      </c>
      <c r="C2779" s="838" t="s">
        <v>3512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3148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>
      <c r="B2780" s="596" t="s">
        <v>3340</v>
      </c>
      <c r="C2780" s="838" t="s">
        <v>3512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3148</v>
      </c>
      <c r="I2780" s="1257" t="s">
        <v>1555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>
      <c r="B2781" s="596" t="s">
        <v>3339</v>
      </c>
      <c r="C2781" s="838" t="s">
        <v>3512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3148</v>
      </c>
      <c r="I2781" s="1257" t="s">
        <v>1555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>
      <c r="B2782" s="596" t="s">
        <v>3338</v>
      </c>
      <c r="C2782" s="838" t="s">
        <v>3512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3148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>
      <c r="B2783" s="596" t="s">
        <v>3349</v>
      </c>
      <c r="C2783" s="838" t="s">
        <v>3511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3344</v>
      </c>
      <c r="I2783" s="1257" t="s">
        <v>3346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>
      <c r="B2784" s="596" t="s">
        <v>3337</v>
      </c>
      <c r="C2784" s="838" t="s">
        <v>3512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3344</v>
      </c>
      <c r="I2784" s="1257" t="s">
        <v>3346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>
      <c r="B2785" s="596" t="s">
        <v>3336</v>
      </c>
      <c r="C2785" s="838" t="s">
        <v>3512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3148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>
      <c r="B2786" s="596" t="s">
        <v>3335</v>
      </c>
      <c r="C2786" s="838" t="s">
        <v>3512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3148</v>
      </c>
      <c r="I2786" s="1257" t="s">
        <v>1555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>
      <c r="B2787" s="596" t="s">
        <v>3334</v>
      </c>
      <c r="C2787" s="838" t="s">
        <v>3512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3294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3291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6" t="s">
        <v>3334</v>
      </c>
      <c r="C2788" s="838" t="s">
        <v>3512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3169</v>
      </c>
      <c r="I2788" s="1257" t="s">
        <v>3170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6" t="s">
        <v>3333</v>
      </c>
      <c r="C2789" s="838" t="s">
        <v>3512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3350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3291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>
      <c r="B2790" s="596" t="s">
        <v>3333</v>
      </c>
      <c r="C2790" s="838" t="s">
        <v>3511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3344</v>
      </c>
      <c r="I2790" s="1257" t="s">
        <v>3345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>
      <c r="B2791" s="596" t="s">
        <v>3332</v>
      </c>
      <c r="C2791" s="838" t="s">
        <v>3512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3344</v>
      </c>
      <c r="I2791" s="1257" t="s">
        <v>3345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>
      <c r="B2792" s="596" t="s">
        <v>3331</v>
      </c>
      <c r="C2792" s="838" t="s">
        <v>3512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3148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>
      <c r="B2793" s="596" t="s">
        <v>3330</v>
      </c>
      <c r="C2793" s="838" t="s">
        <v>3512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3367</v>
      </c>
      <c r="I2793" s="1251" t="s">
        <v>3350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3291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>
      <c r="B2794" s="596" t="s">
        <v>3329</v>
      </c>
      <c r="C2794" s="838" t="s">
        <v>3512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1646</v>
      </c>
      <c r="I2794" s="1257" t="s">
        <v>3293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>
      <c r="B2795" s="596" t="s">
        <v>3328</v>
      </c>
      <c r="C2795" s="838" t="s">
        <v>3512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3293</v>
      </c>
      <c r="I2795" s="1257" t="s">
        <v>3347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>
      <c r="B2796" s="596" t="s">
        <v>3327</v>
      </c>
      <c r="C2796" s="838" t="s">
        <v>3512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2921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>
      <c r="B2797" s="596" t="s">
        <v>3326</v>
      </c>
      <c r="C2797" s="838" t="s">
        <v>3512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3148</v>
      </c>
      <c r="I2797" s="1257" t="s">
        <v>1555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>
      <c r="B2798" s="596" t="s">
        <v>3325</v>
      </c>
      <c r="C2798" s="838" t="s">
        <v>3512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3367</v>
      </c>
      <c r="I2798" s="1251" t="s">
        <v>3350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3291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>
      <c r="B2799" s="596" t="s">
        <v>3324</v>
      </c>
      <c r="C2799" s="838" t="s">
        <v>3512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3294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3291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>
      <c r="B2800" s="596" t="s">
        <v>3323</v>
      </c>
      <c r="C2800" s="838" t="s">
        <v>3512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3348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>
      <c r="B2801" s="596" t="s">
        <v>3322</v>
      </c>
      <c r="C2801" s="838" t="s">
        <v>3512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3290</v>
      </c>
      <c r="I2801" s="1253" t="s">
        <v>3524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>
      <c r="B2802" s="596" t="s">
        <v>3321</v>
      </c>
      <c r="C2802" s="838" t="s">
        <v>3512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3148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>
      <c r="B2803" s="596" t="s">
        <v>3320</v>
      </c>
      <c r="C2803" s="838" t="s">
        <v>3512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3148</v>
      </c>
      <c r="I2803" s="1257" t="s">
        <v>1555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>
      <c r="B2804" s="596" t="s">
        <v>3319</v>
      </c>
      <c r="C2804" s="838" t="s">
        <v>3512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3148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>
      <c r="B2805" s="596" t="s">
        <v>3318</v>
      </c>
      <c r="C2805" s="838" t="s">
        <v>3512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3367</v>
      </c>
      <c r="I2805" s="1251" t="s">
        <v>3350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3291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>
      <c r="B2806" s="596" t="s">
        <v>3317</v>
      </c>
      <c r="C2806" s="838" t="s">
        <v>3512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3290</v>
      </c>
      <c r="I2806" s="1254" t="s">
        <v>4305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>
      <c r="B2807" s="596" t="s">
        <v>3316</v>
      </c>
      <c r="C2807" s="838" t="s">
        <v>3512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3148</v>
      </c>
      <c r="I2807" s="1257" t="s">
        <v>1555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>
      <c r="B2808" s="596" t="s">
        <v>3315</v>
      </c>
      <c r="C2808" s="838" t="s">
        <v>3512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3169</v>
      </c>
      <c r="I2808" s="1257" t="s">
        <v>3171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>
      <c r="B2809" s="596" t="s">
        <v>3315</v>
      </c>
      <c r="C2809" s="838" t="s">
        <v>3511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3294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3291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>
      <c r="B2810" s="596" t="s">
        <v>3314</v>
      </c>
      <c r="C2810" s="838" t="s">
        <v>3512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3290</v>
      </c>
      <c r="I2810" s="1254" t="s">
        <v>4305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>
      <c r="B2811" s="596" t="s">
        <v>3313</v>
      </c>
      <c r="C2811" s="838" t="s">
        <v>3512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3148</v>
      </c>
      <c r="I2811" s="1257" t="s">
        <v>1555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>
      <c r="B2812" s="596" t="s">
        <v>3312</v>
      </c>
      <c r="C2812" s="838" t="s">
        <v>3512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1539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3291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6" t="s">
        <v>3312</v>
      </c>
      <c r="C2813" s="838" t="s">
        <v>3512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3367</v>
      </c>
      <c r="I2813" s="1251" t="s">
        <v>3350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3291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7" t="s">
        <v>3364</v>
      </c>
      <c r="C2814" s="838" t="s">
        <v>3512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3290</v>
      </c>
      <c r="I2814" s="1258" t="s">
        <v>3367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>
      <c r="B2815" s="597" t="s">
        <v>3363</v>
      </c>
      <c r="C2815" s="838" t="s">
        <v>3512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3148</v>
      </c>
      <c r="I2815" s="1257" t="s">
        <v>1555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>
      <c r="B2816" s="597" t="s">
        <v>3362</v>
      </c>
      <c r="C2816" s="838" t="s">
        <v>3512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3148</v>
      </c>
      <c r="I2816" s="1257" t="s">
        <v>1555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>
      <c r="B2817" s="597" t="s">
        <v>3361</v>
      </c>
      <c r="C2817" s="838" t="s">
        <v>3511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3294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3291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>
      <c r="B2818" s="597" t="s">
        <v>3361</v>
      </c>
      <c r="C2818" s="838" t="s">
        <v>3512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3169</v>
      </c>
      <c r="I2818" s="1258" t="s">
        <v>3171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>
      <c r="B2819" s="597" t="s">
        <v>3360</v>
      </c>
      <c r="C2819" s="838" t="s">
        <v>3512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3290</v>
      </c>
      <c r="I2819" s="1254" t="s">
        <v>4305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>
      <c r="B2820" s="597" t="s">
        <v>3359</v>
      </c>
      <c r="C2820" s="838" t="s">
        <v>3512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3148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>
      <c r="B2821" s="597" t="s">
        <v>3358</v>
      </c>
      <c r="C2821" s="838" t="s">
        <v>3512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3169</v>
      </c>
      <c r="I2821" s="1258" t="s">
        <v>3170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>
      <c r="B2822" s="597" t="s">
        <v>3358</v>
      </c>
      <c r="C2822" s="838" t="s">
        <v>3511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3294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3291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>
      <c r="B2823" s="597" t="s">
        <v>3357</v>
      </c>
      <c r="C2823" s="838" t="s">
        <v>3512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3350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3291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>
      <c r="B2824" s="597" t="s">
        <v>3357</v>
      </c>
      <c r="C2824" s="838" t="s">
        <v>3511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3290</v>
      </c>
      <c r="I2824" s="1253" t="s">
        <v>3522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>
      <c r="B2825" s="597" t="s">
        <v>3356</v>
      </c>
      <c r="C2825" s="838" t="s">
        <v>3512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3367</v>
      </c>
      <c r="I2825" s="1251" t="s">
        <v>3350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3291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>
      <c r="B2826" s="597" t="s">
        <v>3355</v>
      </c>
      <c r="C2826" s="838" t="s">
        <v>3512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1646</v>
      </c>
      <c r="I2826" s="1258" t="s">
        <v>1736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>
      <c r="B2827" s="597" t="s">
        <v>3354</v>
      </c>
      <c r="C2827" s="838" t="s">
        <v>3512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1646</v>
      </c>
      <c r="I2827" s="1258" t="s">
        <v>1736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>
      <c r="B2828" s="597" t="s">
        <v>3353</v>
      </c>
      <c r="C2828" s="838" t="s">
        <v>3512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3148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>
      <c r="B2829" s="597" t="s">
        <v>3352</v>
      </c>
      <c r="C2829" s="838" t="s">
        <v>3512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4318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3291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>
      <c r="B2830" s="597" t="s">
        <v>3352</v>
      </c>
      <c r="C2830" s="838" t="s">
        <v>3511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3169</v>
      </c>
      <c r="I2830" s="1258" t="s">
        <v>3171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>
      <c r="B2831" s="597" t="s">
        <v>3351</v>
      </c>
      <c r="C2831" s="838" t="s">
        <v>3512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3368</v>
      </c>
      <c r="I2831" s="1258" t="s">
        <v>3369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>
      <c r="B2832" s="642" t="s">
        <v>3482</v>
      </c>
      <c r="C2832" s="838" t="s">
        <v>3512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3290</v>
      </c>
      <c r="I2832" s="1253" t="s">
        <v>3523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>
      <c r="B2833" s="642" t="s">
        <v>3481</v>
      </c>
      <c r="C2833" s="838" t="s">
        <v>3512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1646</v>
      </c>
      <c r="I2833" s="1259" t="s">
        <v>2851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>
      <c r="B2834" s="642" t="s">
        <v>3480</v>
      </c>
      <c r="C2834" s="838" t="s">
        <v>3512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1646</v>
      </c>
      <c r="I2834" s="1259" t="s">
        <v>2335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>
      <c r="B2835" s="642" t="s">
        <v>3479</v>
      </c>
      <c r="C2835" s="838" t="s">
        <v>3512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3367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3483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>
      <c r="B2836" s="642" t="s">
        <v>3478</v>
      </c>
      <c r="C2836" s="838" t="s">
        <v>3512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3293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>
      <c r="B2837" s="642" t="s">
        <v>3477</v>
      </c>
      <c r="C2837" s="838" t="s">
        <v>3512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3148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2" t="s">
        <v>3477</v>
      </c>
      <c r="C2838" s="838" t="s">
        <v>3512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1646</v>
      </c>
      <c r="I2838" s="1259" t="s">
        <v>2334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2" t="s">
        <v>3476</v>
      </c>
      <c r="C2839" s="838" t="s">
        <v>3512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3483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>
      <c r="B2840" s="642" t="s">
        <v>3475</v>
      </c>
      <c r="C2840" s="838" t="s">
        <v>3512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3367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2128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>
      <c r="B2841" s="642" t="s">
        <v>3474</v>
      </c>
      <c r="C2841" s="838" t="s">
        <v>3512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1646</v>
      </c>
      <c r="I2841" s="1259" t="s">
        <v>2304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>
      <c r="B2842" s="642" t="s">
        <v>3473</v>
      </c>
      <c r="C2842" s="838" t="s">
        <v>3512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3169</v>
      </c>
      <c r="I2842" s="1259" t="s">
        <v>3171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>
      <c r="B2843" s="642" t="s">
        <v>3473</v>
      </c>
      <c r="C2843" s="838" t="s">
        <v>3511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3294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>
      <c r="B2844" s="642" t="s">
        <v>3472</v>
      </c>
      <c r="C2844" s="838" t="s">
        <v>3512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3350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3291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>
      <c r="B2845" s="642" t="s">
        <v>3472</v>
      </c>
      <c r="C2845" s="838" t="s">
        <v>3511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3290</v>
      </c>
      <c r="I2845" s="1254" t="s">
        <v>4305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>
      <c r="B2846" s="642" t="s">
        <v>3471</v>
      </c>
      <c r="C2846" s="838" t="s">
        <v>3512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3148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>
      <c r="B2847" s="642" t="s">
        <v>3470</v>
      </c>
      <c r="C2847" s="838" t="s">
        <v>3512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3169</v>
      </c>
      <c r="I2847" s="1259" t="s">
        <v>3170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>
      <c r="B2848" s="642" t="s">
        <v>3470</v>
      </c>
      <c r="C2848" s="838" t="s">
        <v>3511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3294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>
      <c r="B2849" s="642" t="s">
        <v>3469</v>
      </c>
      <c r="C2849" s="838" t="s">
        <v>3512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3148</v>
      </c>
      <c r="I2849" s="1259" t="s">
        <v>1555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>
      <c r="B2850" s="642" t="s">
        <v>3468</v>
      </c>
      <c r="C2850" s="838" t="s">
        <v>3512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3350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3291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>
      <c r="B2851" s="642" t="s">
        <v>3467</v>
      </c>
      <c r="C2851" s="838" t="s">
        <v>3512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1539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3291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2" t="s">
        <v>3467</v>
      </c>
      <c r="C2852" s="838" t="s">
        <v>3512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3367</v>
      </c>
      <c r="I2852" s="1251" t="s">
        <v>3350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3291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2" t="s">
        <v>3466</v>
      </c>
      <c r="C2853" s="838" t="s">
        <v>3512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3148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>
      <c r="B2854" s="642" t="s">
        <v>3486</v>
      </c>
      <c r="C2854" s="838" t="s">
        <v>3511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3294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>
      <c r="B2855" s="642" t="s">
        <v>3465</v>
      </c>
      <c r="C2855" s="838" t="s">
        <v>3512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3148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2" t="s">
        <v>3465</v>
      </c>
      <c r="C2856" s="838" t="s">
        <v>3512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1646</v>
      </c>
      <c r="I2856" s="1259" t="s">
        <v>2274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2" t="s">
        <v>3464</v>
      </c>
      <c r="C2857" s="838" t="s">
        <v>3512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3148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>
      <c r="B2858" s="642" t="s">
        <v>3463</v>
      </c>
      <c r="C2858" s="838" t="s">
        <v>3511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3294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>
      <c r="B2859" s="642" t="s">
        <v>3463</v>
      </c>
      <c r="C2859" s="838" t="s">
        <v>3512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3169</v>
      </c>
      <c r="I2859" s="1259" t="s">
        <v>3171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>
      <c r="B2860" s="642" t="s">
        <v>3462</v>
      </c>
      <c r="C2860" s="838" t="s">
        <v>3512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3290</v>
      </c>
      <c r="I2860" s="1254" t="s">
        <v>4305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>
      <c r="B2861" s="642" t="s">
        <v>3461</v>
      </c>
      <c r="C2861" s="838" t="s">
        <v>3512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3148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>
      <c r="B2862" s="642" t="s">
        <v>3460</v>
      </c>
      <c r="C2862" s="838" t="s">
        <v>3512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3148</v>
      </c>
      <c r="I2862" s="1259" t="s">
        <v>1555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>
      <c r="B2863" s="642" t="s">
        <v>3459</v>
      </c>
      <c r="C2863" s="838" t="s">
        <v>3512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3293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>
      <c r="B2864" s="642" t="s">
        <v>3485</v>
      </c>
      <c r="C2864" s="838" t="s">
        <v>3511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3294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>
      <c r="B2865" s="642" t="s">
        <v>3458</v>
      </c>
      <c r="C2865" s="838" t="s">
        <v>3512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3290</v>
      </c>
      <c r="I2865" s="1258" t="s">
        <v>3367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>
      <c r="B2866" s="642" t="s">
        <v>3457</v>
      </c>
      <c r="C2866" s="838" t="s">
        <v>3512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3290</v>
      </c>
      <c r="I2866" s="1254" t="s">
        <v>4305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>
      <c r="B2867" s="642" t="s">
        <v>3456</v>
      </c>
      <c r="C2867" s="838" t="s">
        <v>3512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4318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2921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>
      <c r="B2868" s="642" t="s">
        <v>3456</v>
      </c>
      <c r="C2868" s="838" t="s">
        <v>3511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3169</v>
      </c>
      <c r="I2868" s="1259" t="s">
        <v>3171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>
      <c r="B2869" s="642" t="s">
        <v>3455</v>
      </c>
      <c r="C2869" s="838" t="s">
        <v>3512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3290</v>
      </c>
      <c r="I2869" s="1254" t="s">
        <v>4305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>
      <c r="B2870" s="642" t="s">
        <v>3454</v>
      </c>
      <c r="C2870" s="838" t="s">
        <v>3512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1646</v>
      </c>
      <c r="I2870" s="1259" t="s">
        <v>2917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>
      <c r="B2871" s="642" t="s">
        <v>3453</v>
      </c>
      <c r="C2871" s="838" t="s">
        <v>3512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3367</v>
      </c>
      <c r="I2871" s="1251" t="s">
        <v>3350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3291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>
      <c r="B2872" s="642" t="s">
        <v>3452</v>
      </c>
      <c r="C2872" s="838" t="s">
        <v>3512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3148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>
      <c r="B2873" s="642" t="s">
        <v>3451</v>
      </c>
      <c r="C2873" s="838" t="s">
        <v>3512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1434" t="s">
        <v>4685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>
      <c r="B2874" s="642" t="s">
        <v>3451</v>
      </c>
      <c r="C2874" s="838" t="s">
        <v>3511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1434" t="s">
        <v>4685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>
      <c r="B2875" s="642" t="s">
        <v>3450</v>
      </c>
      <c r="C2875" s="838" t="s">
        <v>3512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3148</v>
      </c>
      <c r="I2875" s="1259" t="s">
        <v>1555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>
      <c r="B2876" s="642" t="s">
        <v>3449</v>
      </c>
      <c r="C2876" s="838" t="s">
        <v>3512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3293</v>
      </c>
      <c r="I2876" s="1259" t="s">
        <v>3347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>
      <c r="B2877" s="642" t="s">
        <v>3448</v>
      </c>
      <c r="C2877" s="838" t="s">
        <v>3512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3290</v>
      </c>
      <c r="I2877" s="1254" t="s">
        <v>4304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>
      <c r="B2878" s="642" t="s">
        <v>3447</v>
      </c>
      <c r="C2878" s="838" t="s">
        <v>3512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3294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>
      <c r="B2879" s="642" t="s">
        <v>3446</v>
      </c>
      <c r="C2879" s="838" t="s">
        <v>3512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3290</v>
      </c>
      <c r="I2879" s="1258" t="s">
        <v>3367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>
      <c r="B2880" s="642" t="s">
        <v>3445</v>
      </c>
      <c r="C2880" s="838" t="s">
        <v>3512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3148</v>
      </c>
      <c r="I2880" s="1259" t="s">
        <v>1555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>
      <c r="B2881" s="642" t="s">
        <v>3444</v>
      </c>
      <c r="C2881" s="838" t="s">
        <v>3512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3148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>
      <c r="B2882" s="642" t="s">
        <v>3443</v>
      </c>
      <c r="C2882" s="838" t="s">
        <v>3512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3367</v>
      </c>
      <c r="I2882" s="1251" t="s">
        <v>3350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3291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>
      <c r="B2883" s="642" t="s">
        <v>3442</v>
      </c>
      <c r="C2883" s="838" t="s">
        <v>3512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3148</v>
      </c>
      <c r="I2883" s="1259" t="s">
        <v>1555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>
      <c r="B2884" s="642" t="s">
        <v>3441</v>
      </c>
      <c r="C2884" s="838" t="s">
        <v>3512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3148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>
      <c r="B2885" s="642" t="s">
        <v>3440</v>
      </c>
      <c r="C2885" s="838" t="s">
        <v>3512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3368</v>
      </c>
      <c r="I2885" s="1258" t="s">
        <v>3369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>
      <c r="B2886" s="642" t="s">
        <v>3439</v>
      </c>
      <c r="C2886" s="838" t="s">
        <v>3512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3368</v>
      </c>
      <c r="I2886" s="1258" t="s">
        <v>3369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>
      <c r="B2887" s="642" t="s">
        <v>3438</v>
      </c>
      <c r="C2887" s="838" t="s">
        <v>3512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3148</v>
      </c>
      <c r="I2887" s="1259" t="s">
        <v>1555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>
      <c r="B2888" s="642" t="s">
        <v>3437</v>
      </c>
      <c r="C2888" s="838" t="s">
        <v>3512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3294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>
      <c r="B2889" s="642" t="s">
        <v>3436</v>
      </c>
      <c r="C2889" s="838" t="s">
        <v>3512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3148</v>
      </c>
      <c r="I2889" s="1259" t="s">
        <v>1555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>
      <c r="B2890" s="642" t="s">
        <v>3435</v>
      </c>
      <c r="C2890" s="838" t="s">
        <v>3512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3367</v>
      </c>
      <c r="I2890" s="1251" t="s">
        <v>3350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3291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>
      <c r="B2891" s="642" t="s">
        <v>3434</v>
      </c>
      <c r="C2891" s="838" t="s">
        <v>3512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3294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>
      <c r="B2892" s="642" t="s">
        <v>3433</v>
      </c>
      <c r="C2892" s="838" t="s">
        <v>3512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3148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>
      <c r="B2893" s="642" t="s">
        <v>3432</v>
      </c>
      <c r="C2893" s="838" t="s">
        <v>3512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3290</v>
      </c>
      <c r="I2893" s="1254" t="s">
        <v>4304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>
      <c r="B2894" s="642" t="s">
        <v>3431</v>
      </c>
      <c r="C2894" s="838" t="s">
        <v>3512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3293</v>
      </c>
      <c r="I2894" s="1259" t="s">
        <v>3484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>
      <c r="B2895" s="642" t="s">
        <v>3430</v>
      </c>
      <c r="C2895" s="838" t="s">
        <v>3512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1646</v>
      </c>
      <c r="I2895" s="1259" t="s">
        <v>2917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>
      <c r="B2896" s="642" t="s">
        <v>3429</v>
      </c>
      <c r="C2896" s="838" t="s">
        <v>3512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3148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>
      <c r="B2897" s="642" t="s">
        <v>3428</v>
      </c>
      <c r="C2897" s="838" t="s">
        <v>3512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3290</v>
      </c>
      <c r="I2897" s="1258" t="s">
        <v>3367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>
      <c r="B2898" s="642" t="s">
        <v>3427</v>
      </c>
      <c r="C2898" s="838" t="s">
        <v>3512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3293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>
      <c r="B2899" s="642" t="s">
        <v>3426</v>
      </c>
      <c r="C2899" s="838" t="s">
        <v>3512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4318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3291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>
      <c r="B2900" s="832" t="s">
        <v>3498</v>
      </c>
      <c r="C2900" s="838" t="s">
        <v>3512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1434" t="s">
        <v>4685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>
      <c r="B2901" s="832" t="s">
        <v>3497</v>
      </c>
      <c r="C2901" s="838" t="s">
        <v>3512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1434" t="s">
        <v>4685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>
      <c r="B2902" s="832" t="s">
        <v>3496</v>
      </c>
      <c r="C2902" s="838" t="s">
        <v>3512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1646</v>
      </c>
      <c r="I2902" s="1260" t="s">
        <v>2851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>
      <c r="B2903" s="832" t="s">
        <v>3495</v>
      </c>
      <c r="C2903" s="838" t="s">
        <v>3512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3290</v>
      </c>
      <c r="I2903" s="1253" t="s">
        <v>3522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>
      <c r="B2904" s="832" t="s">
        <v>3495</v>
      </c>
      <c r="C2904" s="838" t="s">
        <v>3511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3367</v>
      </c>
      <c r="I2904" s="1251" t="s">
        <v>3350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3291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>
      <c r="B2905" s="832" t="s">
        <v>3494</v>
      </c>
      <c r="C2905" s="838" t="s">
        <v>3512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2128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>
      <c r="B2906" s="832" t="s">
        <v>3493</v>
      </c>
      <c r="C2906" s="838" t="s">
        <v>3512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1646</v>
      </c>
      <c r="I2906" s="1260" t="s">
        <v>1735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>
      <c r="B2907" s="832" t="s">
        <v>3492</v>
      </c>
      <c r="C2907" s="838" t="s">
        <v>3512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3293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>
      <c r="B2908" s="832" t="s">
        <v>3491</v>
      </c>
      <c r="C2908" s="838" t="s">
        <v>3512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3294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>
      <c r="B2909" s="832" t="s">
        <v>3490</v>
      </c>
      <c r="C2909" s="838" t="s">
        <v>3512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3367</v>
      </c>
      <c r="I2909" s="1251" t="s">
        <v>3350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3291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2" t="s">
        <v>3490</v>
      </c>
      <c r="C2910" s="838" t="s">
        <v>3512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1539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3291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2" t="s">
        <v>3489</v>
      </c>
      <c r="C2911" s="838" t="s">
        <v>3512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3290</v>
      </c>
      <c r="I2911" s="1254" t="s">
        <v>4305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>
      <c r="B2912" s="832" t="s">
        <v>3488</v>
      </c>
      <c r="C2912" s="838" t="s">
        <v>3512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3294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>
      <c r="B2913" s="838" t="s">
        <v>3504</v>
      </c>
      <c r="C2913" s="838" t="s">
        <v>3512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1646</v>
      </c>
      <c r="I2913" s="1261" t="s">
        <v>2917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>
      <c r="B2914" s="838" t="s">
        <v>3503</v>
      </c>
      <c r="C2914" s="838" t="s">
        <v>3512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3290</v>
      </c>
      <c r="I2914" s="1254" t="s">
        <v>4304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>
      <c r="B2915" s="838" t="s">
        <v>3503</v>
      </c>
      <c r="C2915" s="838" t="s">
        <v>3512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1646</v>
      </c>
      <c r="I2915" s="1261" t="s">
        <v>1753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8" t="s">
        <v>3502</v>
      </c>
      <c r="C2916" s="838" t="s">
        <v>3512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3293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>
      <c r="B2917" s="838" t="s">
        <v>3508</v>
      </c>
      <c r="C2917" s="838" t="s">
        <v>3511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3367</v>
      </c>
      <c r="I2917" s="1251" t="s">
        <v>3350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3291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>
      <c r="B2918" s="838" t="s">
        <v>3507</v>
      </c>
      <c r="C2918" s="838" t="s">
        <v>3511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3367</v>
      </c>
      <c r="I2918" s="1251" t="s">
        <v>3350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3291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>
      <c r="B2919" s="838" t="s">
        <v>3501</v>
      </c>
      <c r="C2919" s="838" t="s">
        <v>3512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3294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>
      <c r="B2920" s="838" t="s">
        <v>3501</v>
      </c>
      <c r="C2920" s="838" t="s">
        <v>3511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3169</v>
      </c>
      <c r="I2920" s="1261" t="s">
        <v>3170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>
      <c r="B2921" s="838" t="s">
        <v>3506</v>
      </c>
      <c r="C2921" s="838" t="s">
        <v>3511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3350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3291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>
      <c r="B2922" s="838" t="s">
        <v>3506</v>
      </c>
      <c r="C2922" s="838" t="s">
        <v>3510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3213</v>
      </c>
      <c r="I2922" s="1261" t="s">
        <v>1539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>
      <c r="B2923" s="838" t="s">
        <v>3501</v>
      </c>
      <c r="C2923" s="838" t="s">
        <v>3510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3213</v>
      </c>
      <c r="I2923" s="1261" t="s">
        <v>3214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>
      <c r="B2924" s="838" t="s">
        <v>3500</v>
      </c>
      <c r="C2924" s="838" t="s">
        <v>3512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3294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>
      <c r="B2925" s="838" t="s">
        <v>3500</v>
      </c>
      <c r="C2925" s="838" t="s">
        <v>3511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4318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3291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8" t="s">
        <v>3500</v>
      </c>
      <c r="C2926" s="838" t="s">
        <v>3511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3169</v>
      </c>
      <c r="I2926" s="1261" t="s">
        <v>3170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>
      <c r="B2927" s="838" t="s">
        <v>3505</v>
      </c>
      <c r="C2927" s="838" t="s">
        <v>3511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3350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3291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>
      <c r="B2928" s="848" t="s">
        <v>3520</v>
      </c>
      <c r="C2928" s="838" t="s">
        <v>3510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3213</v>
      </c>
      <c r="I2928" s="1261" t="s">
        <v>1539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>
      <c r="B2929" s="848" t="s">
        <v>3521</v>
      </c>
      <c r="C2929" s="838" t="s">
        <v>3510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3213</v>
      </c>
      <c r="I2929" s="1261" t="s">
        <v>3214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>
      <c r="B2930" s="848" t="s">
        <v>3516</v>
      </c>
      <c r="C2930" s="838" t="s">
        <v>3512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3368</v>
      </c>
      <c r="I2930" s="1253" t="s">
        <v>3369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>
      <c r="B2931" s="848" t="s">
        <v>3518</v>
      </c>
      <c r="C2931" s="838" t="s">
        <v>3511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3367</v>
      </c>
      <c r="I2931" s="1251" t="s">
        <v>3350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3291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>
      <c r="B2932" s="848" t="s">
        <v>3515</v>
      </c>
      <c r="C2932" s="838" t="s">
        <v>3512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3294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>
      <c r="B2933" s="848" t="s">
        <v>3517</v>
      </c>
      <c r="C2933" s="838" t="s">
        <v>3511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3367</v>
      </c>
      <c r="I2933" s="1251" t="s">
        <v>3350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3291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>
      <c r="B2934" s="848" t="s">
        <v>3514</v>
      </c>
      <c r="C2934" s="838" t="s">
        <v>3512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3368</v>
      </c>
      <c r="I2934" s="1253" t="s">
        <v>3369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>
      <c r="B2935" s="848" t="s">
        <v>3513</v>
      </c>
      <c r="C2935" s="838" t="s">
        <v>3512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3290</v>
      </c>
      <c r="I2935" s="1253" t="s">
        <v>3522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>
      <c r="B2936" s="848" t="s">
        <v>3513</v>
      </c>
      <c r="C2936" s="838" t="s">
        <v>3510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3213</v>
      </c>
      <c r="I2936" s="1261" t="s">
        <v>3214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>
      <c r="B2937" s="848" t="s">
        <v>3519</v>
      </c>
      <c r="C2937" s="838" t="s">
        <v>3510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3213</v>
      </c>
      <c r="I2937" s="1261" t="s">
        <v>1539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>
      <c r="B2938" s="853" t="s">
        <v>3534</v>
      </c>
      <c r="C2938" s="838" t="s">
        <v>3512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3148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>
      <c r="B2939" s="853" t="s">
        <v>3533</v>
      </c>
      <c r="C2939" s="838" t="s">
        <v>3512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3535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>
      <c r="B2940" s="853" t="s">
        <v>3532</v>
      </c>
      <c r="C2940" s="838" t="s">
        <v>3512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3294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>
      <c r="B2941" s="853" t="s">
        <v>3531</v>
      </c>
      <c r="C2941" s="838" t="s">
        <v>3512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3148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>
      <c r="B2942" s="853" t="s">
        <v>3530</v>
      </c>
      <c r="C2942" s="838" t="s">
        <v>3512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3294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>
      <c r="B2943" s="853" t="s">
        <v>3529</v>
      </c>
      <c r="C2943" s="838" t="s">
        <v>3512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3213</v>
      </c>
      <c r="I2943" s="1261" t="s">
        <v>3214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>
      <c r="B2944" s="853" t="s">
        <v>3528</v>
      </c>
      <c r="C2944" s="838" t="s">
        <v>3512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3213</v>
      </c>
      <c r="I2944" s="1261" t="s">
        <v>1539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>
      <c r="B2945" s="859" t="s">
        <v>3581</v>
      </c>
      <c r="C2945" s="838" t="s">
        <v>3512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1646</v>
      </c>
      <c r="I2945" s="1251" t="s">
        <v>2851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>
      <c r="B2946" s="859" t="s">
        <v>3580</v>
      </c>
      <c r="C2946" s="838" t="s">
        <v>3512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3294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>
      <c r="B2947" s="859" t="s">
        <v>3579</v>
      </c>
      <c r="C2947" s="838" t="s">
        <v>3512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3148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>
      <c r="B2948" s="859" t="s">
        <v>3556</v>
      </c>
      <c r="C2948" s="859" t="s">
        <v>3511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3213</v>
      </c>
      <c r="I2948" s="1251" t="s">
        <v>3214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>
      <c r="B2949" s="859" t="s">
        <v>3556</v>
      </c>
      <c r="C2949" s="859" t="s">
        <v>3512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1434" t="s">
        <v>4685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>
      <c r="B2950" s="859" t="s">
        <v>3555</v>
      </c>
      <c r="C2950" s="859" t="s">
        <v>3511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3213</v>
      </c>
      <c r="I2950" s="1251" t="s">
        <v>1539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>
      <c r="B2951" s="859" t="s">
        <v>3555</v>
      </c>
      <c r="C2951" s="859" t="s">
        <v>3512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3290</v>
      </c>
      <c r="I2951" s="1251" t="s">
        <v>3522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>
      <c r="B2952" s="859" t="s">
        <v>3578</v>
      </c>
      <c r="C2952" s="859" t="s">
        <v>3512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2128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>
      <c r="B2953" s="859" t="s">
        <v>3577</v>
      </c>
      <c r="C2953" s="859" t="s">
        <v>3512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3535</v>
      </c>
      <c r="I2953" s="1251" t="s">
        <v>3586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>
      <c r="B2954" s="859" t="s">
        <v>3577</v>
      </c>
      <c r="C2954" s="859" t="s">
        <v>3512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3148</v>
      </c>
      <c r="I2954" s="1251" t="s">
        <v>3585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59" t="s">
        <v>3576</v>
      </c>
      <c r="C2955" s="859" t="s">
        <v>3512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3294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>
      <c r="B2956" s="859" t="s">
        <v>3575</v>
      </c>
      <c r="C2956" s="859" t="s">
        <v>3512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3368</v>
      </c>
      <c r="I2956" s="1251" t="s">
        <v>3369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>
      <c r="B2957" s="859" t="s">
        <v>3554</v>
      </c>
      <c r="C2957" s="859" t="s">
        <v>3511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4318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3291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>
      <c r="B2958" s="859" t="s">
        <v>3574</v>
      </c>
      <c r="C2958" s="859" t="s">
        <v>3512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3294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>
      <c r="B2959" s="859" t="s">
        <v>3553</v>
      </c>
      <c r="C2959" s="859" t="s">
        <v>3511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3350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3291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>
      <c r="B2960" s="859" t="s">
        <v>3552</v>
      </c>
      <c r="C2960" s="859" t="s">
        <v>3511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3367</v>
      </c>
      <c r="I2960" s="1251" t="s">
        <v>3350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3291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>
      <c r="B2961" s="859" t="s">
        <v>3573</v>
      </c>
      <c r="C2961" s="859" t="s">
        <v>3512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3148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>
      <c r="B2962" s="859" t="s">
        <v>3572</v>
      </c>
      <c r="C2962" s="859" t="s">
        <v>3512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3148</v>
      </c>
      <c r="I2962" s="1251" t="s">
        <v>1555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>
      <c r="B2963" s="859" t="s">
        <v>3571</v>
      </c>
      <c r="C2963" s="859" t="s">
        <v>3512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3294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>
      <c r="B2964" s="859" t="s">
        <v>3570</v>
      </c>
      <c r="C2964" s="859" t="s">
        <v>3512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3294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>
      <c r="B2965" s="859" t="s">
        <v>3551</v>
      </c>
      <c r="C2965" s="859" t="s">
        <v>3511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3213</v>
      </c>
      <c r="I2965" s="1251" t="s">
        <v>3214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>
      <c r="B2966" s="859" t="s">
        <v>3550</v>
      </c>
      <c r="C2966" s="859" t="s">
        <v>3511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3213</v>
      </c>
      <c r="I2966" s="1251" t="s">
        <v>1539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>
      <c r="B2967" s="859" t="s">
        <v>3550</v>
      </c>
      <c r="C2967" s="859" t="s">
        <v>3512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3290</v>
      </c>
      <c r="I2967" s="1254" t="s">
        <v>4305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>
      <c r="B2968" s="859" t="s">
        <v>3569</v>
      </c>
      <c r="C2968" s="859" t="s">
        <v>3512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3294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>
      <c r="B2969" s="859" t="s">
        <v>3549</v>
      </c>
      <c r="C2969" s="859" t="s">
        <v>3511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3213</v>
      </c>
      <c r="I2969" s="1251" t="s">
        <v>3214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>
      <c r="B2970" s="859" t="s">
        <v>3548</v>
      </c>
      <c r="C2970" s="859" t="s">
        <v>3511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3213</v>
      </c>
      <c r="I2970" s="1251" t="s">
        <v>1539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>
      <c r="B2971" s="859" t="s">
        <v>3548</v>
      </c>
      <c r="C2971" s="859" t="s">
        <v>3512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3290</v>
      </c>
      <c r="I2971" s="1254" t="s">
        <v>4305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>
      <c r="B2972" s="859" t="s">
        <v>3547</v>
      </c>
      <c r="C2972" s="859" t="s">
        <v>3511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3213</v>
      </c>
      <c r="I2972" s="1251" t="s">
        <v>3214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>
      <c r="B2973" s="859" t="s">
        <v>3546</v>
      </c>
      <c r="C2973" s="859" t="s">
        <v>3511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3213</v>
      </c>
      <c r="I2973" s="1251" t="s">
        <v>1539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>
      <c r="B2974" s="859" t="s">
        <v>3546</v>
      </c>
      <c r="C2974" s="859" t="s">
        <v>3512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3290</v>
      </c>
      <c r="I2974" s="1254" t="s">
        <v>4305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>
      <c r="B2975" s="859" t="s">
        <v>3568</v>
      </c>
      <c r="C2975" s="859" t="s">
        <v>3512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3294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>
      <c r="B2976" s="859" t="s">
        <v>3545</v>
      </c>
      <c r="C2976" s="859" t="s">
        <v>3511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3213</v>
      </c>
      <c r="I2976" s="1251" t="s">
        <v>3214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>
      <c r="B2977" s="859" t="s">
        <v>3544</v>
      </c>
      <c r="C2977" s="859" t="s">
        <v>3511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3213</v>
      </c>
      <c r="I2977" s="1251" t="s">
        <v>1539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>
      <c r="B2978" s="859" t="s">
        <v>3544</v>
      </c>
      <c r="C2978" s="859" t="s">
        <v>3512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3290</v>
      </c>
      <c r="I2978" s="1254" t="s">
        <v>4304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>
      <c r="B2979" s="859" t="s">
        <v>3567</v>
      </c>
      <c r="C2979" s="859" t="s">
        <v>3512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3367</v>
      </c>
      <c r="I2979" s="1251" t="s">
        <v>3350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3291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>
      <c r="B2980" s="859" t="s">
        <v>3566</v>
      </c>
      <c r="C2980" s="859" t="s">
        <v>3512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3294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>
      <c r="B2981" s="859" t="s">
        <v>3565</v>
      </c>
      <c r="C2981" s="859" t="s">
        <v>3512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3294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>
      <c r="B2982" s="859" t="s">
        <v>3564</v>
      </c>
      <c r="C2982" s="859" t="s">
        <v>3512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1646</v>
      </c>
      <c r="I2982" s="1251" t="s">
        <v>2918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>
      <c r="B2983" s="859" t="s">
        <v>3537</v>
      </c>
      <c r="C2983" s="859" t="s">
        <v>3512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3294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>
      <c r="B2984" s="859" t="s">
        <v>3537</v>
      </c>
      <c r="C2984" s="859" t="s">
        <v>3510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3213</v>
      </c>
      <c r="I2984" s="1251" t="s">
        <v>3214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>
      <c r="B2985" s="859" t="s">
        <v>3536</v>
      </c>
      <c r="C2985" s="859" t="s">
        <v>3511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2406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>
      <c r="B2986" s="859" t="s">
        <v>3536</v>
      </c>
      <c r="C2986" s="859" t="s">
        <v>3512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3290</v>
      </c>
      <c r="I2986" s="1251" t="s">
        <v>3522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>
      <c r="B2987" s="859" t="s">
        <v>3536</v>
      </c>
      <c r="C2987" s="859" t="s">
        <v>3512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1646</v>
      </c>
      <c r="I2987" s="1251" t="s">
        <v>1753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>
      <c r="B2988" s="859" t="s">
        <v>3536</v>
      </c>
      <c r="C2988" s="859" t="s">
        <v>3510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3213</v>
      </c>
      <c r="I2988" s="1251" t="s">
        <v>1539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>
      <c r="B2989" s="859" t="s">
        <v>3563</v>
      </c>
      <c r="C2989" s="859" t="s">
        <v>3512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3535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>
      <c r="B2990" s="859" t="s">
        <v>3562</v>
      </c>
      <c r="C2990" s="859" t="s">
        <v>3512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1646</v>
      </c>
      <c r="I2990" s="1251" t="s">
        <v>1771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>
      <c r="B2991" s="859" t="s">
        <v>3561</v>
      </c>
      <c r="C2991" s="859" t="s">
        <v>3512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3535</v>
      </c>
      <c r="I2991" s="1251" t="s">
        <v>1757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>
      <c r="B2992" s="859" t="s">
        <v>3543</v>
      </c>
      <c r="C2992" s="859" t="s">
        <v>3511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3213</v>
      </c>
      <c r="I2992" s="1251" t="s">
        <v>3214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>
      <c r="B2993" s="859" t="s">
        <v>3560</v>
      </c>
      <c r="C2993" s="859" t="s">
        <v>3512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3294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>
      <c r="B2994" s="859" t="s">
        <v>3542</v>
      </c>
      <c r="C2994" s="859" t="s">
        <v>3511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3213</v>
      </c>
      <c r="I2994" s="1251" t="s">
        <v>1539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>
      <c r="B2995" s="859" t="s">
        <v>3542</v>
      </c>
      <c r="C2995" s="859" t="s">
        <v>3512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3290</v>
      </c>
      <c r="I2995" s="1254" t="s">
        <v>4305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>
      <c r="B2996" s="859" t="s">
        <v>3541</v>
      </c>
      <c r="C2996" s="859" t="s">
        <v>3511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3213</v>
      </c>
      <c r="I2996" s="1251" t="s">
        <v>3214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>
      <c r="B2997" s="859" t="s">
        <v>3541</v>
      </c>
      <c r="C2997" s="859" t="s">
        <v>3512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1434" t="s">
        <v>4685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>
      <c r="B2998" s="859" t="s">
        <v>3540</v>
      </c>
      <c r="C2998" s="859" t="s">
        <v>3511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3213</v>
      </c>
      <c r="I2998" s="1251" t="s">
        <v>3214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>
      <c r="B2999" s="859" t="s">
        <v>3539</v>
      </c>
      <c r="C2999" s="859" t="s">
        <v>3511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3213</v>
      </c>
      <c r="I2999" s="1251" t="s">
        <v>1539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>
      <c r="B3000" s="859" t="s">
        <v>3539</v>
      </c>
      <c r="C3000" s="859" t="s">
        <v>3512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3290</v>
      </c>
      <c r="I3000" s="1251" t="s">
        <v>3522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>
      <c r="B3001" s="859" t="s">
        <v>3538</v>
      </c>
      <c r="C3001" s="859" t="s">
        <v>3511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3213</v>
      </c>
      <c r="I3001" s="1251" t="s">
        <v>1539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>
      <c r="B3002" s="859" t="s">
        <v>3538</v>
      </c>
      <c r="C3002" s="859" t="s">
        <v>3512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3290</v>
      </c>
      <c r="I3002" s="1254" t="s">
        <v>4305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>
      <c r="B3003" s="859" t="s">
        <v>3559</v>
      </c>
      <c r="C3003" s="859" t="s">
        <v>3512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3535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>
      <c r="B3004" s="859" t="s">
        <v>3558</v>
      </c>
      <c r="C3004" s="859" t="s">
        <v>3512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3293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>
      <c r="B3005" s="870" t="s">
        <v>3595</v>
      </c>
      <c r="C3005" s="859" t="s">
        <v>3512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3294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>
      <c r="B3006" s="870" t="s">
        <v>3594</v>
      </c>
      <c r="C3006" s="859" t="s">
        <v>3512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3350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3291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>
      <c r="B3007" s="870" t="s">
        <v>3593</v>
      </c>
      <c r="C3007" s="859" t="s">
        <v>3512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3598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>
      <c r="B3008" s="870" t="s">
        <v>3596</v>
      </c>
      <c r="C3008" s="870" t="s">
        <v>3511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3213</v>
      </c>
      <c r="I3008" s="1251" t="s">
        <v>3214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>
      <c r="B3009" s="870" t="s">
        <v>3592</v>
      </c>
      <c r="C3009" s="859" t="s">
        <v>3512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3290</v>
      </c>
      <c r="I3009" s="1263" t="s">
        <v>3522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>
      <c r="B3010" s="870" t="s">
        <v>3592</v>
      </c>
      <c r="C3010" s="870" t="s">
        <v>3511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3213</v>
      </c>
      <c r="I3010" s="1251" t="s">
        <v>1539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>
      <c r="B3011" s="870" t="s">
        <v>3591</v>
      </c>
      <c r="C3011" s="870" t="s">
        <v>3511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3169</v>
      </c>
      <c r="I3011" s="1263" t="s">
        <v>3597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>
      <c r="B3012" s="870" t="s">
        <v>3591</v>
      </c>
      <c r="C3012" s="859" t="s">
        <v>3512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3294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>
      <c r="B3013" s="870" t="s">
        <v>3590</v>
      </c>
      <c r="C3013" s="859" t="s">
        <v>3512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3368</v>
      </c>
      <c r="I3013" s="1264" t="s">
        <v>3781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>
      <c r="B3014" s="875" t="s">
        <v>3603</v>
      </c>
      <c r="C3014" s="859" t="s">
        <v>3512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3535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>
      <c r="B3015" s="875" t="s">
        <v>3602</v>
      </c>
      <c r="C3015" s="859" t="s">
        <v>3512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3367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3291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>
      <c r="B3016" s="875" t="s">
        <v>3601</v>
      </c>
      <c r="C3016" s="859" t="s">
        <v>3512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1646</v>
      </c>
      <c r="I3016" s="1265" t="s">
        <v>2917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>
      <c r="B3017" s="875" t="s">
        <v>3604</v>
      </c>
      <c r="C3017" s="870" t="s">
        <v>3511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3213</v>
      </c>
      <c r="I3017" s="1251" t="s">
        <v>3214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>
      <c r="B3018" s="875" t="s">
        <v>3600</v>
      </c>
      <c r="C3018" s="859" t="s">
        <v>3512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3290</v>
      </c>
      <c r="I3018" s="1254" t="s">
        <v>4305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>
      <c r="B3019" s="875" t="s">
        <v>3600</v>
      </c>
      <c r="C3019" s="870" t="s">
        <v>3511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3213</v>
      </c>
      <c r="I3019" s="1251" t="s">
        <v>1539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>
      <c r="B3020" s="880" t="s">
        <v>3612</v>
      </c>
      <c r="C3020" s="859" t="s">
        <v>3512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3367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3291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>
      <c r="B3021" s="880" t="s">
        <v>3611</v>
      </c>
      <c r="C3021" s="859" t="s">
        <v>3512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3293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>
      <c r="B3022" s="880" t="s">
        <v>3610</v>
      </c>
      <c r="C3022" s="859" t="s">
        <v>3512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3614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>
      <c r="B3023" s="880" t="s">
        <v>3610</v>
      </c>
      <c r="C3023" s="870" t="s">
        <v>3511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3169</v>
      </c>
      <c r="I3023" s="1266" t="s">
        <v>3171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>
      <c r="B3024" s="880" t="s">
        <v>3609</v>
      </c>
      <c r="C3024" s="859" t="s">
        <v>3512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3290</v>
      </c>
      <c r="I3024" s="1254" t="s">
        <v>4304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>
      <c r="B3025" s="880" t="s">
        <v>3608</v>
      </c>
      <c r="C3025" s="859" t="s">
        <v>3512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1646</v>
      </c>
      <c r="I3025" s="1266" t="s">
        <v>1542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>
      <c r="B3026" s="880" t="s">
        <v>3613</v>
      </c>
      <c r="C3026" s="870" t="s">
        <v>3511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3213</v>
      </c>
      <c r="I3026" s="1251" t="s">
        <v>3214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>
      <c r="B3027" s="880" t="s">
        <v>3607</v>
      </c>
      <c r="C3027" s="859" t="s">
        <v>3512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3290</v>
      </c>
      <c r="I3027" s="1266" t="s">
        <v>3522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>
      <c r="B3028" s="880" t="s">
        <v>3607</v>
      </c>
      <c r="C3028" s="870" t="s">
        <v>3511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3213</v>
      </c>
      <c r="I3028" s="1251" t="s">
        <v>1539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>
      <c r="B3029" s="889" t="s">
        <v>3632</v>
      </c>
      <c r="C3029" s="859" t="s">
        <v>3512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3633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>
      <c r="B3030" s="889" t="s">
        <v>3631</v>
      </c>
      <c r="C3030" s="859" t="s">
        <v>3512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3367</v>
      </c>
      <c r="I3030" s="1267" t="s">
        <v>3350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3291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>
      <c r="B3031" s="889" t="s">
        <v>3630</v>
      </c>
      <c r="C3031" s="859" t="s">
        <v>3512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3367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3634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>
      <c r="B3032" s="889" t="s">
        <v>3629</v>
      </c>
      <c r="C3032" s="859" t="s">
        <v>3512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1646</v>
      </c>
      <c r="I3032" s="1267" t="s">
        <v>1771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>
      <c r="B3033" s="889" t="s">
        <v>3626</v>
      </c>
      <c r="C3033" s="870" t="s">
        <v>3511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3213</v>
      </c>
      <c r="I3033" s="1251" t="s">
        <v>3214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>
      <c r="B3034" s="889" t="s">
        <v>3625</v>
      </c>
      <c r="C3034" s="870" t="s">
        <v>3511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3213</v>
      </c>
      <c r="I3034" s="1251" t="s">
        <v>1539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>
      <c r="B3035" s="889" t="s">
        <v>3625</v>
      </c>
      <c r="C3035" s="859" t="s">
        <v>3512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3290</v>
      </c>
      <c r="I3035" s="1254" t="s">
        <v>4305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>
      <c r="B3036" s="889" t="s">
        <v>3624</v>
      </c>
      <c r="C3036" s="870" t="s">
        <v>3511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3213</v>
      </c>
      <c r="I3036" s="1251" t="s">
        <v>3214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>
      <c r="B3037" s="889" t="s">
        <v>3624</v>
      </c>
      <c r="C3037" s="859" t="s">
        <v>3512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3294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>
      <c r="B3038" s="889" t="s">
        <v>3623</v>
      </c>
      <c r="C3038" s="870" t="s">
        <v>3511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3213</v>
      </c>
      <c r="I3038" s="1251" t="s">
        <v>1539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>
      <c r="B3039" s="889" t="s">
        <v>3623</v>
      </c>
      <c r="C3039" s="889" t="s">
        <v>3512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3290</v>
      </c>
      <c r="I3039" s="1254" t="s">
        <v>4304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>
      <c r="B3040" s="889" t="s">
        <v>3622</v>
      </c>
      <c r="C3040" s="889" t="s">
        <v>3510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3213</v>
      </c>
      <c r="I3040" s="1251" t="s">
        <v>1539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>
      <c r="B3041" s="889" t="s">
        <v>3627</v>
      </c>
      <c r="C3041" s="889" t="s">
        <v>3510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3213</v>
      </c>
      <c r="I3041" s="1251" t="s">
        <v>3214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>
      <c r="B3042" s="889" t="s">
        <v>3622</v>
      </c>
      <c r="C3042" s="870" t="s">
        <v>3511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3367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2921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>
      <c r="B3043" s="889" t="s">
        <v>3622</v>
      </c>
      <c r="C3043" s="859" t="s">
        <v>3512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3290</v>
      </c>
      <c r="I3043" s="1267" t="s">
        <v>3522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2921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>
      <c r="B3044" s="889" t="s">
        <v>3628</v>
      </c>
      <c r="C3044" s="859" t="s">
        <v>3512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3294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>
      <c r="B3045" s="894" t="s">
        <v>3646</v>
      </c>
      <c r="C3045" s="859" t="s">
        <v>3512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1646</v>
      </c>
      <c r="I3045" s="1268" t="s">
        <v>3293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>
      <c r="B3046" s="894" t="s">
        <v>3647</v>
      </c>
      <c r="C3046" s="870" t="s">
        <v>3511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3213</v>
      </c>
      <c r="I3046" s="1251" t="s">
        <v>3214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>
      <c r="B3047" s="894" t="s">
        <v>3645</v>
      </c>
      <c r="C3047" s="859" t="s">
        <v>3512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3290</v>
      </c>
      <c r="I3047" s="1254" t="s">
        <v>4305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>
      <c r="B3048" s="894" t="s">
        <v>3645</v>
      </c>
      <c r="C3048" s="870" t="s">
        <v>3511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3213</v>
      </c>
      <c r="I3048" s="1251" t="s">
        <v>1539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>
      <c r="B3049" s="894" t="s">
        <v>3644</v>
      </c>
      <c r="C3049" s="859" t="s">
        <v>3512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1646</v>
      </c>
      <c r="I3049" s="1268" t="s">
        <v>1542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>
      <c r="B3050" s="894" t="s">
        <v>3643</v>
      </c>
      <c r="C3050" s="859" t="s">
        <v>3512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1646</v>
      </c>
      <c r="I3050" s="1268" t="s">
        <v>1735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>
      <c r="B3051" s="894" t="s">
        <v>3642</v>
      </c>
      <c r="C3051" s="859" t="s">
        <v>3512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1646</v>
      </c>
      <c r="I3051" s="1268" t="s">
        <v>2335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>
      <c r="B3052" s="894" t="s">
        <v>3641</v>
      </c>
      <c r="C3052" s="859" t="s">
        <v>3512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3293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>
      <c r="B3053" s="894" t="s">
        <v>3640</v>
      </c>
      <c r="C3053" s="859" t="s">
        <v>3512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1646</v>
      </c>
      <c r="I3053" s="1268" t="s">
        <v>1753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>
      <c r="B3054" s="894" t="s">
        <v>3639</v>
      </c>
      <c r="C3054" s="859" t="s">
        <v>3512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3367</v>
      </c>
      <c r="I3054" s="1268" t="s">
        <v>3350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3291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>
      <c r="B3055" s="894" t="s">
        <v>3638</v>
      </c>
      <c r="C3055" s="859" t="s">
        <v>3512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1646</v>
      </c>
      <c r="I3055" s="1268" t="s">
        <v>2335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>
      <c r="B3056" s="894" t="s">
        <v>3637</v>
      </c>
      <c r="C3056" s="859" t="s">
        <v>3512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1646</v>
      </c>
      <c r="I3056" s="1268" t="s">
        <v>3293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>
      <c r="B3057" s="894" t="s">
        <v>3636</v>
      </c>
      <c r="C3057" s="859" t="s">
        <v>3512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1646</v>
      </c>
      <c r="I3057" s="1268" t="s">
        <v>1695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>
      <c r="B3058" s="894" t="s">
        <v>3670</v>
      </c>
      <c r="C3058" s="859" t="s">
        <v>3512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3294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>
      <c r="B3059" s="901" t="s">
        <v>3670</v>
      </c>
      <c r="C3059" s="870" t="s">
        <v>3511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3213</v>
      </c>
      <c r="I3059" s="1251" t="s">
        <v>3214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>
      <c r="B3060" s="894" t="s">
        <v>3669</v>
      </c>
      <c r="C3060" s="859" t="s">
        <v>3512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3290</v>
      </c>
      <c r="I3060" s="1269" t="s">
        <v>3522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>
      <c r="B3061" s="901" t="s">
        <v>3669</v>
      </c>
      <c r="C3061" s="870" t="s">
        <v>3511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3213</v>
      </c>
      <c r="I3061" s="1251" t="s">
        <v>1539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>
      <c r="B3062" s="894" t="s">
        <v>3675</v>
      </c>
      <c r="C3062" s="859" t="s">
        <v>3512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1646</v>
      </c>
      <c r="I3062" s="1269" t="s">
        <v>1542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>
      <c r="B3063" s="894" t="s">
        <v>3674</v>
      </c>
      <c r="C3063" s="859" t="s">
        <v>3512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1646</v>
      </c>
      <c r="I3063" s="1269" t="s">
        <v>3293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>
      <c r="B3064" s="894" t="s">
        <v>3673</v>
      </c>
      <c r="C3064" s="859" t="s">
        <v>3512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1646</v>
      </c>
      <c r="I3064" s="1269" t="s">
        <v>2851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>
      <c r="B3065" s="901" t="s">
        <v>3667</v>
      </c>
      <c r="C3065" s="859" t="s">
        <v>3512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1646</v>
      </c>
      <c r="I3065" s="1269" t="s">
        <v>2918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>
      <c r="B3066" s="901" t="s">
        <v>3666</v>
      </c>
      <c r="C3066" s="859" t="s">
        <v>3512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1646</v>
      </c>
      <c r="I3066" s="1269" t="s">
        <v>1753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>
      <c r="B3067" s="901" t="s">
        <v>3665</v>
      </c>
      <c r="C3067" s="859" t="s">
        <v>3512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1646</v>
      </c>
      <c r="I3067" s="1269" t="s">
        <v>1736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>
      <c r="B3068" s="901" t="s">
        <v>3664</v>
      </c>
      <c r="C3068" s="901" t="s">
        <v>3510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3213</v>
      </c>
      <c r="I3068" s="1251" t="s">
        <v>1539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>
      <c r="B3069" s="901" t="s">
        <v>3672</v>
      </c>
      <c r="C3069" s="901" t="s">
        <v>3510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3213</v>
      </c>
      <c r="I3069" s="1251" t="s">
        <v>3214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>
      <c r="B3070" s="901" t="s">
        <v>3664</v>
      </c>
      <c r="C3070" s="859" t="s">
        <v>3512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3290</v>
      </c>
      <c r="I3070" s="1269" t="s">
        <v>3522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>
      <c r="B3071" s="901" t="s">
        <v>3664</v>
      </c>
      <c r="C3071" s="870" t="s">
        <v>3511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3367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3598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>
      <c r="B3072" s="901" t="s">
        <v>3663</v>
      </c>
      <c r="C3072" s="859" t="s">
        <v>3512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3633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>
      <c r="B3073" s="901" t="s">
        <v>3662</v>
      </c>
      <c r="C3073" s="870" t="s">
        <v>3511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3213</v>
      </c>
      <c r="I3073" s="1251" t="s">
        <v>3214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>
      <c r="B3074" s="901" t="s">
        <v>3662</v>
      </c>
      <c r="C3074" s="859" t="s">
        <v>3512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3294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>
      <c r="B3075" s="901" t="s">
        <v>3661</v>
      </c>
      <c r="C3075" s="859" t="s">
        <v>3512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3290</v>
      </c>
      <c r="I3075" s="1254" t="s">
        <v>4305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>
      <c r="B3076" s="901" t="s">
        <v>3661</v>
      </c>
      <c r="C3076" s="870" t="s">
        <v>3511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3213</v>
      </c>
      <c r="I3076" s="1251" t="s">
        <v>1539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>
      <c r="B3077" s="901" t="s">
        <v>3668</v>
      </c>
      <c r="C3077" s="870" t="s">
        <v>3511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3213</v>
      </c>
      <c r="I3077" s="1251" t="s">
        <v>3214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>
      <c r="B3078" s="901" t="s">
        <v>3660</v>
      </c>
      <c r="C3078" s="859" t="s">
        <v>3512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3290</v>
      </c>
      <c r="I3078" s="1254" t="s">
        <v>4305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>
      <c r="B3079" s="901" t="s">
        <v>3660</v>
      </c>
      <c r="C3079" s="870" t="s">
        <v>3511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3213</v>
      </c>
      <c r="I3079" s="1251" t="s">
        <v>1539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>
      <c r="B3080" s="901" t="s">
        <v>3659</v>
      </c>
      <c r="C3080" s="901" t="s">
        <v>3510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3213</v>
      </c>
      <c r="I3080" s="1251" t="s">
        <v>3214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>
      <c r="B3081" s="901" t="s">
        <v>3671</v>
      </c>
      <c r="C3081" s="901" t="s">
        <v>3510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3213</v>
      </c>
      <c r="I3081" s="1251" t="s">
        <v>1539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>
      <c r="B3082" s="901" t="s">
        <v>3659</v>
      </c>
      <c r="C3082" s="859" t="s">
        <v>3512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3290</v>
      </c>
      <c r="I3082" s="1254" t="s">
        <v>4305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>
      <c r="B3083" s="901" t="s">
        <v>3658</v>
      </c>
      <c r="C3083" s="859" t="s">
        <v>3512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1646</v>
      </c>
      <c r="I3083" s="1433" t="s">
        <v>4684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>
      <c r="B3084" s="901" t="s">
        <v>3657</v>
      </c>
      <c r="C3084" s="859" t="s">
        <v>3512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3367</v>
      </c>
      <c r="I3084" s="1269" t="s">
        <v>3350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3291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>
      <c r="B3085" s="901" t="s">
        <v>3656</v>
      </c>
      <c r="C3085" s="859" t="s">
        <v>3512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1646</v>
      </c>
      <c r="I3085" s="1269" t="s">
        <v>2917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>
      <c r="B3086" s="901" t="s">
        <v>3655</v>
      </c>
      <c r="C3086" s="859" t="s">
        <v>3512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1646</v>
      </c>
      <c r="I3086" s="1269" t="s">
        <v>2917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>
      <c r="B3087" s="901" t="s">
        <v>3654</v>
      </c>
      <c r="C3087" s="859" t="s">
        <v>3512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1646</v>
      </c>
      <c r="I3087" s="1269" t="s">
        <v>2851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1" t="s">
        <v>3654</v>
      </c>
      <c r="C3088" s="859" t="s">
        <v>3512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1646</v>
      </c>
      <c r="I3088" s="1269" t="s">
        <v>2534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1" t="s">
        <v>3653</v>
      </c>
      <c r="C3089" s="859" t="s">
        <v>3512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1646</v>
      </c>
      <c r="I3089" s="1269" t="s">
        <v>1542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>
      <c r="B3090" s="901" t="s">
        <v>3652</v>
      </c>
      <c r="C3090" s="859" t="s">
        <v>3512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1646</v>
      </c>
      <c r="I3090" s="1269" t="s">
        <v>1695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>
      <c r="B3091" s="901" t="s">
        <v>3651</v>
      </c>
      <c r="C3091" s="859" t="s">
        <v>3512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1646</v>
      </c>
      <c r="I3091" s="1269" t="s">
        <v>2918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>
      <c r="B3092" s="901" t="s">
        <v>3650</v>
      </c>
      <c r="C3092" s="859" t="s">
        <v>3512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1646</v>
      </c>
      <c r="I3092" s="1269" t="s">
        <v>2304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>
      <c r="B3093" s="901" t="s">
        <v>3649</v>
      </c>
      <c r="C3093" s="859" t="s">
        <v>3512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3294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>
      <c r="B3094" s="901" t="s">
        <v>3648</v>
      </c>
      <c r="C3094" s="859" t="s">
        <v>3512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3350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3291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>
      <c r="B3095" s="906" t="s">
        <v>3677</v>
      </c>
      <c r="C3095" s="859" t="s">
        <v>3512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3294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>
      <c r="B3096" s="906" t="s">
        <v>3678</v>
      </c>
      <c r="C3096" s="870" t="s">
        <v>3511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3213</v>
      </c>
      <c r="I3096" s="1251" t="s">
        <v>3214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>
      <c r="B3097" s="906" t="s">
        <v>3676</v>
      </c>
      <c r="C3097" s="859" t="s">
        <v>3512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3290</v>
      </c>
      <c r="I3097" s="1254" t="s">
        <v>4305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>
      <c r="B3098" s="906" t="s">
        <v>3676</v>
      </c>
      <c r="C3098" s="870" t="s">
        <v>3511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3213</v>
      </c>
      <c r="I3098" s="1251" t="s">
        <v>1539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>
      <c r="B3099" s="911" t="s">
        <v>3681</v>
      </c>
      <c r="C3099" s="911" t="s">
        <v>3510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3213</v>
      </c>
      <c r="I3099" s="1251" t="s">
        <v>3214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>
      <c r="B3100" s="911" t="s">
        <v>3680</v>
      </c>
      <c r="C3100" s="859" t="s">
        <v>3512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3293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>
      <c r="B3101" s="911" t="s">
        <v>3679</v>
      </c>
      <c r="C3101" s="911" t="s">
        <v>3510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3213</v>
      </c>
      <c r="I3101" s="1251" t="s">
        <v>1539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>
      <c r="B3102" s="911" t="s">
        <v>3679</v>
      </c>
      <c r="C3102" s="859" t="s">
        <v>3512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3367</v>
      </c>
      <c r="I3102" s="1271" t="s">
        <v>3350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3291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>
      <c r="B3103" s="911" t="s">
        <v>3679</v>
      </c>
      <c r="C3103" s="870" t="s">
        <v>3511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3290</v>
      </c>
      <c r="I3103" s="1271" t="s">
        <v>3522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>
      <c r="B3104" s="920" t="s">
        <v>3684</v>
      </c>
      <c r="C3104" s="859" t="s">
        <v>3512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1646</v>
      </c>
      <c r="I3104" s="1272" t="s">
        <v>1645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>
      <c r="B3105" s="920" t="s">
        <v>3683</v>
      </c>
      <c r="C3105" s="859" t="s">
        <v>3512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1646</v>
      </c>
      <c r="I3105" s="1269" t="s">
        <v>1695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>
      <c r="B3106" s="920" t="s">
        <v>3682</v>
      </c>
      <c r="C3106" s="859" t="s">
        <v>3512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1646</v>
      </c>
      <c r="I3106" s="1269" t="s">
        <v>1695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>
      <c r="B3107" s="930" t="s">
        <v>3689</v>
      </c>
      <c r="C3107" s="859" t="s">
        <v>3512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1646</v>
      </c>
      <c r="I3107" s="1273" t="s">
        <v>1753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>
      <c r="B3108" s="930" t="s">
        <v>3688</v>
      </c>
      <c r="C3108" s="859" t="s">
        <v>3512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3294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>
      <c r="B3109" s="930" t="s">
        <v>3688</v>
      </c>
      <c r="C3109" s="870" t="s">
        <v>3511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3213</v>
      </c>
      <c r="I3109" s="1251" t="s">
        <v>3214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>
      <c r="B3110" s="930" t="s">
        <v>3687</v>
      </c>
      <c r="C3110" s="870" t="s">
        <v>3511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3213</v>
      </c>
      <c r="I3110" s="1251" t="s">
        <v>1539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>
      <c r="B3111" s="930" t="s">
        <v>3687</v>
      </c>
      <c r="C3111" s="859" t="s">
        <v>3512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3290</v>
      </c>
      <c r="I3111" s="1273" t="s">
        <v>3522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>
      <c r="B3112" s="930" t="s">
        <v>3686</v>
      </c>
      <c r="C3112" s="859" t="s">
        <v>3512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3535</v>
      </c>
      <c r="I3112" s="1273" t="s">
        <v>1757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>
      <c r="B3113" s="930" t="s">
        <v>3685</v>
      </c>
      <c r="C3113" s="859" t="s">
        <v>3512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1646</v>
      </c>
      <c r="I3113" s="1273" t="s">
        <v>1736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>
      <c r="B3114" s="935" t="s">
        <v>3715</v>
      </c>
      <c r="C3114" s="870" t="s">
        <v>3511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3213</v>
      </c>
      <c r="I3114" s="1251" t="s">
        <v>3214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>
      <c r="B3115" s="935" t="s">
        <v>3713</v>
      </c>
      <c r="C3115" s="859" t="s">
        <v>3512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3290</v>
      </c>
      <c r="I3115" s="1254" t="s">
        <v>4305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>
      <c r="B3116" s="935" t="s">
        <v>3713</v>
      </c>
      <c r="C3116" s="870" t="s">
        <v>3511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3213</v>
      </c>
      <c r="I3116" s="1251" t="s">
        <v>1539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>
      <c r="B3117" s="935" t="s">
        <v>3712</v>
      </c>
      <c r="C3117" s="859" t="s">
        <v>3512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1646</v>
      </c>
      <c r="I3117" s="1256" t="s">
        <v>2334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>
      <c r="B3118" s="935" t="s">
        <v>3711</v>
      </c>
      <c r="C3118" s="859" t="s">
        <v>3512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1434" t="s">
        <v>4685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>
      <c r="B3119" s="935" t="s">
        <v>3711</v>
      </c>
      <c r="C3119" s="870" t="s">
        <v>3511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3213</v>
      </c>
      <c r="I3119" s="1251" t="s">
        <v>3214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>
      <c r="B3120" s="935" t="s">
        <v>3710</v>
      </c>
      <c r="C3120" s="859" t="s">
        <v>3512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3290</v>
      </c>
      <c r="I3120" s="1254" t="s">
        <v>4305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>
      <c r="B3121" s="935" t="s">
        <v>3710</v>
      </c>
      <c r="C3121" s="870" t="s">
        <v>3511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3213</v>
      </c>
      <c r="I3121" s="1251" t="s">
        <v>1539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>
      <c r="B3122" s="935" t="s">
        <v>3709</v>
      </c>
      <c r="C3122" s="859" t="s">
        <v>3512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3535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>
      <c r="B3123" s="935" t="s">
        <v>3708</v>
      </c>
      <c r="C3123" s="859" t="s">
        <v>3512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3535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>
      <c r="B3124" s="935" t="s">
        <v>3707</v>
      </c>
      <c r="C3124" s="859" t="s">
        <v>3512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3294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>
      <c r="B3125" s="935" t="s">
        <v>3706</v>
      </c>
      <c r="C3125" s="859" t="s">
        <v>3512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3535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>
      <c r="B3126" s="935" t="s">
        <v>3705</v>
      </c>
      <c r="C3126" s="859" t="s">
        <v>3512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1646</v>
      </c>
      <c r="I3126" s="1256" t="s">
        <v>1736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>
      <c r="B3127" s="935" t="s">
        <v>3704</v>
      </c>
      <c r="C3127" s="859" t="s">
        <v>3512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3293</v>
      </c>
      <c r="I3127" s="1256" t="s">
        <v>3347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>
      <c r="B3128" s="935" t="s">
        <v>3714</v>
      </c>
      <c r="C3128" s="870" t="s">
        <v>3511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3213</v>
      </c>
      <c r="I3128" s="1251" t="s">
        <v>3214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>
      <c r="B3129" s="935" t="s">
        <v>3703</v>
      </c>
      <c r="C3129" s="859" t="s">
        <v>3512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3290</v>
      </c>
      <c r="I3129" s="1254" t="s">
        <v>4304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>
      <c r="B3130" s="935" t="s">
        <v>3703</v>
      </c>
      <c r="C3130" s="870" t="s">
        <v>3511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3213</v>
      </c>
      <c r="I3130" s="1251" t="s">
        <v>1539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>
      <c r="B3131" s="935" t="s">
        <v>3702</v>
      </c>
      <c r="C3131" s="859" t="s">
        <v>3512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1646</v>
      </c>
      <c r="I3131" s="1256" t="s">
        <v>1542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>
      <c r="B3132" s="935" t="s">
        <v>3701</v>
      </c>
      <c r="C3132" s="859" t="s">
        <v>3512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1646</v>
      </c>
      <c r="I3132" s="1256" t="s">
        <v>2851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>
      <c r="B3133" s="935" t="s">
        <v>3700</v>
      </c>
      <c r="C3133" s="859" t="s">
        <v>3512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1434" t="s">
        <v>4685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>
      <c r="B3134" s="935" t="s">
        <v>3699</v>
      </c>
      <c r="C3134" s="859" t="s">
        <v>3512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3293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>
      <c r="B3135" s="935" t="s">
        <v>3717</v>
      </c>
      <c r="C3135" s="870" t="s">
        <v>3511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3213</v>
      </c>
      <c r="I3135" s="1251" t="s">
        <v>3214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>
      <c r="B3136" s="935" t="s">
        <v>3698</v>
      </c>
      <c r="C3136" s="859" t="s">
        <v>3512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3290</v>
      </c>
      <c r="I3136" s="1256" t="s">
        <v>3522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>
      <c r="B3137" s="935" t="s">
        <v>3698</v>
      </c>
      <c r="C3137" s="870" t="s">
        <v>3511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3213</v>
      </c>
      <c r="I3137" s="1251" t="s">
        <v>1539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>
      <c r="B3138" s="935" t="s">
        <v>3697</v>
      </c>
      <c r="C3138" s="859" t="s">
        <v>3512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1434" t="s">
        <v>4685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>
      <c r="B3139" s="935" t="s">
        <v>3716</v>
      </c>
      <c r="C3139" s="870" t="s">
        <v>3511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3213</v>
      </c>
      <c r="I3139" s="1251" t="s">
        <v>3214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>
      <c r="B3140" s="935" t="s">
        <v>3696</v>
      </c>
      <c r="C3140" s="859" t="s">
        <v>3512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3290</v>
      </c>
      <c r="I3140" s="1254" t="s">
        <v>4305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>
      <c r="B3141" s="935" t="s">
        <v>3696</v>
      </c>
      <c r="C3141" s="870" t="s">
        <v>3511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3213</v>
      </c>
      <c r="I3141" s="1251" t="s">
        <v>1539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>
      <c r="B3142" s="935" t="s">
        <v>3695</v>
      </c>
      <c r="C3142" s="859" t="s">
        <v>3512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1646</v>
      </c>
      <c r="I3142" s="1256" t="s">
        <v>2274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>
      <c r="B3143" s="935" t="s">
        <v>3694</v>
      </c>
      <c r="C3143" s="859" t="s">
        <v>3512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1646</v>
      </c>
      <c r="I3143" s="1256" t="s">
        <v>1542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>
      <c r="B3144" s="935" t="s">
        <v>3693</v>
      </c>
      <c r="C3144" s="859" t="s">
        <v>3512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1646</v>
      </c>
      <c r="I3144" s="1256" t="s">
        <v>1542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>
      <c r="B3145" s="935" t="s">
        <v>3691</v>
      </c>
      <c r="C3145" s="935" t="s">
        <v>3510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3350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3291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>
      <c r="B3146" s="935" t="s">
        <v>3692</v>
      </c>
      <c r="C3146" s="935" t="s">
        <v>3510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3614</v>
      </c>
      <c r="I3146" s="1256" t="s">
        <v>3350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>
      <c r="B3147" s="935" t="s">
        <v>3692</v>
      </c>
      <c r="C3147" s="870" t="s">
        <v>3511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3213</v>
      </c>
      <c r="I3147" s="1251" t="s">
        <v>3214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>
      <c r="B3148" s="935" t="s">
        <v>3692</v>
      </c>
      <c r="C3148" s="859" t="s">
        <v>3512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3294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>
      <c r="B3149" s="935" t="s">
        <v>3691</v>
      </c>
      <c r="C3149" s="870" t="s">
        <v>3511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3213</v>
      </c>
      <c r="I3149" s="1251" t="s">
        <v>1539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>
      <c r="B3150" s="935" t="s">
        <v>3691</v>
      </c>
      <c r="C3150" s="859" t="s">
        <v>3512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3290</v>
      </c>
      <c r="I3150" s="1254" t="s">
        <v>4304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>
      <c r="B3151" s="945" t="s">
        <v>3732</v>
      </c>
      <c r="C3151" s="870" t="s">
        <v>3511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3213</v>
      </c>
      <c r="I3151" s="1251" t="s">
        <v>3214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>
      <c r="B3152" s="945" t="s">
        <v>3732</v>
      </c>
      <c r="C3152" s="859" t="s">
        <v>3512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3294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>
      <c r="B3153" s="945" t="s">
        <v>3741</v>
      </c>
      <c r="C3153" s="859" t="s">
        <v>3512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3367</v>
      </c>
      <c r="I3153" s="1274" t="s">
        <v>3743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3291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>
      <c r="B3154" s="945" t="s">
        <v>3731</v>
      </c>
      <c r="C3154" s="870" t="s">
        <v>3511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3213</v>
      </c>
      <c r="I3154" s="1251" t="s">
        <v>1539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>
      <c r="B3155" s="945" t="s">
        <v>3731</v>
      </c>
      <c r="C3155" s="859" t="s">
        <v>3512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3290</v>
      </c>
      <c r="I3155" s="1274" t="s">
        <v>3522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>
      <c r="B3156" s="945" t="s">
        <v>3730</v>
      </c>
      <c r="C3156" s="870" t="s">
        <v>3511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3213</v>
      </c>
      <c r="I3156" s="1251" t="s">
        <v>3214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>
      <c r="B3157" s="945" t="s">
        <v>3729</v>
      </c>
      <c r="C3157" s="870" t="s">
        <v>3511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3213</v>
      </c>
      <c r="I3157" s="1251" t="s">
        <v>1539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>
      <c r="B3158" s="945" t="s">
        <v>3729</v>
      </c>
      <c r="C3158" s="859" t="s">
        <v>3512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3290</v>
      </c>
      <c r="I3158" s="1274" t="s">
        <v>3522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>
      <c r="B3159" s="945" t="s">
        <v>3728</v>
      </c>
      <c r="C3159" s="870" t="s">
        <v>3511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3213</v>
      </c>
      <c r="I3159" s="1251" t="s">
        <v>3214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>
      <c r="B3160" s="945" t="s">
        <v>3727</v>
      </c>
      <c r="C3160" s="870" t="s">
        <v>3511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3213</v>
      </c>
      <c r="I3160" s="1251" t="s">
        <v>1539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>
      <c r="B3161" s="945" t="s">
        <v>3727</v>
      </c>
      <c r="C3161" s="859" t="s">
        <v>3512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3290</v>
      </c>
      <c r="I3161" s="1254" t="s">
        <v>4305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>
      <c r="B3162" s="945" t="s">
        <v>3740</v>
      </c>
      <c r="C3162" s="859" t="s">
        <v>3512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1646</v>
      </c>
      <c r="I3162" s="1274" t="s">
        <v>1542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>
      <c r="B3163" s="945" t="s">
        <v>3739</v>
      </c>
      <c r="C3163" s="859" t="s">
        <v>3512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1646</v>
      </c>
      <c r="I3163" s="1274" t="s">
        <v>2334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>
      <c r="B3164" s="945" t="s">
        <v>3738</v>
      </c>
      <c r="C3164" s="859" t="s">
        <v>3512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1646</v>
      </c>
      <c r="I3164" s="1274" t="s">
        <v>1736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>
      <c r="B3165" s="945" t="s">
        <v>3737</v>
      </c>
      <c r="C3165" s="859" t="s">
        <v>3512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4464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>
      <c r="B3166" s="945" t="s">
        <v>3736</v>
      </c>
      <c r="C3166" s="859" t="s">
        <v>3512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1434" t="s">
        <v>4685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>
      <c r="B3167" s="945" t="s">
        <v>3735</v>
      </c>
      <c r="C3167" s="859" t="s">
        <v>3512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2008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>
      <c r="B3168" s="945" t="s">
        <v>3724</v>
      </c>
      <c r="C3168" s="859" t="s">
        <v>3512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1646</v>
      </c>
      <c r="I3168" s="1274" t="s">
        <v>1542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>
      <c r="B3169" s="945" t="s">
        <v>3723</v>
      </c>
      <c r="C3169" s="870" t="s">
        <v>3511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3213</v>
      </c>
      <c r="I3169" s="1251" t="s">
        <v>3214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>
      <c r="B3170" s="945" t="s">
        <v>3723</v>
      </c>
      <c r="C3170" s="859" t="s">
        <v>3512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3614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>
      <c r="B3171" s="945" t="s">
        <v>3722</v>
      </c>
      <c r="C3171" s="870" t="s">
        <v>3511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3213</v>
      </c>
      <c r="I3171" s="1251" t="s">
        <v>1539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>
      <c r="B3172" s="945" t="s">
        <v>3722</v>
      </c>
      <c r="C3172" s="859" t="s">
        <v>3512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3290</v>
      </c>
      <c r="I3172" s="1274" t="s">
        <v>3523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>
      <c r="B3173" s="945" t="s">
        <v>3734</v>
      </c>
      <c r="C3173" s="859" t="s">
        <v>3512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1646</v>
      </c>
      <c r="I3173" s="1274" t="s">
        <v>1736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>
      <c r="B3174" s="945" t="s">
        <v>3733</v>
      </c>
      <c r="C3174" s="859" t="s">
        <v>3512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3293</v>
      </c>
      <c r="I3174" s="1274" t="s">
        <v>3347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>
      <c r="B3175" s="955" t="s">
        <v>3751</v>
      </c>
      <c r="C3175" s="859" t="s">
        <v>3512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1646</v>
      </c>
      <c r="I3175" s="1275" t="s">
        <v>1542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>
      <c r="B3176" s="955" t="s">
        <v>3752</v>
      </c>
      <c r="C3176" s="870" t="s">
        <v>3511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3213</v>
      </c>
      <c r="I3176" s="1251" t="s">
        <v>3214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>
      <c r="B3177" s="955" t="s">
        <v>3750</v>
      </c>
      <c r="C3177" s="859" t="s">
        <v>3512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3290</v>
      </c>
      <c r="I3177" s="1275" t="s">
        <v>3753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>
      <c r="B3178" s="955" t="s">
        <v>3750</v>
      </c>
      <c r="C3178" s="870" t="s">
        <v>3511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3213</v>
      </c>
      <c r="I3178" s="1251" t="s">
        <v>1539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>
      <c r="B3179" s="955" t="s">
        <v>3749</v>
      </c>
      <c r="C3179" s="859" t="s">
        <v>3512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3293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>
      <c r="B3180" s="955" t="s">
        <v>3748</v>
      </c>
      <c r="C3180" s="859" t="s">
        <v>3512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3294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>
      <c r="B3181" s="955" t="s">
        <v>3748</v>
      </c>
      <c r="C3181" s="870" t="s">
        <v>3511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3614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>
      <c r="B3182" s="955" t="s">
        <v>3747</v>
      </c>
      <c r="C3182" s="859" t="s">
        <v>3512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1646</v>
      </c>
      <c r="I3182" s="1275" t="s">
        <v>2274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>
      <c r="B3183" s="960" t="s">
        <v>3757</v>
      </c>
      <c r="C3183" s="859" t="s">
        <v>3512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1646</v>
      </c>
      <c r="I3183" s="1276" t="s">
        <v>1542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>
      <c r="B3184" s="960" t="s">
        <v>3762</v>
      </c>
      <c r="C3184" s="960" t="s">
        <v>3511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3213</v>
      </c>
      <c r="I3184" s="1251" t="s">
        <v>3214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>
      <c r="B3185" s="960" t="s">
        <v>3756</v>
      </c>
      <c r="C3185" s="859" t="s">
        <v>3512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3290</v>
      </c>
      <c r="I3185" s="1276" t="s">
        <v>3522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>
      <c r="B3186" s="960" t="s">
        <v>3756</v>
      </c>
      <c r="C3186" s="960" t="s">
        <v>3511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3213</v>
      </c>
      <c r="I3186" s="1251" t="s">
        <v>1539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>
      <c r="B3187" s="960" t="s">
        <v>3758</v>
      </c>
      <c r="C3187" s="960" t="s">
        <v>3510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3768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>
      <c r="B3188" s="960" t="s">
        <v>3758</v>
      </c>
      <c r="C3188" s="960" t="s">
        <v>3511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3213</v>
      </c>
      <c r="I3188" s="1251" t="s">
        <v>3214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>
      <c r="B3189" s="960" t="s">
        <v>3755</v>
      </c>
      <c r="C3189" s="859" t="s">
        <v>3512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3290</v>
      </c>
      <c r="I3189" s="1276" t="s">
        <v>3522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>
      <c r="B3190" s="960" t="s">
        <v>3755</v>
      </c>
      <c r="C3190" s="960" t="s">
        <v>3511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3213</v>
      </c>
      <c r="I3190" s="1251" t="s">
        <v>1539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>
      <c r="B3191" s="960" t="s">
        <v>3754</v>
      </c>
      <c r="C3191" s="859" t="s">
        <v>3512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3768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>
      <c r="B3192" s="975" t="s">
        <v>3779</v>
      </c>
      <c r="C3192" s="859" t="s">
        <v>3512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1646</v>
      </c>
      <c r="I3192" s="1264" t="s">
        <v>2274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>
      <c r="B3193" s="975" t="s">
        <v>3776</v>
      </c>
      <c r="C3193" s="975" t="s">
        <v>3511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3213</v>
      </c>
      <c r="I3193" s="1251" t="s">
        <v>3214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>
      <c r="B3194" s="975" t="s">
        <v>3775</v>
      </c>
      <c r="C3194" s="975" t="s">
        <v>3511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3213</v>
      </c>
      <c r="I3194" s="1251" t="s">
        <v>1539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>
      <c r="B3195" s="975" t="s">
        <v>3775</v>
      </c>
      <c r="C3195" s="859" t="s">
        <v>3512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3290</v>
      </c>
      <c r="I3195" s="1264" t="s">
        <v>3522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>
      <c r="B3196" s="975" t="s">
        <v>3774</v>
      </c>
      <c r="C3196" s="975" t="s">
        <v>3511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3768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>
      <c r="B3197" s="975" t="s">
        <v>3590</v>
      </c>
      <c r="C3197" s="859" t="s">
        <v>3512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3368</v>
      </c>
      <c r="I3197" s="1264" t="s">
        <v>3781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>
      <c r="B3198" s="975" t="s">
        <v>3778</v>
      </c>
      <c r="C3198" s="859" t="s">
        <v>3512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1646</v>
      </c>
      <c r="I3198" s="1264" t="s">
        <v>1736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>
      <c r="B3199" s="975" t="s">
        <v>3777</v>
      </c>
      <c r="C3199" s="859" t="s">
        <v>3512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3768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>
      <c r="B3200" s="975" t="s">
        <v>3769</v>
      </c>
      <c r="C3200" s="975" t="s">
        <v>3510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3768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>
      <c r="B3201" s="975" t="s">
        <v>3769</v>
      </c>
      <c r="C3201" s="975" t="s">
        <v>3511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3213</v>
      </c>
      <c r="I3201" s="1251" t="s">
        <v>3214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>
      <c r="B3202" s="975" t="s">
        <v>3770</v>
      </c>
      <c r="C3202" s="975" t="s">
        <v>3511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3213</v>
      </c>
      <c r="I3202" s="1251" t="s">
        <v>1539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>
      <c r="B3203" s="975" t="s">
        <v>3770</v>
      </c>
      <c r="C3203" s="859" t="s">
        <v>3512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3290</v>
      </c>
      <c r="I3203" s="1264" t="s">
        <v>3522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>
      <c r="B3204" s="980" t="s">
        <v>3794</v>
      </c>
      <c r="C3204" s="859" t="s">
        <v>3512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1646</v>
      </c>
      <c r="I3204" s="1277" t="s">
        <v>1753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>
      <c r="B3205" s="980" t="s">
        <v>3793</v>
      </c>
      <c r="C3205" s="859" t="s">
        <v>3512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1646</v>
      </c>
      <c r="I3205" s="1277" t="s">
        <v>1753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>
      <c r="B3206" s="980" t="s">
        <v>3796</v>
      </c>
      <c r="C3206" s="975" t="s">
        <v>3511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3213</v>
      </c>
      <c r="I3206" s="1251" t="s">
        <v>3214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>
      <c r="B3207" s="980" t="s">
        <v>3792</v>
      </c>
      <c r="C3207" s="859" t="s">
        <v>3512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3290</v>
      </c>
      <c r="I3207" s="1277" t="s">
        <v>3522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>
      <c r="B3208" s="980" t="s">
        <v>3792</v>
      </c>
      <c r="C3208" s="975" t="s">
        <v>3511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3213</v>
      </c>
      <c r="I3208" s="1251" t="s">
        <v>1539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>
      <c r="B3209" s="980" t="s">
        <v>3791</v>
      </c>
      <c r="C3209" s="859" t="s">
        <v>3512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3293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>
      <c r="B3210" s="980" t="s">
        <v>3790</v>
      </c>
      <c r="C3210" s="859" t="s">
        <v>3512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1646</v>
      </c>
      <c r="I3210" s="1277" t="s">
        <v>1753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>
      <c r="B3211" s="980" t="s">
        <v>3795</v>
      </c>
      <c r="C3211" s="975" t="s">
        <v>3511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3213</v>
      </c>
      <c r="I3211" s="1251" t="s">
        <v>3214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>
      <c r="B3212" s="980" t="s">
        <v>3789</v>
      </c>
      <c r="C3212" s="859" t="s">
        <v>3512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3290</v>
      </c>
      <c r="I3212" s="1277" t="s">
        <v>3522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>
      <c r="B3213" s="980" t="s">
        <v>3789</v>
      </c>
      <c r="C3213" s="975" t="s">
        <v>3511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3213</v>
      </c>
      <c r="I3213" s="1251" t="s">
        <v>1539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>
      <c r="B3214" s="980" t="s">
        <v>3788</v>
      </c>
      <c r="C3214" s="859" t="s">
        <v>3512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1646</v>
      </c>
      <c r="I3214" s="1277" t="s">
        <v>2851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>
      <c r="B3215" s="980" t="s">
        <v>3787</v>
      </c>
      <c r="C3215" s="859" t="s">
        <v>3512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1646</v>
      </c>
      <c r="I3215" s="1277" t="s">
        <v>2334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>
      <c r="B3216" s="980" t="s">
        <v>3786</v>
      </c>
      <c r="C3216" s="859" t="s">
        <v>3512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1646</v>
      </c>
      <c r="I3216" s="1277" t="s">
        <v>2851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>
      <c r="B3217" s="980" t="s">
        <v>3785</v>
      </c>
      <c r="C3217" s="859" t="s">
        <v>3512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1646</v>
      </c>
      <c r="I3217" s="1277" t="s">
        <v>1736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>
      <c r="B3218" s="980" t="s">
        <v>3784</v>
      </c>
      <c r="C3218" s="859" t="s">
        <v>3512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1646</v>
      </c>
      <c r="I3218" s="1277" t="s">
        <v>2334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>
      <c r="B3219" s="980" t="s">
        <v>3783</v>
      </c>
      <c r="C3219" s="859" t="s">
        <v>3512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1646</v>
      </c>
      <c r="I3219" s="1277" t="s">
        <v>1542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>
      <c r="B3220" s="980" t="s">
        <v>3782</v>
      </c>
      <c r="C3220" s="859" t="s">
        <v>3512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3535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>
      <c r="B3221" s="985" t="s">
        <v>3815</v>
      </c>
      <c r="C3221" s="859" t="s">
        <v>3512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1646</v>
      </c>
      <c r="I3221" s="1278" t="s">
        <v>1542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>
      <c r="B3222" s="985" t="s">
        <v>3814</v>
      </c>
      <c r="C3222" s="859" t="s">
        <v>3512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1434" t="s">
        <v>4685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>
      <c r="B3223" s="985" t="s">
        <v>3812</v>
      </c>
      <c r="C3223" s="859" t="s">
        <v>3512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1646</v>
      </c>
      <c r="I3223" s="1278" t="s">
        <v>2851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>
      <c r="B3224" s="985" t="s">
        <v>3813</v>
      </c>
      <c r="C3224" s="859" t="s">
        <v>3512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1646</v>
      </c>
      <c r="I3224" s="1278" t="s">
        <v>1542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>
      <c r="B3225" s="985" t="s">
        <v>3811</v>
      </c>
      <c r="C3225" s="859" t="s">
        <v>3512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3293</v>
      </c>
      <c r="I3225" s="1278" t="s">
        <v>3347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>
      <c r="B3226" s="985" t="s">
        <v>3817</v>
      </c>
      <c r="C3226" s="985" t="s">
        <v>3511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3213</v>
      </c>
      <c r="I3226" s="1251" t="s">
        <v>3214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>
      <c r="B3227" s="985" t="s">
        <v>3810</v>
      </c>
      <c r="C3227" s="859" t="s">
        <v>3512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3290</v>
      </c>
      <c r="I3227" s="1278" t="s">
        <v>3522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>
      <c r="B3228" s="985" t="s">
        <v>3810</v>
      </c>
      <c r="C3228" s="985" t="s">
        <v>3511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3213</v>
      </c>
      <c r="I3228" s="1251" t="s">
        <v>1539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>
      <c r="B3229" s="985" t="s">
        <v>3809</v>
      </c>
      <c r="C3229" s="859" t="s">
        <v>3512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3535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>
      <c r="B3230" s="985" t="s">
        <v>3808</v>
      </c>
      <c r="C3230" s="859" t="s">
        <v>3512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3367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2008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>
      <c r="B3231" s="985" t="s">
        <v>3807</v>
      </c>
      <c r="C3231" s="859" t="s">
        <v>3512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1646</v>
      </c>
      <c r="I3231" s="1278" t="s">
        <v>1542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>
      <c r="B3232" s="985" t="s">
        <v>3806</v>
      </c>
      <c r="C3232" s="859" t="s">
        <v>3512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3293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>
      <c r="B3233" s="985" t="s">
        <v>3805</v>
      </c>
      <c r="C3233" s="859" t="s">
        <v>3512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3819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>
      <c r="B3234" s="985" t="s">
        <v>3804</v>
      </c>
      <c r="C3234" s="859" t="s">
        <v>3512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1434" t="s">
        <v>4685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>
      <c r="B3235" s="985" t="s">
        <v>3804</v>
      </c>
      <c r="C3235" s="985" t="s">
        <v>3511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3819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>
      <c r="B3236" s="985" t="s">
        <v>3816</v>
      </c>
      <c r="C3236" s="985" t="s">
        <v>3511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3213</v>
      </c>
      <c r="I3236" s="1251" t="s">
        <v>3214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>
      <c r="B3237" s="985" t="s">
        <v>3803</v>
      </c>
      <c r="C3237" s="859" t="s">
        <v>3512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3290</v>
      </c>
      <c r="I3237" s="1254" t="s">
        <v>4305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>
      <c r="B3238" s="985" t="s">
        <v>3803</v>
      </c>
      <c r="C3238" s="985" t="s">
        <v>3511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3213</v>
      </c>
      <c r="I3238" s="1251" t="s">
        <v>1539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>
      <c r="B3239" s="985" t="s">
        <v>3802</v>
      </c>
      <c r="C3239" s="859" t="s">
        <v>3512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>
      <c r="B3240" s="985" t="s">
        <v>3801</v>
      </c>
      <c r="C3240" s="985" t="s">
        <v>3511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3614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>
      <c r="B3241" s="985" t="s">
        <v>3801</v>
      </c>
      <c r="C3241" s="859" t="s">
        <v>3512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3294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>
      <c r="B3242" s="985" t="s">
        <v>3801</v>
      </c>
      <c r="C3242" s="859" t="s">
        <v>3512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1434" t="s">
        <v>4685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5" t="s">
        <v>3800</v>
      </c>
      <c r="C3243" s="859" t="s">
        <v>3512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3293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5" t="s">
        <v>3800</v>
      </c>
      <c r="C3244" s="985" t="s">
        <v>3511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3293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>
      <c r="B3245" s="985" t="s">
        <v>3800</v>
      </c>
      <c r="C3245" s="859" t="s">
        <v>3512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1646</v>
      </c>
      <c r="I3245" s="1278" t="s">
        <v>3293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>
      <c r="B3246" s="985" t="s">
        <v>3799</v>
      </c>
      <c r="C3246" s="859" t="s">
        <v>3512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3290</v>
      </c>
      <c r="I3246" s="1254" t="s">
        <v>4304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>
      <c r="B3247" s="985" t="s">
        <v>3799</v>
      </c>
      <c r="C3247" s="985" t="s">
        <v>3510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3213</v>
      </c>
      <c r="I3247" s="1251" t="s">
        <v>1539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>
      <c r="B3248" s="985" t="s">
        <v>3801</v>
      </c>
      <c r="C3248" s="985" t="s">
        <v>3510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3213</v>
      </c>
      <c r="I3248" s="1251" t="s">
        <v>3214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>
      <c r="B3249" s="985" t="s">
        <v>3798</v>
      </c>
      <c r="C3249" s="859" t="s">
        <v>3512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3768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>
      <c r="B3250" s="985" t="s">
        <v>3839</v>
      </c>
      <c r="C3250" s="859" t="s">
        <v>3512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1646</v>
      </c>
      <c r="I3250" s="1278" t="s">
        <v>1542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>
      <c r="B3251" s="985" t="s">
        <v>3838</v>
      </c>
      <c r="C3251" s="859" t="s">
        <v>3512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1646</v>
      </c>
      <c r="I3251" s="1278" t="s">
        <v>2851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>
      <c r="B3252" s="985" t="s">
        <v>3837</v>
      </c>
      <c r="C3252" s="859" t="s">
        <v>3512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3535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>
      <c r="B3253" s="985" t="s">
        <v>3840</v>
      </c>
      <c r="C3253" s="985" t="s">
        <v>3511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3213</v>
      </c>
      <c r="I3253" s="1251" t="s">
        <v>3214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>
      <c r="B3254" s="985" t="s">
        <v>3836</v>
      </c>
      <c r="C3254" s="859" t="s">
        <v>3512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3290</v>
      </c>
      <c r="I3254" s="1278" t="s">
        <v>3522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>
      <c r="B3255" s="985" t="s">
        <v>3836</v>
      </c>
      <c r="C3255" s="985" t="s">
        <v>3511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3213</v>
      </c>
      <c r="I3255" s="1251" t="s">
        <v>1539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>
      <c r="B3256" s="985" t="s">
        <v>3835</v>
      </c>
      <c r="C3256" s="859" t="s">
        <v>3512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3585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>
      <c r="B3257" s="985" t="s">
        <v>3834</v>
      </c>
      <c r="C3257" s="859" t="s">
        <v>3512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3614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>
      <c r="B3258" s="985" t="s">
        <v>3834</v>
      </c>
      <c r="C3258" s="985" t="s">
        <v>3511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3213</v>
      </c>
      <c r="I3258" s="1251" t="s">
        <v>3214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>
      <c r="B3259" s="985" t="s">
        <v>3833</v>
      </c>
      <c r="C3259" s="859" t="s">
        <v>3512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4464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>
      <c r="B3260" s="985" t="s">
        <v>3833</v>
      </c>
      <c r="C3260" s="985" t="s">
        <v>3511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3213</v>
      </c>
      <c r="I3260" s="1251" t="s">
        <v>1539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>
      <c r="B3261" s="985" t="s">
        <v>3833</v>
      </c>
      <c r="C3261" s="985" t="s">
        <v>3510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3290</v>
      </c>
      <c r="I3261" s="1254" t="s">
        <v>4305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>
      <c r="B3262" s="985" t="s">
        <v>3832</v>
      </c>
      <c r="C3262" s="859" t="s">
        <v>3512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3633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>
      <c r="B3263" s="985" t="s">
        <v>3831</v>
      </c>
      <c r="C3263" s="859" t="s">
        <v>3512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1646</v>
      </c>
      <c r="I3263" s="1278" t="s">
        <v>1542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>
      <c r="B3264" s="985" t="s">
        <v>3829</v>
      </c>
      <c r="C3264" s="985" t="s">
        <v>3510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3290</v>
      </c>
      <c r="I3264" s="1278" t="s">
        <v>3753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>
      <c r="B3265" s="985" t="s">
        <v>3830</v>
      </c>
      <c r="C3265" s="859" t="s">
        <v>3512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3213</v>
      </c>
      <c r="I3265" s="1278" t="s">
        <v>3214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>
      <c r="B3266" s="985" t="s">
        <v>3829</v>
      </c>
      <c r="C3266" s="859" t="s">
        <v>3512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3213</v>
      </c>
      <c r="I3266" s="1278" t="s">
        <v>1539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>
      <c r="B3267" s="985" t="s">
        <v>3829</v>
      </c>
      <c r="C3267" s="985" t="s">
        <v>3511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3367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2008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>
      <c r="B3268" s="985" t="s">
        <v>3828</v>
      </c>
      <c r="C3268" s="985" t="s">
        <v>3510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3819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>
      <c r="B3269" s="985" t="s">
        <v>3828</v>
      </c>
      <c r="C3269" s="859" t="s">
        <v>3512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3213</v>
      </c>
      <c r="I3269" s="1278" t="s">
        <v>3214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>
      <c r="B3270" s="985" t="s">
        <v>3828</v>
      </c>
      <c r="C3270" s="985" t="s">
        <v>3511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3614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>
      <c r="B3271" s="985" t="s">
        <v>3827</v>
      </c>
      <c r="C3271" s="859" t="s">
        <v>3512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3213</v>
      </c>
      <c r="I3271" s="1278" t="s">
        <v>1539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>
      <c r="B3272" s="985" t="s">
        <v>3827</v>
      </c>
      <c r="C3272" s="985" t="s">
        <v>3511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3290</v>
      </c>
      <c r="I3272" s="1254" t="s">
        <v>4304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>
      <c r="B3273" s="985" t="s">
        <v>3826</v>
      </c>
      <c r="C3273" s="859" t="s">
        <v>3512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3293</v>
      </c>
      <c r="I3273" s="1278" t="s">
        <v>3347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>
      <c r="B3274" s="985" t="s">
        <v>3825</v>
      </c>
      <c r="C3274" s="859" t="s">
        <v>3512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3213</v>
      </c>
      <c r="I3274" s="1278" t="s">
        <v>3214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>
      <c r="B3275" s="985" t="s">
        <v>3825</v>
      </c>
      <c r="C3275" s="985" t="s">
        <v>3511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3819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>
      <c r="B3276" s="985" t="s">
        <v>3824</v>
      </c>
      <c r="C3276" s="985" t="s">
        <v>3511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3290</v>
      </c>
      <c r="I3276" s="1254" t="s">
        <v>4305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>
      <c r="B3277" s="985" t="s">
        <v>3824</v>
      </c>
      <c r="C3277" s="859" t="s">
        <v>3512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3213</v>
      </c>
      <c r="I3277" s="1278" t="s">
        <v>1539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>
      <c r="B3278" s="985" t="s">
        <v>3823</v>
      </c>
      <c r="C3278" s="985" t="s">
        <v>3510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3768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>
      <c r="B3279" s="985" t="s">
        <v>3823</v>
      </c>
      <c r="C3279" s="859" t="s">
        <v>3512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3213</v>
      </c>
      <c r="I3279" s="1278" t="s">
        <v>3214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>
      <c r="B3280" s="985" t="s">
        <v>3822</v>
      </c>
      <c r="C3280" s="985" t="s">
        <v>3511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3290</v>
      </c>
      <c r="I3280" s="1254" t="s">
        <v>4305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>
      <c r="B3281" s="985" t="s">
        <v>3822</v>
      </c>
      <c r="C3281" s="859" t="s">
        <v>3512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3213</v>
      </c>
      <c r="I3281" s="1278" t="s">
        <v>1539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>
      <c r="B3282" s="985" t="s">
        <v>3821</v>
      </c>
      <c r="C3282" s="859" t="s">
        <v>3512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3294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>
      <c r="B3283" s="985" t="s">
        <v>3820</v>
      </c>
      <c r="C3283" s="859" t="s">
        <v>3512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1646</v>
      </c>
      <c r="I3283" s="1278" t="s">
        <v>1542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>
      <c r="B3284" s="990" t="s">
        <v>3861</v>
      </c>
      <c r="C3284" s="859" t="s">
        <v>3512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3213</v>
      </c>
      <c r="I3284" s="1278" t="s">
        <v>3214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>
      <c r="B3285" s="990" t="s">
        <v>3849</v>
      </c>
      <c r="C3285" s="985" t="s">
        <v>3511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3290</v>
      </c>
      <c r="I3285" s="1280" t="s">
        <v>3522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>
      <c r="B3286" s="990" t="s">
        <v>3849</v>
      </c>
      <c r="C3286" s="859" t="s">
        <v>3512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3213</v>
      </c>
      <c r="I3286" s="1278" t="s">
        <v>1539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>
      <c r="B3287" s="990" t="s">
        <v>3860</v>
      </c>
      <c r="C3287" s="859" t="s">
        <v>3512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3213</v>
      </c>
      <c r="I3287" s="1278" t="s">
        <v>3214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>
      <c r="B3288" s="990" t="s">
        <v>3848</v>
      </c>
      <c r="C3288" s="985" t="s">
        <v>3511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3290</v>
      </c>
      <c r="I3288" s="1280" t="s">
        <v>3522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>
      <c r="B3289" s="990" t="s">
        <v>3848</v>
      </c>
      <c r="C3289" s="859" t="s">
        <v>3512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3213</v>
      </c>
      <c r="I3289" s="1278" t="s">
        <v>1539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>
      <c r="B3290" s="990" t="s">
        <v>3859</v>
      </c>
      <c r="C3290" s="859" t="s">
        <v>3512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3213</v>
      </c>
      <c r="I3290" s="1278" t="s">
        <v>3214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>
      <c r="B3291" s="990" t="s">
        <v>3858</v>
      </c>
      <c r="C3291" s="859" t="s">
        <v>3512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3213</v>
      </c>
      <c r="I3291" s="1278" t="s">
        <v>1539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>
      <c r="B3292" s="990" t="s">
        <v>3857</v>
      </c>
      <c r="C3292" s="859" t="s">
        <v>3512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1646</v>
      </c>
      <c r="I3292" s="1433" t="s">
        <v>4684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>
      <c r="B3293" s="990" t="s">
        <v>3856</v>
      </c>
      <c r="C3293" s="859" t="s">
        <v>3512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1646</v>
      </c>
      <c r="I3293" s="1280" t="s">
        <v>1542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>
      <c r="B3294" s="990" t="s">
        <v>3855</v>
      </c>
      <c r="C3294" s="859" t="s">
        <v>3512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3535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>
      <c r="B3295" s="990" t="s">
        <v>3843</v>
      </c>
      <c r="C3295" s="990" t="s">
        <v>3510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3290</v>
      </c>
      <c r="I3295" s="1278" t="s">
        <v>3753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>
      <c r="B3296" s="990" t="s">
        <v>3847</v>
      </c>
      <c r="C3296" s="985" t="s">
        <v>3511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3213</v>
      </c>
      <c r="I3296" s="1251" t="s">
        <v>3214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>
      <c r="B3297" s="990" t="s">
        <v>3843</v>
      </c>
      <c r="C3297" s="985" t="s">
        <v>3511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3213</v>
      </c>
      <c r="I3297" s="1251" t="s">
        <v>1539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>
      <c r="B3298" s="990" t="s">
        <v>3843</v>
      </c>
      <c r="C3298" s="859" t="s">
        <v>3512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3367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4464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>
      <c r="B3299" s="990" t="s">
        <v>3854</v>
      </c>
      <c r="C3299" s="859" t="s">
        <v>3512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1434" t="s">
        <v>4685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>
      <c r="B3300" s="990" t="s">
        <v>3853</v>
      </c>
      <c r="C3300" s="859" t="s">
        <v>3512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4571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0" t="s">
        <v>3853</v>
      </c>
      <c r="C3301" s="859" t="s">
        <v>3512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1646</v>
      </c>
      <c r="I3301" s="1433" t="s">
        <v>4684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0" t="s">
        <v>3852</v>
      </c>
      <c r="C3302" s="859" t="s">
        <v>3512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3294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>
      <c r="B3303" s="990" t="s">
        <v>3851</v>
      </c>
      <c r="C3303" s="859" t="s">
        <v>3512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1646</v>
      </c>
      <c r="I3303" s="1280" t="s">
        <v>2274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>
      <c r="B3304" s="990" t="s">
        <v>3842</v>
      </c>
      <c r="C3304" s="990" t="s">
        <v>3510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3290</v>
      </c>
      <c r="I3304" s="1254" t="s">
        <v>4304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>
      <c r="B3305" s="990" t="s">
        <v>3842</v>
      </c>
      <c r="C3305" s="985" t="s">
        <v>3511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3213</v>
      </c>
      <c r="I3305" s="1251" t="s">
        <v>1539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>
      <c r="B3306" s="990" t="s">
        <v>3842</v>
      </c>
      <c r="C3306" s="859" t="s">
        <v>3512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3367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4465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>
      <c r="B3307" s="990" t="s">
        <v>3846</v>
      </c>
      <c r="C3307" s="985" t="s">
        <v>3511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3213</v>
      </c>
      <c r="I3307" s="1251" t="s">
        <v>3214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>
      <c r="B3308" s="990" t="s">
        <v>3846</v>
      </c>
      <c r="C3308" s="859" t="s">
        <v>3512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3768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>
      <c r="B3309" s="990" t="s">
        <v>3845</v>
      </c>
      <c r="C3309" s="985" t="s">
        <v>3511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3213</v>
      </c>
      <c r="I3309" s="1251" t="s">
        <v>3214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>
      <c r="B3310" s="990" t="s">
        <v>3844</v>
      </c>
      <c r="C3310" s="985" t="s">
        <v>3511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3213</v>
      </c>
      <c r="I3310" s="1251" t="s">
        <v>1539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>
      <c r="B3311" s="990" t="s">
        <v>3844</v>
      </c>
      <c r="C3311" s="859" t="s">
        <v>3512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3290</v>
      </c>
      <c r="I3311" s="1280" t="s">
        <v>3753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>
      <c r="B3312" s="990" t="s">
        <v>3850</v>
      </c>
      <c r="C3312" s="859" t="s">
        <v>3512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1646</v>
      </c>
      <c r="I3312" s="1280" t="s">
        <v>1542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>
      <c r="B3313" s="1006" t="s">
        <v>3891</v>
      </c>
      <c r="C3313" s="859" t="s">
        <v>3512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1646</v>
      </c>
      <c r="I3313" s="1280" t="s">
        <v>2274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>
      <c r="B3314" s="1006" t="s">
        <v>3890</v>
      </c>
      <c r="C3314" s="859" t="s">
        <v>3512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3294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6" t="s">
        <v>3890</v>
      </c>
      <c r="C3315" s="859" t="s">
        <v>3512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4464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6" t="s">
        <v>3889</v>
      </c>
      <c r="C3316" s="859" t="s">
        <v>3512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3535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>
      <c r="B3317" s="1006" t="s">
        <v>3888</v>
      </c>
      <c r="C3317" s="859" t="s">
        <v>3512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1646</v>
      </c>
      <c r="I3317" s="1281" t="s">
        <v>1542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>
      <c r="B3318" s="1006" t="s">
        <v>3887</v>
      </c>
      <c r="C3318" s="859" t="s">
        <v>3512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3634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>
      <c r="B3319" s="1006" t="s">
        <v>3886</v>
      </c>
      <c r="C3319" s="859" t="s">
        <v>3512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1646</v>
      </c>
      <c r="I3319" s="1281" t="s">
        <v>1542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>
      <c r="B3320" s="1012" t="s">
        <v>3902</v>
      </c>
      <c r="C3320" s="859" t="s">
        <v>3512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3768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>
      <c r="B3321" s="1012" t="s">
        <v>3901</v>
      </c>
      <c r="C3321" s="859" t="s">
        <v>3512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3293</v>
      </c>
      <c r="I3321" s="1282" t="s">
        <v>3347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>
      <c r="B3322" s="1012" t="s">
        <v>3900</v>
      </c>
      <c r="C3322" s="859" t="s">
        <v>3512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1646</v>
      </c>
      <c r="I3322" s="1282" t="s">
        <v>1753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>
      <c r="B3323" s="1012" t="s">
        <v>3899</v>
      </c>
      <c r="C3323" s="859" t="s">
        <v>3512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1646</v>
      </c>
      <c r="I3323" s="1282" t="s">
        <v>1542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>
      <c r="B3324" s="1012" t="s">
        <v>3898</v>
      </c>
      <c r="C3324" s="859" t="s">
        <v>3512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1646</v>
      </c>
      <c r="I3324" s="1282" t="s">
        <v>1542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>
      <c r="B3325" s="1012" t="s">
        <v>3897</v>
      </c>
      <c r="C3325" s="859" t="s">
        <v>3512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1646</v>
      </c>
      <c r="I3325" s="1282" t="s">
        <v>1542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>
      <c r="B3326" s="1012" t="s">
        <v>3896</v>
      </c>
      <c r="C3326" s="859" t="s">
        <v>3512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1646</v>
      </c>
      <c r="I3326" s="1282" t="s">
        <v>2851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>
      <c r="B3327" s="1012" t="s">
        <v>3895</v>
      </c>
      <c r="C3327" s="859" t="s">
        <v>3512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1646</v>
      </c>
      <c r="I3327" s="1282" t="s">
        <v>2274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2" t="s">
        <v>3895</v>
      </c>
      <c r="C3328" s="859" t="s">
        <v>3512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3535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2" t="s">
        <v>3894</v>
      </c>
      <c r="C3329" s="859" t="s">
        <v>3512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3293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>
      <c r="B3330" s="1012" t="s">
        <v>3893</v>
      </c>
      <c r="C3330" s="859" t="s">
        <v>3512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3873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>
      <c r="B3331" s="1012" t="s">
        <v>3903</v>
      </c>
      <c r="C3331" s="1012" t="s">
        <v>3511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3213</v>
      </c>
      <c r="I3331" s="1251" t="s">
        <v>3214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>
      <c r="B3332" s="1012" t="s">
        <v>3892</v>
      </c>
      <c r="C3332" s="859" t="s">
        <v>3512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3290</v>
      </c>
      <c r="I3332" s="1282" t="s">
        <v>3522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>
      <c r="B3333" s="1012" t="s">
        <v>3892</v>
      </c>
      <c r="C3333" s="1012" t="s">
        <v>3511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3213</v>
      </c>
      <c r="I3333" s="1251" t="s">
        <v>1539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>
      <c r="B3334" s="1020" t="s">
        <v>3922</v>
      </c>
      <c r="C3334" s="859" t="s">
        <v>3512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3873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>
      <c r="B3335" s="1020" t="s">
        <v>3921</v>
      </c>
      <c r="C3335" s="859" t="s">
        <v>3512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3819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>
      <c r="B3336" s="1020" t="s">
        <v>3924</v>
      </c>
      <c r="C3336" s="1012" t="s">
        <v>3511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3213</v>
      </c>
      <c r="I3336" s="1251" t="s">
        <v>3214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>
      <c r="B3337" s="1020" t="s">
        <v>3920</v>
      </c>
      <c r="C3337" s="1012" t="s">
        <v>3511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3213</v>
      </c>
      <c r="I3337" s="1251" t="s">
        <v>1539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>
      <c r="B3338" s="1020" t="s">
        <v>3920</v>
      </c>
      <c r="C3338" s="859" t="s">
        <v>3512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3290</v>
      </c>
      <c r="I3338" s="1283" t="s">
        <v>3522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>
      <c r="B3339" s="1020" t="s">
        <v>3919</v>
      </c>
      <c r="C3339" s="859" t="s">
        <v>3512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434" t="s">
        <v>4685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>
      <c r="B3340" s="1020" t="s">
        <v>3919</v>
      </c>
      <c r="C3340" s="1012" t="s">
        <v>3511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3213</v>
      </c>
      <c r="I3340" s="1251" t="s">
        <v>3214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>
      <c r="B3341" s="1020" t="s">
        <v>3918</v>
      </c>
      <c r="C3341" s="859" t="s">
        <v>3512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3290</v>
      </c>
      <c r="I3341" s="1254" t="s">
        <v>4305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>
      <c r="B3342" s="1020" t="s">
        <v>3918</v>
      </c>
      <c r="C3342" s="1012" t="s">
        <v>3511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3213</v>
      </c>
      <c r="I3342" s="1251" t="s">
        <v>1539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>
      <c r="B3343" s="1020" t="s">
        <v>3917</v>
      </c>
      <c r="C3343" s="859" t="s">
        <v>3512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1438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>
      <c r="B3344" s="1020" t="s">
        <v>3916</v>
      </c>
      <c r="C3344" s="859" t="s">
        <v>3512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1646</v>
      </c>
      <c r="I3344" s="1283" t="s">
        <v>2851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>
      <c r="B3345" s="1020" t="s">
        <v>3915</v>
      </c>
      <c r="C3345" s="859" t="s">
        <v>3512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>
      <c r="B3346" s="1020" t="s">
        <v>3914</v>
      </c>
      <c r="C3346" s="859" t="s">
        <v>3512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1359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>
      <c r="B3347" s="1020" t="s">
        <v>3914</v>
      </c>
      <c r="C3347" s="1012" t="s">
        <v>3511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3873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>
      <c r="B3348" s="1020" t="s">
        <v>3913</v>
      </c>
      <c r="C3348" s="859" t="s">
        <v>3512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3367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1359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>
      <c r="B3349" s="1020" t="s">
        <v>3912</v>
      </c>
      <c r="C3349" s="859" t="s">
        <v>3512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3873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>
      <c r="B3350" s="1020" t="s">
        <v>3911</v>
      </c>
      <c r="C3350" s="859" t="s">
        <v>3512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3873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>
      <c r="B3351" s="1020" t="s">
        <v>3910</v>
      </c>
      <c r="C3351" s="859" t="s">
        <v>3512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1438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>
      <c r="B3352" s="1020" t="s">
        <v>3923</v>
      </c>
      <c r="C3352" s="1012" t="s">
        <v>3511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3213</v>
      </c>
      <c r="I3352" s="1251" t="s">
        <v>3214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>
      <c r="B3353" s="1020" t="s">
        <v>3909</v>
      </c>
      <c r="C3353" s="1012" t="s">
        <v>3511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3213</v>
      </c>
      <c r="I3353" s="1251" t="s">
        <v>1539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>
      <c r="B3354" s="1020" t="s">
        <v>3909</v>
      </c>
      <c r="C3354" s="859" t="s">
        <v>3512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3290</v>
      </c>
      <c r="I3354" s="1254" t="s">
        <v>4305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>
      <c r="B3355" s="1020" t="s">
        <v>3908</v>
      </c>
      <c r="C3355" s="859" t="s">
        <v>3512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434" t="s">
        <v>4685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>
      <c r="B3356" s="1020" t="s">
        <v>3907</v>
      </c>
      <c r="C3356" s="859" t="s">
        <v>3512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1646</v>
      </c>
      <c r="I3356" s="1283" t="s">
        <v>1736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>
      <c r="B3357" s="1033" t="s">
        <v>3968</v>
      </c>
      <c r="C3357" s="859" t="s">
        <v>3512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3819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>
      <c r="B3358" s="1033" t="s">
        <v>3967</v>
      </c>
      <c r="C3358" s="859" t="s">
        <v>3512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434" t="s">
        <v>4685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>
      <c r="B3359" s="1033" t="s">
        <v>3967</v>
      </c>
      <c r="C3359" s="1012" t="s">
        <v>3511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3819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>
      <c r="B3360" s="1033" t="s">
        <v>3966</v>
      </c>
      <c r="C3360" s="859" t="s">
        <v>3512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3614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>
      <c r="B3361" s="1033" t="s">
        <v>3966</v>
      </c>
      <c r="C3361" s="1012" t="s">
        <v>3511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3213</v>
      </c>
      <c r="I3361" s="1251" t="s">
        <v>3214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>
      <c r="B3362" s="1033" t="s">
        <v>3965</v>
      </c>
      <c r="C3362" s="859" t="s">
        <v>3512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3290</v>
      </c>
      <c r="I3362" s="1284" t="s">
        <v>3522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>
      <c r="B3363" s="1033" t="s">
        <v>3965</v>
      </c>
      <c r="C3363" s="1012" t="s">
        <v>3511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3213</v>
      </c>
      <c r="I3363" s="1251" t="s">
        <v>1539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>
      <c r="B3364" s="1033" t="s">
        <v>3964</v>
      </c>
      <c r="C3364" s="859" t="s">
        <v>3512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1646</v>
      </c>
      <c r="I3364" s="1433" t="s">
        <v>4684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>
      <c r="B3365" s="1033" t="s">
        <v>3963</v>
      </c>
      <c r="C3365" s="859" t="s">
        <v>3512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1646</v>
      </c>
      <c r="I3365" s="1284" t="s">
        <v>1736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>
      <c r="B3366" s="1033" t="s">
        <v>3969</v>
      </c>
      <c r="C3366" s="1012" t="s">
        <v>3511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3213</v>
      </c>
      <c r="I3366" s="1251" t="s">
        <v>3214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>
      <c r="B3367" s="1033" t="s">
        <v>3960</v>
      </c>
      <c r="C3367" s="1033" t="s">
        <v>3510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3169</v>
      </c>
      <c r="I3367" s="1284" t="s">
        <v>3171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>
      <c r="B3368" s="1033" t="s">
        <v>3962</v>
      </c>
      <c r="C3368" s="859" t="s">
        <v>3512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3290</v>
      </c>
      <c r="I3368" s="1284" t="s">
        <v>3522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>
      <c r="B3369" s="1033" t="s">
        <v>3962</v>
      </c>
      <c r="C3369" s="1012" t="s">
        <v>3511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3213</v>
      </c>
      <c r="I3369" s="1251" t="s">
        <v>1539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>
      <c r="B3370" s="1033" t="s">
        <v>3961</v>
      </c>
      <c r="C3370" s="859" t="s">
        <v>3512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3768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>
      <c r="B3371" s="1033" t="s">
        <v>3960</v>
      </c>
      <c r="C3371" s="1012" t="s">
        <v>3511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3213</v>
      </c>
      <c r="I3371" s="1251" t="s">
        <v>3214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>
      <c r="B3372" s="1033" t="s">
        <v>3960</v>
      </c>
      <c r="C3372" s="859" t="s">
        <v>3512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434" t="s">
        <v>4685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>
      <c r="B3373" s="1033" t="s">
        <v>3959</v>
      </c>
      <c r="C3373" s="859" t="s">
        <v>3512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1646</v>
      </c>
      <c r="I3373" s="1284" t="s">
        <v>2851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>
      <c r="B3374" s="1033" t="s">
        <v>3958</v>
      </c>
      <c r="C3374" s="859" t="s">
        <v>3512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3290</v>
      </c>
      <c r="I3374" s="1254" t="s">
        <v>4305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>
      <c r="B3375" s="1033" t="s">
        <v>3958</v>
      </c>
      <c r="C3375" s="1012" t="s">
        <v>3511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3213</v>
      </c>
      <c r="I3375" s="1251" t="s">
        <v>1539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>
      <c r="B3376" s="1033" t="s">
        <v>3957</v>
      </c>
      <c r="C3376" s="859" t="s">
        <v>3512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3873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>
      <c r="B3377" s="1033" t="s">
        <v>3956</v>
      </c>
      <c r="C3377" s="859" t="s">
        <v>3512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3768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>
      <c r="B3378" s="1033" t="s">
        <v>3955</v>
      </c>
      <c r="C3378" s="859" t="s">
        <v>3512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1646</v>
      </c>
      <c r="I3378" s="1284" t="s">
        <v>2274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>
      <c r="B3379" s="1033" t="s">
        <v>3954</v>
      </c>
      <c r="C3379" s="859" t="s">
        <v>3512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3213</v>
      </c>
      <c r="I3379" s="1284" t="s">
        <v>3214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>
      <c r="B3380" s="1033" t="s">
        <v>3953</v>
      </c>
      <c r="C3380" s="859" t="s">
        <v>3512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3213</v>
      </c>
      <c r="I3380" s="1278" t="s">
        <v>1539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>
      <c r="B3381" s="1033" t="s">
        <v>3952</v>
      </c>
      <c r="C3381" s="859" t="s">
        <v>3512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3290</v>
      </c>
      <c r="I3381" s="1284" t="s">
        <v>3522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>
      <c r="B3382" s="1033" t="s">
        <v>3951</v>
      </c>
      <c r="C3382" s="859" t="s">
        <v>3512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3873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>
      <c r="B3383" s="1033" t="s">
        <v>3950</v>
      </c>
      <c r="C3383" s="859" t="s">
        <v>3512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3872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>
      <c r="B3384" s="1040" t="s">
        <v>3989</v>
      </c>
      <c r="C3384" s="859" t="s">
        <v>3512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3290</v>
      </c>
      <c r="I3384" s="1285" t="s">
        <v>3522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>
      <c r="B3385" s="1040" t="s">
        <v>3988</v>
      </c>
      <c r="C3385" s="859" t="s">
        <v>3512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1646</v>
      </c>
      <c r="I3385" s="1285" t="s">
        <v>2334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>
      <c r="B3386" s="1040" t="s">
        <v>3987</v>
      </c>
      <c r="C3386" s="859" t="s">
        <v>3512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3294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0" t="s">
        <v>3987</v>
      </c>
      <c r="C3387" s="859" t="s">
        <v>3512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434" t="s">
        <v>4685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0" t="s">
        <v>3986</v>
      </c>
      <c r="C3388" s="859" t="s">
        <v>3512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3873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>
      <c r="B3389" s="1040" t="s">
        <v>3985</v>
      </c>
      <c r="C3389" s="859" t="s">
        <v>3512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3290</v>
      </c>
      <c r="I3389" s="1285" t="s">
        <v>3522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>
      <c r="B3390" s="1040" t="s">
        <v>3984</v>
      </c>
      <c r="C3390" s="859" t="s">
        <v>3512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3819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>
      <c r="B3391" s="1040" t="s">
        <v>3983</v>
      </c>
      <c r="C3391" s="859" t="s">
        <v>3512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3872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>
      <c r="B3392" s="1040" t="s">
        <v>3982</v>
      </c>
      <c r="C3392" s="859" t="s">
        <v>3512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1646</v>
      </c>
      <c r="I3392" s="1285" t="s">
        <v>2851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>
      <c r="B3393" s="1040" t="s">
        <v>3981</v>
      </c>
      <c r="C3393" s="859" t="s">
        <v>3512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3873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>
      <c r="B3394" s="1040" t="s">
        <v>3980</v>
      </c>
      <c r="C3394" s="859" t="s">
        <v>3512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3213</v>
      </c>
      <c r="I3394" s="1284" t="s">
        <v>3214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>
      <c r="B3395" s="1040" t="s">
        <v>3979</v>
      </c>
      <c r="C3395" s="859" t="s">
        <v>3512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3213</v>
      </c>
      <c r="I3395" s="1251" t="s">
        <v>1539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>
      <c r="B3396" s="1040" t="s">
        <v>3978</v>
      </c>
      <c r="C3396" s="859" t="s">
        <v>3512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3768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>
      <c r="B3397" s="1040" t="s">
        <v>3977</v>
      </c>
      <c r="C3397" s="859" t="s">
        <v>3512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3768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>
      <c r="B3398" s="1040" t="s">
        <v>3976</v>
      </c>
      <c r="C3398" s="859" t="s">
        <v>3512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3873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>
      <c r="B3399" s="1040" t="s">
        <v>3975</v>
      </c>
      <c r="C3399" s="859" t="s">
        <v>3512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1646</v>
      </c>
      <c r="I3399" s="1285" t="s">
        <v>2851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>
      <c r="B3400" s="1040" t="s">
        <v>3974</v>
      </c>
      <c r="C3400" s="859" t="s">
        <v>3512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3294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>
      <c r="B3401" s="1040" t="s">
        <v>3974</v>
      </c>
      <c r="C3401" s="1012" t="s">
        <v>3511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3213</v>
      </c>
      <c r="I3401" s="1284" t="s">
        <v>3214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>
      <c r="B3402" s="1040" t="s">
        <v>3990</v>
      </c>
      <c r="C3402" s="1012" t="s">
        <v>3511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3213</v>
      </c>
      <c r="I3402" s="1251" t="s">
        <v>1539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>
      <c r="B3403" s="1045" t="s">
        <v>4033</v>
      </c>
      <c r="C3403" s="859" t="s">
        <v>3512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3213</v>
      </c>
      <c r="I3403" s="1284" t="s">
        <v>3214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>
      <c r="B3404" s="1045" t="s">
        <v>4033</v>
      </c>
      <c r="C3404" s="1012" t="s">
        <v>3511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3819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>
      <c r="B3405" s="1045" t="s">
        <v>4032</v>
      </c>
      <c r="C3405" s="859" t="s">
        <v>3512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3213</v>
      </c>
      <c r="I3405" s="1251" t="s">
        <v>1539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>
      <c r="B3406" s="1045" t="s">
        <v>4031</v>
      </c>
      <c r="C3406" s="1045" t="s">
        <v>3510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3290</v>
      </c>
      <c r="I3406" s="1286" t="s">
        <v>3522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>
      <c r="B3407" s="1045" t="s">
        <v>4031</v>
      </c>
      <c r="C3407" s="859" t="s">
        <v>3512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3213</v>
      </c>
      <c r="I3407" s="1251" t="s">
        <v>1539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>
      <c r="B3408" s="1045" t="s">
        <v>4030</v>
      </c>
      <c r="C3408" s="859" t="s">
        <v>3512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3213</v>
      </c>
      <c r="I3408" s="1284" t="s">
        <v>3214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>
      <c r="B3409" s="1045" t="s">
        <v>4029</v>
      </c>
      <c r="C3409" s="859" t="s">
        <v>3512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1646</v>
      </c>
      <c r="I3409" s="1286" t="s">
        <v>1736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>
      <c r="B3410" s="1045" t="s">
        <v>4028</v>
      </c>
      <c r="C3410" s="859" t="s">
        <v>3512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3768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>
      <c r="B3411" s="1045" t="s">
        <v>4027</v>
      </c>
      <c r="C3411" s="859" t="s">
        <v>3512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3768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>
      <c r="B3412" s="1045" t="s">
        <v>4026</v>
      </c>
      <c r="C3412" s="859" t="s">
        <v>3512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1646</v>
      </c>
      <c r="I3412" s="1286" t="s">
        <v>2851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>
      <c r="B3413" s="1045" t="s">
        <v>4025</v>
      </c>
      <c r="C3413" s="859" t="s">
        <v>3512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3819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>
      <c r="B3414" s="1045" t="s">
        <v>4024</v>
      </c>
      <c r="C3414" s="859" t="s">
        <v>3512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1646</v>
      </c>
      <c r="I3414" s="1286" t="s">
        <v>1736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>
      <c r="B3415" s="1045" t="s">
        <v>4023</v>
      </c>
      <c r="C3415" s="859" t="s">
        <v>3512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3213</v>
      </c>
      <c r="I3415" s="1284" t="s">
        <v>3214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>
      <c r="B3416" s="1045" t="s">
        <v>4022</v>
      </c>
      <c r="C3416" s="859" t="s">
        <v>3512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3213</v>
      </c>
      <c r="I3416" s="1251" t="s">
        <v>1539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>
      <c r="B3417" s="1045" t="s">
        <v>4022</v>
      </c>
      <c r="C3417" s="1012" t="s">
        <v>3511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3290</v>
      </c>
      <c r="I3417" s="1254" t="s">
        <v>4305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>
      <c r="B3418" s="1045" t="s">
        <v>4021</v>
      </c>
      <c r="C3418" s="859" t="s">
        <v>3512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3294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>
      <c r="B3419" s="1045" t="s">
        <v>4021</v>
      </c>
      <c r="C3419" s="1012" t="s">
        <v>3511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3768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>
      <c r="B3420" s="1045" t="s">
        <v>4020</v>
      </c>
      <c r="C3420" s="859" t="s">
        <v>3512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3768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>
      <c r="B3421" s="1045" t="s">
        <v>4019</v>
      </c>
      <c r="C3421" s="859" t="s">
        <v>3512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3213</v>
      </c>
      <c r="I3421" s="1284" t="s">
        <v>3214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>
      <c r="B3422" s="1045" t="s">
        <v>4018</v>
      </c>
      <c r="C3422" s="859" t="s">
        <v>3512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3213</v>
      </c>
      <c r="I3422" s="1251" t="s">
        <v>1539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>
      <c r="B3423" s="1045" t="s">
        <v>4018</v>
      </c>
      <c r="C3423" s="1012" t="s">
        <v>3511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3290</v>
      </c>
      <c r="I3423" s="1286" t="s">
        <v>3522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>
      <c r="B3424" s="1045" t="s">
        <v>4017</v>
      </c>
      <c r="C3424" s="859" t="s">
        <v>3512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3213</v>
      </c>
      <c r="I3424" s="1284" t="s">
        <v>3214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>
      <c r="B3425" s="1045" t="s">
        <v>4016</v>
      </c>
      <c r="C3425" s="859" t="s">
        <v>3512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3213</v>
      </c>
      <c r="I3425" s="1251" t="s">
        <v>1539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>
      <c r="B3426" s="1045" t="s">
        <v>4016</v>
      </c>
      <c r="C3426" s="1012" t="s">
        <v>3511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3290</v>
      </c>
      <c r="I3426" s="1286" t="s">
        <v>3522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>
      <c r="B3427" s="1045" t="s">
        <v>4015</v>
      </c>
      <c r="C3427" s="859" t="s">
        <v>3512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1646</v>
      </c>
      <c r="I3427" s="1286" t="s">
        <v>2851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>
      <c r="B3428" s="1045" t="s">
        <v>4014</v>
      </c>
      <c r="C3428" s="859" t="s">
        <v>3512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3294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>
      <c r="B3429" s="1045" t="s">
        <v>4035</v>
      </c>
      <c r="C3429" s="1012" t="s">
        <v>3511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3213</v>
      </c>
      <c r="I3429" s="1284" t="s">
        <v>3214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>
      <c r="B3430" s="1045" t="s">
        <v>4013</v>
      </c>
      <c r="C3430" s="1045" t="s">
        <v>3510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3290</v>
      </c>
      <c r="I3430" s="1254" t="s">
        <v>4305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>
      <c r="B3431" s="1045" t="s">
        <v>4013</v>
      </c>
      <c r="C3431" s="859" t="s">
        <v>3512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3023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>
      <c r="B3432" s="1045" t="s">
        <v>4013</v>
      </c>
      <c r="C3432" s="1045" t="s">
        <v>3511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3213</v>
      </c>
      <c r="I3432" s="1251" t="s">
        <v>1539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>
      <c r="B3433" s="1045" t="s">
        <v>4012</v>
      </c>
      <c r="C3433" s="859" t="s">
        <v>3512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3213</v>
      </c>
      <c r="I3433" s="1284" t="s">
        <v>3214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>
      <c r="B3434" s="1045" t="s">
        <v>4011</v>
      </c>
      <c r="C3434" s="859" t="s">
        <v>3512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3213</v>
      </c>
      <c r="I3434" s="1251" t="s">
        <v>1539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>
      <c r="B3435" s="1045" t="s">
        <v>4011</v>
      </c>
      <c r="C3435" s="1012" t="s">
        <v>3511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3290</v>
      </c>
      <c r="I3435" s="1286" t="s">
        <v>3522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>
      <c r="B3436" s="1045" t="s">
        <v>4010</v>
      </c>
      <c r="C3436" s="859" t="s">
        <v>3512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1646</v>
      </c>
      <c r="I3436" s="1286" t="s">
        <v>2851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>
      <c r="B3437" s="1045" t="s">
        <v>4009</v>
      </c>
      <c r="C3437" s="859" t="s">
        <v>3512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3873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>
      <c r="B3438" s="1045" t="s">
        <v>4009</v>
      </c>
      <c r="C3438" s="1012" t="s">
        <v>3511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3768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>
      <c r="B3439" s="1045" t="s">
        <v>4007</v>
      </c>
      <c r="C3439" s="1045" t="s">
        <v>3510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3290</v>
      </c>
      <c r="I3439" s="1254" t="s">
        <v>4305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>
      <c r="B3440" s="1045" t="s">
        <v>4008</v>
      </c>
      <c r="C3440" s="1045" t="s">
        <v>3510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3169</v>
      </c>
      <c r="I3440" s="1284" t="s">
        <v>3171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>
      <c r="B3441" s="1045" t="s">
        <v>4008</v>
      </c>
      <c r="C3441" s="859" t="s">
        <v>3512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3213</v>
      </c>
      <c r="I3441" s="1284" t="s">
        <v>3214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>
      <c r="B3442" s="1045" t="s">
        <v>4008</v>
      </c>
      <c r="C3442" s="1012" t="s">
        <v>3511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3819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>
      <c r="B3443" s="1045" t="s">
        <v>4007</v>
      </c>
      <c r="C3443" s="859" t="s">
        <v>3512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3213</v>
      </c>
      <c r="I3443" s="1251" t="s">
        <v>1539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>
      <c r="B3444" s="1045" t="s">
        <v>4006</v>
      </c>
      <c r="C3444" s="859" t="s">
        <v>3512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3290</v>
      </c>
      <c r="I3444" s="1286" t="s">
        <v>3522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>
      <c r="B3445" s="1045" t="s">
        <v>4005</v>
      </c>
      <c r="C3445" s="859" t="s">
        <v>3512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3768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>
      <c r="B3446" s="1045" t="s">
        <v>4005</v>
      </c>
      <c r="C3446" s="1012" t="s">
        <v>3511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3213</v>
      </c>
      <c r="I3446" s="1284" t="s">
        <v>3214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>
      <c r="B3447" s="1045" t="s">
        <v>4034</v>
      </c>
      <c r="C3447" s="1012" t="s">
        <v>3511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3213</v>
      </c>
      <c r="I3447" s="1251" t="s">
        <v>1539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>
      <c r="B3448" s="1045" t="s">
        <v>4004</v>
      </c>
      <c r="C3448" s="859" t="s">
        <v>3512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3768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>
      <c r="B3449" s="1045" t="s">
        <v>4003</v>
      </c>
      <c r="C3449" s="859" t="s">
        <v>3512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3768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>
      <c r="B3450" s="1045" t="s">
        <v>4002</v>
      </c>
      <c r="C3450" s="859" t="s">
        <v>3512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>
      <c r="B3451" s="1045" t="s">
        <v>4001</v>
      </c>
      <c r="C3451" s="859" t="s">
        <v>3512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1646</v>
      </c>
      <c r="I3451" s="1286" t="s">
        <v>2334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>
      <c r="B3452" s="1045" t="s">
        <v>4000</v>
      </c>
      <c r="C3452" s="859" t="s">
        <v>3512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1646</v>
      </c>
      <c r="I3452" s="1286" t="s">
        <v>1736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>
      <c r="B3453" s="1045" t="s">
        <v>3999</v>
      </c>
      <c r="C3453" s="859" t="s">
        <v>3512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3213</v>
      </c>
      <c r="I3453" s="1284" t="s">
        <v>3214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>
      <c r="B3454" s="1045" t="s">
        <v>3998</v>
      </c>
      <c r="C3454" s="859" t="s">
        <v>3512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3213</v>
      </c>
      <c r="I3454" s="1251" t="s">
        <v>1539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>
      <c r="B3455" s="1045" t="s">
        <v>3997</v>
      </c>
      <c r="C3455" s="859" t="s">
        <v>3512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1646</v>
      </c>
      <c r="I3455" s="1286" t="s">
        <v>1736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>
      <c r="B3456" s="1045" t="s">
        <v>3996</v>
      </c>
      <c r="C3456" s="859" t="s">
        <v>3512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1646</v>
      </c>
      <c r="I3456" s="1433" t="s">
        <v>4684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>
      <c r="B3457" s="1045" t="s">
        <v>3995</v>
      </c>
      <c r="C3457" s="859" t="s">
        <v>3512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3213</v>
      </c>
      <c r="I3457" s="1284" t="s">
        <v>3214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>
      <c r="B3458" s="1045" t="s">
        <v>3994</v>
      </c>
      <c r="C3458" s="859" t="s">
        <v>3512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3213</v>
      </c>
      <c r="I3458" s="1251" t="s">
        <v>1539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>
      <c r="B3459" s="1045" t="s">
        <v>3994</v>
      </c>
      <c r="C3459" s="1012" t="s">
        <v>3511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3290</v>
      </c>
      <c r="I3459" s="1286" t="s">
        <v>3522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>
      <c r="B3460" s="1045" t="s">
        <v>3993</v>
      </c>
      <c r="C3460" s="859" t="s">
        <v>3512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1646</v>
      </c>
      <c r="I3460" s="1433" t="s">
        <v>4684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>
      <c r="B3461" s="1045" t="s">
        <v>3992</v>
      </c>
      <c r="C3461" s="859" t="s">
        <v>3512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3768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>
      <c r="B3462" s="1045" t="s">
        <v>3992</v>
      </c>
      <c r="C3462" s="1012" t="s">
        <v>3511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3294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>
      <c r="B3463" s="1053" t="s">
        <v>4073</v>
      </c>
      <c r="C3463" s="859" t="s">
        <v>3512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1646</v>
      </c>
      <c r="I3463" s="1287" t="s">
        <v>1698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3" t="s">
        <v>4073</v>
      </c>
      <c r="C3464" s="859" t="s">
        <v>3512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1646</v>
      </c>
      <c r="I3464" s="1287" t="s">
        <v>1736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3" t="s">
        <v>4072</v>
      </c>
      <c r="C3465" s="859" t="s">
        <v>3512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3367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1438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>
      <c r="B3466" s="1053" t="s">
        <v>4071</v>
      </c>
      <c r="C3466" s="859" t="s">
        <v>3512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3294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>
      <c r="B3467" s="1053" t="s">
        <v>4071</v>
      </c>
      <c r="C3467" s="1012" t="s">
        <v>3511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3819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>
      <c r="B3468" s="1053" t="s">
        <v>4070</v>
      </c>
      <c r="C3468" s="859" t="s">
        <v>3512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1646</v>
      </c>
      <c r="I3468" s="1287" t="s">
        <v>2851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>
      <c r="B3469" s="1053" t="s">
        <v>4069</v>
      </c>
      <c r="C3469" s="859" t="s">
        <v>3512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1646</v>
      </c>
      <c r="I3469" s="1287" t="s">
        <v>3293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>
      <c r="B3470" s="1053" t="s">
        <v>4066</v>
      </c>
      <c r="C3470" s="1053" t="s">
        <v>3510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3290</v>
      </c>
      <c r="I3470" s="1286" t="s">
        <v>3522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>
      <c r="B3471" s="1053" t="s">
        <v>4067</v>
      </c>
      <c r="C3471" s="859" t="s">
        <v>3512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434" t="s">
        <v>4685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>
      <c r="B3472" s="1053" t="s">
        <v>4068</v>
      </c>
      <c r="C3472" s="859" t="s">
        <v>3512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3294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>
      <c r="B3473" s="1053" t="s">
        <v>4068</v>
      </c>
      <c r="C3473" s="1012" t="s">
        <v>3511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3213</v>
      </c>
      <c r="I3473" s="1284" t="s">
        <v>3214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>
      <c r="B3474" s="1053" t="s">
        <v>4066</v>
      </c>
      <c r="C3474" s="859" t="s">
        <v>3512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4464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>
      <c r="B3475" s="1053" t="s">
        <v>4066</v>
      </c>
      <c r="C3475" s="1012" t="s">
        <v>3511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3213</v>
      </c>
      <c r="I3475" s="1251" t="s">
        <v>1539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>
      <c r="B3476" s="1053" t="s">
        <v>4065</v>
      </c>
      <c r="C3476" s="859" t="s">
        <v>3512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434" t="s">
        <v>4685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>
      <c r="B3477" s="1053" t="s">
        <v>4064</v>
      </c>
      <c r="C3477" s="859" t="s">
        <v>3512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3213</v>
      </c>
      <c r="I3477" s="1284" t="s">
        <v>3214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>
      <c r="B3478" s="1053" t="s">
        <v>4063</v>
      </c>
      <c r="C3478" s="859" t="s">
        <v>3512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3213</v>
      </c>
      <c r="I3478" s="1251" t="s">
        <v>1539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>
      <c r="B3479" s="1053" t="s">
        <v>4063</v>
      </c>
      <c r="C3479" s="1012" t="s">
        <v>3511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3290</v>
      </c>
      <c r="I3479" s="1254" t="s">
        <v>4304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>
      <c r="B3480" s="1053" t="s">
        <v>4062</v>
      </c>
      <c r="C3480" s="859" t="s">
        <v>3512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434" t="s">
        <v>4685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>
      <c r="B3481" s="1053" t="s">
        <v>4061</v>
      </c>
      <c r="C3481" s="859" t="s">
        <v>3512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3294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>
      <c r="B3482" s="1053" t="s">
        <v>4061</v>
      </c>
      <c r="C3482" s="1012" t="s">
        <v>3511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3819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>
      <c r="B3483" s="1053" t="s">
        <v>4060</v>
      </c>
      <c r="C3483" s="859" t="s">
        <v>3512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3023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>
      <c r="B3484" s="1053" t="s">
        <v>4059</v>
      </c>
      <c r="C3484" s="859" t="s">
        <v>3512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3023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>
      <c r="B3485" s="1053" t="s">
        <v>4056</v>
      </c>
      <c r="C3485" s="1053" t="s">
        <v>3510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3213</v>
      </c>
      <c r="I3485" s="1251" t="s">
        <v>1539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>
      <c r="B3486" s="1053" t="s">
        <v>4058</v>
      </c>
      <c r="C3486" s="1053" t="s">
        <v>3510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3213</v>
      </c>
      <c r="I3486" s="1251" t="s">
        <v>3214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>
      <c r="B3487" s="1053" t="s">
        <v>4058</v>
      </c>
      <c r="C3487" s="859" t="s">
        <v>3512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3819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>
      <c r="B3488" s="1053" t="s">
        <v>4057</v>
      </c>
      <c r="C3488" s="859" t="s">
        <v>3512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>
      <c r="B3489" s="1053" t="s">
        <v>4056</v>
      </c>
      <c r="C3489" s="859" t="s">
        <v>3512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3290</v>
      </c>
      <c r="I3489" s="1254" t="s">
        <v>4305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>
      <c r="B3490" s="1053" t="s">
        <v>4055</v>
      </c>
      <c r="C3490" s="859" t="s">
        <v>3512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1646</v>
      </c>
      <c r="I3490" s="1287" t="s">
        <v>2534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>
      <c r="B3491" s="1053" t="s">
        <v>4054</v>
      </c>
      <c r="C3491" s="859" t="s">
        <v>3512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1646</v>
      </c>
      <c r="I3491" s="1287" t="s">
        <v>2334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>
      <c r="B3492" s="1053" t="s">
        <v>4053</v>
      </c>
      <c r="C3492" s="859" t="s">
        <v>3512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1646</v>
      </c>
      <c r="I3492" s="1287" t="s">
        <v>2851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>
      <c r="B3493" s="1053" t="s">
        <v>4052</v>
      </c>
      <c r="C3493" s="859" t="s">
        <v>3512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434" t="s">
        <v>4685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>
      <c r="B3494" s="1053" t="s">
        <v>4051</v>
      </c>
      <c r="C3494" s="859" t="s">
        <v>3512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>
      <c r="B3495" s="1053" t="s">
        <v>4049</v>
      </c>
      <c r="C3495" s="1053" t="s">
        <v>3510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3290</v>
      </c>
      <c r="I3495" s="1286" t="s">
        <v>3522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>
      <c r="B3496" s="1053" t="s">
        <v>4051</v>
      </c>
      <c r="C3496" s="859" t="s">
        <v>3512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1646</v>
      </c>
      <c r="I3496" s="1287" t="s">
        <v>2851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>
      <c r="B3497" s="1053" t="s">
        <v>4050</v>
      </c>
      <c r="C3497" s="859" t="s">
        <v>3512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3213</v>
      </c>
      <c r="I3497" s="1284" t="s">
        <v>3214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>
      <c r="B3498" s="1053" t="s">
        <v>4050</v>
      </c>
      <c r="C3498" s="1012" t="s">
        <v>3511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3768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>
      <c r="B3499" s="1053" t="s">
        <v>4049</v>
      </c>
      <c r="C3499" s="859" t="s">
        <v>3512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3213</v>
      </c>
      <c r="I3499" s="1251" t="s">
        <v>1539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>
      <c r="B3500" s="1053" t="s">
        <v>4048</v>
      </c>
      <c r="C3500" s="859" t="s">
        <v>3512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3213</v>
      </c>
      <c r="I3500" s="1284" t="s">
        <v>3214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>
      <c r="B3501" s="1053" t="s">
        <v>4047</v>
      </c>
      <c r="C3501" s="859" t="s">
        <v>3512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3213</v>
      </c>
      <c r="I3501" s="1251" t="s">
        <v>1539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>
      <c r="B3502" s="1053" t="s">
        <v>4047</v>
      </c>
      <c r="C3502" s="1012" t="s">
        <v>3511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3290</v>
      </c>
      <c r="I3502" s="1286" t="s">
        <v>3522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>
      <c r="B3503" s="1053" t="s">
        <v>4046</v>
      </c>
      <c r="C3503" s="859" t="s">
        <v>3512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3294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>
      <c r="B3504" s="1053" t="s">
        <v>4045</v>
      </c>
      <c r="C3504" s="859" t="s">
        <v>3512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>
      <c r="B3505" s="1053" t="s">
        <v>4044</v>
      </c>
      <c r="C3505" s="859" t="s">
        <v>3512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3768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>
      <c r="B3506" s="1053" t="s">
        <v>4043</v>
      </c>
      <c r="C3506" s="859" t="s">
        <v>3512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3873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>
      <c r="B3507" s="1053" t="s">
        <v>4041</v>
      </c>
      <c r="C3507" s="1053" t="s">
        <v>3510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3213</v>
      </c>
      <c r="I3507" s="1251" t="s">
        <v>1539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>
      <c r="B3508" s="1053" t="s">
        <v>4042</v>
      </c>
      <c r="C3508" s="1053" t="s">
        <v>3510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3213</v>
      </c>
      <c r="I3508" s="1251" t="s">
        <v>3214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>
      <c r="B3509" s="1053" t="s">
        <v>4042</v>
      </c>
      <c r="C3509" s="1012" t="s">
        <v>3511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3768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>
      <c r="B3510" s="1053" t="s">
        <v>4042</v>
      </c>
      <c r="C3510" s="859" t="s">
        <v>3512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3294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3" t="s">
        <v>4042</v>
      </c>
      <c r="C3511" s="859" t="s">
        <v>3512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434" t="s">
        <v>4685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3" t="s">
        <v>4041</v>
      </c>
      <c r="C3512" s="859" t="s">
        <v>3512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3367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1359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>
      <c r="B3513" s="1053" t="s">
        <v>4041</v>
      </c>
      <c r="C3513" s="1012" t="s">
        <v>3511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3290</v>
      </c>
      <c r="I3513" s="1286" t="s">
        <v>3522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>
      <c r="B3514" s="1053" t="s">
        <v>4040</v>
      </c>
      <c r="C3514" s="1053" t="s">
        <v>3510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3169</v>
      </c>
      <c r="I3514" s="1287" t="s">
        <v>3170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>
      <c r="B3515" s="1053" t="s">
        <v>4040</v>
      </c>
      <c r="C3515" s="859" t="s">
        <v>3512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3213</v>
      </c>
      <c r="I3515" s="1284" t="s">
        <v>3214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>
      <c r="B3516" s="1053" t="s">
        <v>4040</v>
      </c>
      <c r="C3516" s="1012" t="s">
        <v>3511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434" t="s">
        <v>4685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>
      <c r="B3517" s="1053" t="s">
        <v>4039</v>
      </c>
      <c r="C3517" s="859" t="s">
        <v>3512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3213</v>
      </c>
      <c r="I3517" s="1251" t="s">
        <v>1539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>
      <c r="B3518" s="1053" t="s">
        <v>4039</v>
      </c>
      <c r="C3518" s="1012" t="s">
        <v>3511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3290</v>
      </c>
      <c r="I3518" s="1286" t="s">
        <v>3522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>
      <c r="B3519" s="1053" t="s">
        <v>4038</v>
      </c>
      <c r="C3519" s="859" t="s">
        <v>3512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3873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>
      <c r="B3520" s="1053" t="s">
        <v>4037</v>
      </c>
      <c r="C3520" s="859" t="s">
        <v>3512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3873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>
      <c r="B3521" s="1053" t="s">
        <v>4036</v>
      </c>
      <c r="C3521" s="859" t="s">
        <v>3512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1646</v>
      </c>
      <c r="I3521" s="1287" t="s">
        <v>1736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>
      <c r="B3522" s="1056" t="s">
        <v>4087</v>
      </c>
      <c r="C3522" s="859" t="s">
        <v>3512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3294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>
      <c r="B3523" s="1056" t="s">
        <v>4086</v>
      </c>
      <c r="C3523" s="859" t="s">
        <v>3512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3290</v>
      </c>
      <c r="I3523" s="1254" t="s">
        <v>4305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>
      <c r="B3524" s="1056" t="s">
        <v>4085</v>
      </c>
      <c r="C3524" s="859" t="s">
        <v>3512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3290</v>
      </c>
      <c r="I3524" s="1254" t="s">
        <v>4305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>
      <c r="B3525" s="1056" t="s">
        <v>4084</v>
      </c>
      <c r="C3525" s="859" t="s">
        <v>3512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2406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>
      <c r="B3526" s="1056" t="s">
        <v>4083</v>
      </c>
      <c r="C3526" s="859" t="s">
        <v>3512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3585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>
      <c r="B3527" s="1056" t="s">
        <v>4082</v>
      </c>
      <c r="C3527" s="859" t="s">
        <v>3512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434" t="s">
        <v>4685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>
      <c r="B3528" s="1056" t="s">
        <v>4081</v>
      </c>
      <c r="C3528" s="859" t="s">
        <v>3512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3585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>
      <c r="B3529" s="1056" t="s">
        <v>4080</v>
      </c>
      <c r="C3529" s="859" t="s">
        <v>3512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1646</v>
      </c>
      <c r="I3529" s="1433" t="s">
        <v>4684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>
      <c r="B3530" s="1056" t="s">
        <v>4079</v>
      </c>
      <c r="C3530" s="859" t="s">
        <v>3512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1646</v>
      </c>
      <c r="I3530" s="1288" t="s">
        <v>2274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>
      <c r="B3531" s="1056" t="s">
        <v>4078</v>
      </c>
      <c r="C3531" s="859" t="s">
        <v>3512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1646</v>
      </c>
      <c r="I3531" s="1288" t="s">
        <v>2851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>
      <c r="B3532" s="1056" t="s">
        <v>4077</v>
      </c>
      <c r="C3532" s="859" t="s">
        <v>3512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3873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>
      <c r="B3533" s="1056" t="s">
        <v>4076</v>
      </c>
      <c r="C3533" s="859" t="s">
        <v>3512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3290</v>
      </c>
      <c r="I3533" s="1254" t="s">
        <v>4305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>
      <c r="B3534" s="1061" t="s">
        <v>4090</v>
      </c>
      <c r="C3534" s="859" t="s">
        <v>3512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3872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>
      <c r="B3535" s="1061" t="s">
        <v>4089</v>
      </c>
      <c r="C3535" s="859" t="s">
        <v>3512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3768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>
      <c r="B3536" s="1061" t="s">
        <v>4088</v>
      </c>
      <c r="C3536" s="859" t="s">
        <v>3512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3290</v>
      </c>
      <c r="I3536" s="1289" t="s">
        <v>3523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>
      <c r="B3537" s="1066" t="s">
        <v>4100</v>
      </c>
      <c r="C3537" s="859" t="s">
        <v>3512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3768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>
      <c r="B3538" s="1066" t="s">
        <v>4099</v>
      </c>
      <c r="C3538" s="859" t="s">
        <v>3512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3768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>
      <c r="B3539" s="1066" t="s">
        <v>4098</v>
      </c>
      <c r="C3539" s="859" t="s">
        <v>3512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3819</v>
      </c>
      <c r="I3539" s="1290" t="s">
        <v>4101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>
      <c r="B3540" s="1066" t="s">
        <v>4097</v>
      </c>
      <c r="C3540" s="859" t="s">
        <v>3512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3768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>
      <c r="B3541" s="1066" t="s">
        <v>4096</v>
      </c>
      <c r="C3541" s="859" t="s">
        <v>3512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1646</v>
      </c>
      <c r="I3541" s="1290" t="s">
        <v>2274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>
      <c r="B3542" s="1066" t="s">
        <v>4095</v>
      </c>
      <c r="C3542" s="859" t="s">
        <v>3512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3819</v>
      </c>
      <c r="I3542" s="1290" t="s">
        <v>4101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>
      <c r="B3543" s="1066" t="s">
        <v>4094</v>
      </c>
      <c r="C3543" s="859" t="s">
        <v>3512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3768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>
      <c r="B3544" s="1066" t="s">
        <v>4093</v>
      </c>
      <c r="C3544" s="859" t="s">
        <v>3512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3294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>
      <c r="B3545" s="1066" t="s">
        <v>4092</v>
      </c>
      <c r="C3545" s="859" t="s">
        <v>3512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>
      <c r="B3546" s="1066" t="s">
        <v>4092</v>
      </c>
      <c r="C3546" s="859" t="s">
        <v>3512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1646</v>
      </c>
      <c r="I3546" s="1290" t="s">
        <v>2851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>
      <c r="B3547" s="1066" t="s">
        <v>4091</v>
      </c>
      <c r="C3547" s="859" t="s">
        <v>3512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3290</v>
      </c>
      <c r="I3547" s="1254" t="s">
        <v>4305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>
      <c r="B3548" s="1072" t="s">
        <v>4105</v>
      </c>
      <c r="C3548" s="859" t="s">
        <v>3512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3585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>
      <c r="B3549" s="1072" t="s">
        <v>4104</v>
      </c>
      <c r="C3549" s="859" t="s">
        <v>3512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3819</v>
      </c>
      <c r="I3549" s="1291" t="s">
        <v>4106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>
      <c r="B3550" s="1072" t="s">
        <v>4103</v>
      </c>
      <c r="C3550" s="859" t="s">
        <v>3512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1646</v>
      </c>
      <c r="I3550" s="1291" t="s">
        <v>2274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>
      <c r="B3551" s="1077" t="s">
        <v>4164</v>
      </c>
      <c r="C3551" s="859" t="s">
        <v>3512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1646</v>
      </c>
      <c r="I3551" s="1292" t="s">
        <v>2274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>
      <c r="B3552" s="1077" t="s">
        <v>4163</v>
      </c>
      <c r="C3552" s="859" t="s">
        <v>3512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3633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>
      <c r="B3553" s="1077" t="s">
        <v>4162</v>
      </c>
      <c r="C3553" s="859" t="s">
        <v>3512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1646</v>
      </c>
      <c r="I3553" s="1290" t="s">
        <v>2851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>
      <c r="B3554" s="1077" t="s">
        <v>4161</v>
      </c>
      <c r="C3554" s="859" t="s">
        <v>3512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3290</v>
      </c>
      <c r="I3554" s="1254" t="s">
        <v>4305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>
      <c r="B3555" s="1077" t="s">
        <v>4160</v>
      </c>
      <c r="C3555" s="859" t="s">
        <v>3512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3294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>
      <c r="B3556" s="1077" t="s">
        <v>4159</v>
      </c>
      <c r="C3556" s="859" t="s">
        <v>3512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2008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>
      <c r="B3557" s="1082" t="s">
        <v>4159</v>
      </c>
      <c r="C3557" s="1082" t="s">
        <v>3511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3290</v>
      </c>
      <c r="I3557" s="1254" t="s">
        <v>4305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>
      <c r="B3558" s="1077" t="s">
        <v>4158</v>
      </c>
      <c r="C3558" s="859" t="s">
        <v>3512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434" t="s">
        <v>4685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>
      <c r="B3559" s="1077" t="s">
        <v>4157</v>
      </c>
      <c r="C3559" s="859" t="s">
        <v>3512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3585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>
      <c r="B3560" s="1077" t="s">
        <v>4156</v>
      </c>
      <c r="C3560" s="859" t="s">
        <v>3512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3819</v>
      </c>
      <c r="I3560" s="1292" t="s">
        <v>4106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>
      <c r="B3561" s="1082" t="s">
        <v>4185</v>
      </c>
      <c r="C3561" s="859" t="s">
        <v>3512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2406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>
      <c r="B3562" s="1082" t="s">
        <v>4184</v>
      </c>
      <c r="C3562" s="859" t="s">
        <v>3512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3290</v>
      </c>
      <c r="I3562" s="1254" t="s">
        <v>4305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>
      <c r="B3563" s="1082" t="s">
        <v>4183</v>
      </c>
      <c r="C3563" s="859" t="s">
        <v>3512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1646</v>
      </c>
      <c r="I3563" s="1290" t="s">
        <v>2851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>
      <c r="B3564" s="1082" t="s">
        <v>4182</v>
      </c>
      <c r="C3564" s="859" t="s">
        <v>3512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1646</v>
      </c>
      <c r="I3564" s="1293" t="s">
        <v>3293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>
      <c r="B3565" s="1082" t="s">
        <v>4181</v>
      </c>
      <c r="C3565" s="859" t="s">
        <v>3512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3819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>
      <c r="B3566" s="1082" t="s">
        <v>4180</v>
      </c>
      <c r="C3566" s="859" t="s">
        <v>3512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3598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>
      <c r="B3567" s="1082" t="s">
        <v>4179</v>
      </c>
      <c r="C3567" s="859" t="s">
        <v>3512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4466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>
      <c r="B3568" s="1082" t="s">
        <v>4178</v>
      </c>
      <c r="C3568" s="859" t="s">
        <v>3512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1646</v>
      </c>
      <c r="I3568" s="1290" t="s">
        <v>2851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>
      <c r="B3569" s="1082" t="s">
        <v>4177</v>
      </c>
      <c r="C3569" s="859" t="s">
        <v>3512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3290</v>
      </c>
      <c r="I3569" s="1254" t="s">
        <v>4305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>
      <c r="B3570" s="1082" t="s">
        <v>4176</v>
      </c>
      <c r="C3570" s="859" t="s">
        <v>3512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4464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>
      <c r="B3571" s="1082" t="s">
        <v>4175</v>
      </c>
      <c r="C3571" s="859" t="s">
        <v>3512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3294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>
      <c r="B3572" s="1082" t="s">
        <v>4174</v>
      </c>
      <c r="C3572" s="859" t="s">
        <v>3512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2406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>
      <c r="B3573" s="1082" t="s">
        <v>4173</v>
      </c>
      <c r="C3573" s="859" t="s">
        <v>3512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3290</v>
      </c>
      <c r="I3573" s="1254" t="s">
        <v>4305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>
      <c r="B3574" s="1082" t="s">
        <v>4172</v>
      </c>
      <c r="C3574" s="859" t="s">
        <v>3512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1646</v>
      </c>
      <c r="I3574" s="1293" t="s">
        <v>3293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>
      <c r="B3575" s="1082" t="s">
        <v>4171</v>
      </c>
      <c r="C3575" s="859" t="s">
        <v>3512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1646</v>
      </c>
      <c r="I3575" s="1290" t="s">
        <v>2851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>
      <c r="B3576" s="1082" t="s">
        <v>4170</v>
      </c>
      <c r="C3576" s="859" t="s">
        <v>3512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1646</v>
      </c>
      <c r="I3576" s="1293" t="s">
        <v>1736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>
      <c r="B3577" s="1082" t="s">
        <v>4169</v>
      </c>
      <c r="C3577" s="859" t="s">
        <v>3512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3819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>
      <c r="B3578" s="1082" t="s">
        <v>4168</v>
      </c>
      <c r="C3578" s="859" t="s">
        <v>3512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1646</v>
      </c>
      <c r="I3578" s="1293" t="s">
        <v>1698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>
      <c r="B3579" s="1082" t="s">
        <v>4167</v>
      </c>
      <c r="C3579" s="859" t="s">
        <v>3512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3819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>
      <c r="B3580" s="1082" t="s">
        <v>4166</v>
      </c>
      <c r="C3580" s="859" t="s">
        <v>3512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3294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>
      <c r="B3581" s="1087" t="s">
        <v>4210</v>
      </c>
      <c r="C3581" s="859" t="s">
        <v>3512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3294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>
      <c r="B3582" s="1087" t="s">
        <v>4209</v>
      </c>
      <c r="C3582" s="859" t="s">
        <v>3512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1646</v>
      </c>
      <c r="I3582" s="1294" t="s">
        <v>2334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>
      <c r="B3583" s="1087" t="s">
        <v>4208</v>
      </c>
      <c r="C3583" s="859" t="s">
        <v>3512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1646</v>
      </c>
      <c r="I3583" s="1294" t="s">
        <v>1698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>
      <c r="B3584" s="1087" t="s">
        <v>4207</v>
      </c>
      <c r="C3584" s="859" t="s">
        <v>3512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1646</v>
      </c>
      <c r="I3584" s="1290" t="s">
        <v>2851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>
      <c r="B3585" s="1087" t="s">
        <v>4206</v>
      </c>
      <c r="C3585" s="859" t="s">
        <v>3512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1646</v>
      </c>
      <c r="I3585" s="1294" t="s">
        <v>2274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>
      <c r="B3586" s="1087" t="s">
        <v>4205</v>
      </c>
      <c r="C3586" s="859" t="s">
        <v>3512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1646</v>
      </c>
      <c r="I3586" s="1294" t="s">
        <v>1736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>
      <c r="B3587" s="1087" t="s">
        <v>4204</v>
      </c>
      <c r="C3587" s="859" t="s">
        <v>3512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1646</v>
      </c>
      <c r="I3587" s="1294" t="s">
        <v>1736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>
      <c r="B3588" s="1087" t="s">
        <v>4203</v>
      </c>
      <c r="C3588" s="859" t="s">
        <v>3512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3633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>
      <c r="B3589" s="1087" t="s">
        <v>4202</v>
      </c>
      <c r="C3589" s="859" t="s">
        <v>3512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3585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>
      <c r="B3590" s="1087" t="s">
        <v>4201</v>
      </c>
      <c r="C3590" s="859" t="s">
        <v>3512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3585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>
      <c r="B3591" s="1087" t="s">
        <v>4200</v>
      </c>
      <c r="C3591" s="859" t="s">
        <v>3512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3367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3023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>
      <c r="B3592" s="1087" t="s">
        <v>4199</v>
      </c>
      <c r="C3592" s="859" t="s">
        <v>3512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3367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3023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>
      <c r="B3593" s="1087" t="s">
        <v>4198</v>
      </c>
      <c r="C3593" s="859" t="s">
        <v>3512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3023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>
      <c r="B3594" s="1087" t="s">
        <v>4197</v>
      </c>
      <c r="C3594" s="859" t="s">
        <v>3512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3294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>
      <c r="B3595" s="1087" t="s">
        <v>4196</v>
      </c>
      <c r="C3595" s="859" t="s">
        <v>3512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3290</v>
      </c>
      <c r="I3595" s="1254" t="s">
        <v>4305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>
      <c r="B3596" s="1087" t="s">
        <v>4195</v>
      </c>
      <c r="C3596" s="859" t="s">
        <v>3512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4571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>
      <c r="B3597" s="1087" t="s">
        <v>4194</v>
      </c>
      <c r="C3597" s="859" t="s">
        <v>3512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1646</v>
      </c>
      <c r="I3597" s="1433" t="s">
        <v>4684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>
      <c r="B3598" s="1087" t="s">
        <v>4193</v>
      </c>
      <c r="C3598" s="859" t="s">
        <v>3512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3819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>
      <c r="B3599" s="1087" t="s">
        <v>4192</v>
      </c>
      <c r="C3599" s="859" t="s">
        <v>3512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3819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>
      <c r="B3600" s="1087" t="s">
        <v>4191</v>
      </c>
      <c r="C3600" s="859" t="s">
        <v>3512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1646</v>
      </c>
      <c r="I3600" s="1433" t="s">
        <v>4684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>
      <c r="B3601" s="1087" t="s">
        <v>4190</v>
      </c>
      <c r="C3601" s="859" t="s">
        <v>3512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1646</v>
      </c>
      <c r="I3601" s="1433" t="s">
        <v>4684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>
      <c r="B3602" s="1087" t="s">
        <v>4189</v>
      </c>
      <c r="C3602" s="859" t="s">
        <v>3512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3819</v>
      </c>
      <c r="I3602" s="1292" t="s">
        <v>4106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>
      <c r="B3603" s="1093" t="s">
        <v>4218</v>
      </c>
      <c r="C3603" s="859" t="s">
        <v>3512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4464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>
      <c r="B3604" s="1093" t="s">
        <v>4217</v>
      </c>
      <c r="C3604" s="859" t="s">
        <v>3512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3367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4464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>
      <c r="B3605" s="1093" t="s">
        <v>4216</v>
      </c>
      <c r="C3605" s="859" t="s">
        <v>3512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3294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>
      <c r="B3606" s="1093" t="s">
        <v>4215</v>
      </c>
      <c r="C3606" s="859" t="s">
        <v>3512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3819</v>
      </c>
      <c r="I3606" s="1292" t="s">
        <v>4106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>
      <c r="B3607" s="1093" t="s">
        <v>4214</v>
      </c>
      <c r="C3607" s="859" t="s">
        <v>3512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3819</v>
      </c>
      <c r="I3607" s="1295" t="s">
        <v>4101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>
      <c r="B3608" s="1098" t="s">
        <v>4221</v>
      </c>
      <c r="C3608" s="859" t="s">
        <v>3512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3819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>
      <c r="B3609" s="1098" t="s">
        <v>4220</v>
      </c>
      <c r="C3609" s="859" t="s">
        <v>3512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3819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>
      <c r="B3610" s="1098" t="s">
        <v>4219</v>
      </c>
      <c r="C3610" s="859" t="s">
        <v>3512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4571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>
      <c r="B3611" s="1103" t="s">
        <v>4227</v>
      </c>
      <c r="C3611" s="859" t="s">
        <v>3512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3290</v>
      </c>
      <c r="I3611" s="1254" t="s">
        <v>4305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>
      <c r="B3612" s="1103" t="s">
        <v>4226</v>
      </c>
      <c r="C3612" s="859" t="s">
        <v>3512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3634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>
      <c r="B3613" s="1103" t="s">
        <v>4225</v>
      </c>
      <c r="C3613" s="859" t="s">
        <v>3512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3290</v>
      </c>
      <c r="I3613" s="1254" t="s">
        <v>4305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>
      <c r="B3614" s="1103" t="s">
        <v>2937</v>
      </c>
      <c r="C3614" s="859" t="s">
        <v>3512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3367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1359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>
      <c r="B3615" s="1103" t="s">
        <v>4224</v>
      </c>
      <c r="C3615" s="859" t="s">
        <v>3512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4250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>
      <c r="B3616" s="1103" t="s">
        <v>4223</v>
      </c>
      <c r="C3616" s="859" t="s">
        <v>3512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1646</v>
      </c>
      <c r="I3616" s="1297" t="s">
        <v>3293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>
      <c r="B3617" s="1108" t="s">
        <v>4231</v>
      </c>
      <c r="C3617" s="859" t="s">
        <v>3512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4250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>
      <c r="B3618" s="1108" t="s">
        <v>4230</v>
      </c>
      <c r="C3618" s="859" t="s">
        <v>3512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1646</v>
      </c>
      <c r="I3618" s="1299" t="s">
        <v>1736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>
      <c r="B3619" s="1108" t="s">
        <v>4229</v>
      </c>
      <c r="C3619" s="859" t="s">
        <v>3512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4250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>
      <c r="B3620" s="1113" t="s">
        <v>4248</v>
      </c>
      <c r="C3620" s="859" t="s">
        <v>3512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1646</v>
      </c>
      <c r="I3620" s="1300" t="s">
        <v>2274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>
      <c r="B3621" s="1113" t="s">
        <v>4247</v>
      </c>
      <c r="C3621" s="859" t="s">
        <v>3512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3367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2406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>
      <c r="B3622" s="1113" t="s">
        <v>4246</v>
      </c>
      <c r="C3622" s="859" t="s">
        <v>3512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3819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>
      <c r="B3623" s="1113" t="s">
        <v>4245</v>
      </c>
      <c r="C3623" s="859" t="s">
        <v>3512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3819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>
      <c r="B3624" s="1113" t="s">
        <v>4244</v>
      </c>
      <c r="C3624" s="859" t="s">
        <v>3512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1646</v>
      </c>
      <c r="I3624" s="1300" t="s">
        <v>2274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>
      <c r="B3625" s="1113" t="s">
        <v>4243</v>
      </c>
      <c r="C3625" s="859" t="s">
        <v>3512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>
      <c r="B3626" s="1113" t="s">
        <v>4242</v>
      </c>
      <c r="C3626" s="859" t="s">
        <v>3512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2128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>
      <c r="B3627" s="1113" t="s">
        <v>4241</v>
      </c>
      <c r="C3627" s="859" t="s">
        <v>3512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4250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>
      <c r="B3628" s="1113" t="s">
        <v>4240</v>
      </c>
      <c r="C3628" s="859" t="s">
        <v>3512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1646</v>
      </c>
      <c r="I3628" s="1300" t="s">
        <v>3293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>
      <c r="B3629" s="1113" t="s">
        <v>4239</v>
      </c>
      <c r="C3629" s="859" t="s">
        <v>3512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3294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>
      <c r="B3630" s="1113" t="s">
        <v>4238</v>
      </c>
      <c r="C3630" s="859" t="s">
        <v>3512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4250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>
      <c r="B3631" s="1113" t="s">
        <v>4237</v>
      </c>
      <c r="C3631" s="859" t="s">
        <v>3512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3290</v>
      </c>
      <c r="I3631" s="1254" t="s">
        <v>4304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>
      <c r="B3632" s="1113" t="s">
        <v>4236</v>
      </c>
      <c r="C3632" s="859" t="s">
        <v>3512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4250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>
      <c r="B3633" s="1113" t="s">
        <v>4235</v>
      </c>
      <c r="C3633" s="859" t="s">
        <v>3512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3294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>
      <c r="B3634" s="1113" t="s">
        <v>4234</v>
      </c>
      <c r="C3634" s="859" t="s">
        <v>3512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3367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3292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>
      <c r="B3635" s="1113" t="s">
        <v>4233</v>
      </c>
      <c r="C3635" s="859" t="s">
        <v>3512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3367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2066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>
      <c r="B3636" s="1113" t="s">
        <v>4232</v>
      </c>
      <c r="C3636" s="859" t="s">
        <v>3512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4250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>
      <c r="B3637" s="1119" t="s">
        <v>4275</v>
      </c>
      <c r="C3637" s="859" t="s">
        <v>3512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1646</v>
      </c>
      <c r="I3637" s="1301" t="s">
        <v>2534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>
      <c r="B3638" s="1119" t="s">
        <v>4274</v>
      </c>
      <c r="C3638" s="859" t="s">
        <v>3512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3290</v>
      </c>
      <c r="I3638" s="1254" t="s">
        <v>4304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>
      <c r="B3639" s="1119" t="s">
        <v>4273</v>
      </c>
      <c r="C3639" s="859" t="s">
        <v>3512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1646</v>
      </c>
      <c r="I3639" s="1301" t="s">
        <v>2534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>
      <c r="B3640" s="1119" t="s">
        <v>4272</v>
      </c>
      <c r="C3640" s="859" t="s">
        <v>3512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3294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>
      <c r="B3641" s="1119" t="s">
        <v>4271</v>
      </c>
      <c r="C3641" s="859" t="s">
        <v>3512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1646</v>
      </c>
      <c r="I3641" s="1301" t="s">
        <v>1736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>
      <c r="B3642" s="1119" t="s">
        <v>4270</v>
      </c>
      <c r="C3642" s="859" t="s">
        <v>3512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3294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>
      <c r="B3643" s="1119" t="s">
        <v>4269</v>
      </c>
      <c r="C3643" s="859" t="s">
        <v>3512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2008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>
      <c r="B3644" s="1119" t="s">
        <v>4268</v>
      </c>
      <c r="C3644" s="859" t="s">
        <v>3512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3819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>
      <c r="B3645" s="1119" t="s">
        <v>4267</v>
      </c>
      <c r="C3645" s="859" t="s">
        <v>3512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3290</v>
      </c>
      <c r="I3645" s="1254" t="s">
        <v>4305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>
      <c r="B3646" s="1119" t="s">
        <v>4266</v>
      </c>
      <c r="C3646" s="859" t="s">
        <v>3512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1646</v>
      </c>
      <c r="I3646" s="1433" t="s">
        <v>4684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>
      <c r="B3647" s="1119" t="s">
        <v>4265</v>
      </c>
      <c r="C3647" s="859" t="s">
        <v>3512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4250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>
      <c r="B3648" s="1119" t="s">
        <v>4264</v>
      </c>
      <c r="C3648" s="859" t="s">
        <v>3512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3290</v>
      </c>
      <c r="I3648" s="1254" t="s">
        <v>4305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>
      <c r="B3649" s="1119" t="s">
        <v>4263</v>
      </c>
      <c r="C3649" s="859" t="s">
        <v>3512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4250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>
      <c r="B3650" s="1119" t="s">
        <v>4262</v>
      </c>
      <c r="C3650" s="859" t="s">
        <v>3512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3290</v>
      </c>
      <c r="I3650" s="1254" t="s">
        <v>4304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>
      <c r="B3651" s="1119" t="s">
        <v>4261</v>
      </c>
      <c r="C3651" s="859" t="s">
        <v>3512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1646</v>
      </c>
      <c r="I3651" s="1301" t="s">
        <v>3293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>
      <c r="B3652" s="1119" t="s">
        <v>4260</v>
      </c>
      <c r="C3652" s="859" t="s">
        <v>3512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1646</v>
      </c>
      <c r="I3652" s="1301" t="s">
        <v>1736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>
      <c r="B3653" s="1119" t="s">
        <v>4259</v>
      </c>
      <c r="C3653" s="859" t="s">
        <v>3512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>
      <c r="B3654" s="1119" t="s">
        <v>4258</v>
      </c>
      <c r="C3654" s="859" t="s">
        <v>3512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4250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>
      <c r="B3655" s="1119" t="s">
        <v>4257</v>
      </c>
      <c r="C3655" s="859" t="s">
        <v>3512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4250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>
      <c r="B3656" s="1119" t="s">
        <v>4256</v>
      </c>
      <c r="C3656" s="859" t="s">
        <v>3512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3819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>
      <c r="B3657" s="1119" t="s">
        <v>4255</v>
      </c>
      <c r="C3657" s="859" t="s">
        <v>3512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1646</v>
      </c>
      <c r="I3657" s="1301" t="s">
        <v>3293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>
      <c r="B3658" s="1119" t="s">
        <v>4254</v>
      </c>
      <c r="C3658" s="859" t="s">
        <v>3512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434" t="s">
        <v>4685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>
      <c r="B3659" s="1119" t="s">
        <v>4253</v>
      </c>
      <c r="C3659" s="859" t="s">
        <v>3512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4250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>
      <c r="B3660" s="1119" t="s">
        <v>4252</v>
      </c>
      <c r="C3660" s="859" t="s">
        <v>3512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1646</v>
      </c>
      <c r="I3660" s="1433" t="s">
        <v>4684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>
      <c r="B3661" s="1119" t="s">
        <v>4251</v>
      </c>
      <c r="C3661" s="859" t="s">
        <v>3512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4250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>
      <c r="B3662" s="1124" t="s">
        <v>4303</v>
      </c>
      <c r="C3662" s="859" t="s">
        <v>3512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1646</v>
      </c>
      <c r="I3662" s="1254" t="s">
        <v>3293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>
      <c r="B3663" s="1124" t="s">
        <v>4302</v>
      </c>
      <c r="C3663" s="859" t="s">
        <v>3512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4250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>
      <c r="B3664" s="1124" t="s">
        <v>4301</v>
      </c>
      <c r="C3664" s="859" t="s">
        <v>3512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3294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>
      <c r="B3665" s="1124" t="s">
        <v>4300</v>
      </c>
      <c r="C3665" s="859" t="s">
        <v>3512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3819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>
      <c r="B3666" s="1124" t="s">
        <v>4299</v>
      </c>
      <c r="C3666" s="859" t="s">
        <v>3512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4250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>
      <c r="B3667" s="1124" t="s">
        <v>4298</v>
      </c>
      <c r="C3667" s="859" t="s">
        <v>3512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>
      <c r="B3668" s="1124" t="s">
        <v>4297</v>
      </c>
      <c r="C3668" s="859" t="s">
        <v>3512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3290</v>
      </c>
      <c r="I3668" s="1254" t="s">
        <v>4304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>
      <c r="B3669" s="1124" t="s">
        <v>4296</v>
      </c>
      <c r="C3669" s="859" t="s">
        <v>3512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434" t="s">
        <v>4685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>
      <c r="B3670" s="1124" t="s">
        <v>4295</v>
      </c>
      <c r="C3670" s="859" t="s">
        <v>3512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2406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>
      <c r="B3671" s="1124" t="s">
        <v>4295</v>
      </c>
      <c r="C3671" s="1124" t="s">
        <v>3511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3290</v>
      </c>
      <c r="I3671" s="1254" t="s">
        <v>4304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>
      <c r="B3672" s="1124" t="s">
        <v>4294</v>
      </c>
      <c r="C3672" s="859" t="s">
        <v>3512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3294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>
      <c r="B3673" s="1124" t="s">
        <v>4293</v>
      </c>
      <c r="C3673" s="859" t="s">
        <v>3512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3367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3023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>
      <c r="B3674" s="1124" t="s">
        <v>4292</v>
      </c>
      <c r="C3674" s="859" t="s">
        <v>3512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3290</v>
      </c>
      <c r="I3674" s="1254" t="s">
        <v>4304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>
      <c r="B3675" s="1124" t="s">
        <v>4291</v>
      </c>
      <c r="C3675" s="859" t="s">
        <v>3512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1646</v>
      </c>
      <c r="I3675" s="1254" t="s">
        <v>1736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>
      <c r="B3676" s="1124" t="s">
        <v>4290</v>
      </c>
      <c r="C3676" s="859" t="s">
        <v>3512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4250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>
      <c r="B3677" s="1124" t="s">
        <v>4289</v>
      </c>
      <c r="C3677" s="859" t="s">
        <v>3512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3294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>
      <c r="B3678" s="1124" t="s">
        <v>4288</v>
      </c>
      <c r="C3678" s="859" t="s">
        <v>3512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3367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3634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>
      <c r="B3679" s="1124" t="s">
        <v>4287</v>
      </c>
      <c r="C3679" s="859" t="s">
        <v>3512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4250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>
      <c r="B3680" s="1124" t="s">
        <v>4286</v>
      </c>
      <c r="C3680" s="859" t="s">
        <v>3512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4250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>
      <c r="B3681" s="1124" t="s">
        <v>4285</v>
      </c>
      <c r="C3681" s="859" t="s">
        <v>3512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1359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>
      <c r="B3682" s="1124" t="s">
        <v>4284</v>
      </c>
      <c r="C3682" s="859" t="s">
        <v>3512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4250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>
      <c r="B3683" s="1124" t="s">
        <v>4283</v>
      </c>
      <c r="C3683" s="859" t="s">
        <v>3512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3294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>
      <c r="B3684" s="1124" t="s">
        <v>4282</v>
      </c>
      <c r="C3684" s="859" t="s">
        <v>3512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4250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>
      <c r="B3685" s="1124" t="s">
        <v>4281</v>
      </c>
      <c r="C3685" s="859" t="s">
        <v>3512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3819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>
      <c r="B3686" s="1124" t="s">
        <v>4280</v>
      </c>
      <c r="C3686" s="859" t="s">
        <v>3512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3290</v>
      </c>
      <c r="I3686" s="1254" t="s">
        <v>4304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>
      <c r="B3687" s="1124" t="s">
        <v>4279</v>
      </c>
      <c r="C3687" s="859" t="s">
        <v>3512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1646</v>
      </c>
      <c r="I3687" s="1254" t="s">
        <v>1736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>
      <c r="B3688" s="1124" t="s">
        <v>4278</v>
      </c>
      <c r="C3688" s="859" t="s">
        <v>3512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3367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1359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>
      <c r="B3689" s="1124" t="s">
        <v>4277</v>
      </c>
      <c r="C3689" s="859" t="s">
        <v>3512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4250</v>
      </c>
      <c r="I3689" s="1298" t="s">
        <v>3583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>
      <c r="B3690" s="1124" t="s">
        <v>4276</v>
      </c>
      <c r="C3690" s="859" t="s">
        <v>3512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1646</v>
      </c>
      <c r="I3690" s="1254" t="s">
        <v>2274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>
      <c r="B3691" s="1131" t="s">
        <v>4316</v>
      </c>
      <c r="C3691" s="859" t="s">
        <v>3512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>
      <c r="B3692" s="1131" t="s">
        <v>4315</v>
      </c>
      <c r="C3692" s="859" t="s">
        <v>3512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3023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>
      <c r="B3693" s="1131" t="s">
        <v>4314</v>
      </c>
      <c r="C3693" s="859" t="s">
        <v>3512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1646</v>
      </c>
      <c r="I3693" s="1302" t="s">
        <v>1736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>
      <c r="B3694" s="1131" t="s">
        <v>4313</v>
      </c>
      <c r="C3694" s="859" t="s">
        <v>3512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3294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>
      <c r="B3695" s="1131" t="s">
        <v>4312</v>
      </c>
      <c r="C3695" s="859" t="s">
        <v>3512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1646</v>
      </c>
      <c r="I3695" s="1302" t="s">
        <v>1736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>
      <c r="B3696" s="1131" t="s">
        <v>4311</v>
      </c>
      <c r="C3696" s="859" t="s">
        <v>3512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3367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4464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>
      <c r="B3697" s="1131" t="s">
        <v>4311</v>
      </c>
      <c r="C3697" s="1124" t="s">
        <v>3511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4317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>
      <c r="B3698" s="1131" t="s">
        <v>4310</v>
      </c>
      <c r="C3698" s="859" t="s">
        <v>3512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1646</v>
      </c>
      <c r="I3698" s="1433" t="s">
        <v>4684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>
      <c r="B3699" s="1131" t="s">
        <v>4309</v>
      </c>
      <c r="C3699" s="859" t="s">
        <v>3512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4250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>
      <c r="B3700" s="1131" t="s">
        <v>4308</v>
      </c>
      <c r="C3700" s="859" t="s">
        <v>3512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4250</v>
      </c>
      <c r="I3700" s="1298" t="s">
        <v>3214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>
      <c r="B3701" s="1131" t="s">
        <v>4307</v>
      </c>
      <c r="C3701" s="859" t="s">
        <v>3512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1646</v>
      </c>
      <c r="I3701" s="1302" t="s">
        <v>1736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>
      <c r="B3702" s="1131" t="s">
        <v>4306</v>
      </c>
      <c r="C3702" s="859" t="s">
        <v>3512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1646</v>
      </c>
      <c r="I3702" s="1302" t="s">
        <v>3293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>
      <c r="B3703" s="1138" t="s">
        <v>4321</v>
      </c>
      <c r="C3703" s="859" t="s">
        <v>3512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2406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>
      <c r="B3704" s="1138" t="s">
        <v>4320</v>
      </c>
      <c r="C3704" s="859" t="s">
        <v>3512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1646</v>
      </c>
      <c r="I3704" s="1433" t="s">
        <v>4684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>
      <c r="B3705" s="1138" t="s">
        <v>4319</v>
      </c>
      <c r="C3705" s="859" t="s">
        <v>3512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1646</v>
      </c>
      <c r="I3705" s="1304" t="s">
        <v>1736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>
      <c r="B3706" s="1144" t="s">
        <v>4325</v>
      </c>
      <c r="C3706" s="859" t="s">
        <v>3512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1646</v>
      </c>
      <c r="I3706" s="1433" t="s">
        <v>4684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>
      <c r="B3707" s="1144" t="s">
        <v>4324</v>
      </c>
      <c r="C3707" s="859" t="s">
        <v>3512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1646</v>
      </c>
      <c r="I3707" s="1304" t="s">
        <v>1736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>
      <c r="B3708" s="1144" t="s">
        <v>4323</v>
      </c>
      <c r="C3708" s="859" t="s">
        <v>3512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1646</v>
      </c>
      <c r="I3708" s="1433" t="s">
        <v>4684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>
      <c r="B3709" s="1144" t="s">
        <v>4322</v>
      </c>
      <c r="C3709" s="859" t="s">
        <v>3512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1646</v>
      </c>
      <c r="I3709" s="1304" t="s">
        <v>1736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>
      <c r="B3710" s="1150" t="s">
        <v>4337</v>
      </c>
      <c r="C3710" s="859" t="s">
        <v>3512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3294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>
      <c r="B3711" s="1150" t="s">
        <v>4336</v>
      </c>
      <c r="C3711" s="859" t="s">
        <v>3512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3367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4466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>
      <c r="B3712" s="1150" t="s">
        <v>4335</v>
      </c>
      <c r="C3712" s="859" t="s">
        <v>3512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1646</v>
      </c>
      <c r="I3712" s="1305" t="s">
        <v>2274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>
      <c r="B3713" s="1150" t="s">
        <v>4335</v>
      </c>
      <c r="C3713" s="859" t="s">
        <v>3512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4250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>
      <c r="B3714" s="1150" t="s">
        <v>4334</v>
      </c>
      <c r="C3714" s="859" t="s">
        <v>3512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434" t="s">
        <v>4685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>
      <c r="B3715" s="1150" t="s">
        <v>4333</v>
      </c>
      <c r="C3715" s="859" t="s">
        <v>3512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1646</v>
      </c>
      <c r="I3715" s="1302" t="s">
        <v>1736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>
      <c r="B3716" s="1150" t="s">
        <v>4332</v>
      </c>
      <c r="C3716" s="859" t="s">
        <v>3512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>
      <c r="B3717" s="1150" t="s">
        <v>4331</v>
      </c>
      <c r="C3717" s="859" t="s">
        <v>3512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2008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>
      <c r="B3718" s="1150" t="s">
        <v>4330</v>
      </c>
      <c r="C3718" s="859" t="s">
        <v>3512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>
      <c r="B3719" s="1150" t="s">
        <v>4329</v>
      </c>
      <c r="C3719" s="859" t="s">
        <v>3512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4250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>
      <c r="B3720" s="1150" t="s">
        <v>4328</v>
      </c>
      <c r="C3720" s="859" t="s">
        <v>3512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4250</v>
      </c>
      <c r="I3720" s="1298" t="s">
        <v>3583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>
      <c r="B3721" s="1150" t="s">
        <v>4327</v>
      </c>
      <c r="C3721" s="859" t="s">
        <v>3512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1646</v>
      </c>
      <c r="I3721" s="1305" t="s">
        <v>3293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>
      <c r="B3722" s="1156" t="s">
        <v>4359</v>
      </c>
      <c r="C3722" s="859" t="s">
        <v>3512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4466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>
      <c r="B3723" s="1156" t="s">
        <v>4358</v>
      </c>
      <c r="C3723" s="859" t="s">
        <v>3512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1646</v>
      </c>
      <c r="I3723" s="1306" t="s">
        <v>3293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>
      <c r="B3724" s="1156" t="s">
        <v>4357</v>
      </c>
      <c r="C3724" s="859" t="s">
        <v>3512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1646</v>
      </c>
      <c r="I3724" s="1306" t="s">
        <v>2274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>
      <c r="B3725" s="1156" t="s">
        <v>4356</v>
      </c>
      <c r="C3725" s="859" t="s">
        <v>3512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1646</v>
      </c>
      <c r="I3725" s="1433" t="s">
        <v>4684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>
      <c r="B3726" s="1156" t="s">
        <v>4355</v>
      </c>
      <c r="C3726" s="859" t="s">
        <v>3512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1646</v>
      </c>
      <c r="I3726" s="1306" t="s">
        <v>2274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>
      <c r="B3727" s="1156" t="s">
        <v>4354</v>
      </c>
      <c r="C3727" s="859" t="s">
        <v>3512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3294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>
      <c r="B3728" s="1156" t="s">
        <v>4353</v>
      </c>
      <c r="C3728" s="859" t="s">
        <v>3512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>
      <c r="B3729" s="1156" t="s">
        <v>4352</v>
      </c>
      <c r="C3729" s="859" t="s">
        <v>3512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>
      <c r="B3730" s="1156" t="s">
        <v>4351</v>
      </c>
      <c r="C3730" s="859" t="s">
        <v>3512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1646</v>
      </c>
      <c r="I3730" s="1306" t="s">
        <v>3293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>
      <c r="B3731" s="1156" t="s">
        <v>4350</v>
      </c>
      <c r="C3731" s="859" t="s">
        <v>3512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434" t="s">
        <v>4685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>
      <c r="B3732" s="1156" t="s">
        <v>4349</v>
      </c>
      <c r="C3732" s="859" t="s">
        <v>3512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4250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>
      <c r="B3733" s="1156" t="s">
        <v>4348</v>
      </c>
      <c r="C3733" s="859" t="s">
        <v>3512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4250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>
      <c r="B3734" s="1156" t="s">
        <v>4347</v>
      </c>
      <c r="C3734" s="859" t="s">
        <v>3512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1646</v>
      </c>
      <c r="I3734" s="1306" t="s">
        <v>2274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>
      <c r="B3735" s="1156" t="s">
        <v>4346</v>
      </c>
      <c r="C3735" s="859" t="s">
        <v>3512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4250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>
      <c r="B3736" s="1156" t="s">
        <v>4345</v>
      </c>
      <c r="C3736" s="859" t="s">
        <v>3512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4250</v>
      </c>
      <c r="I3736" s="1298" t="s">
        <v>3214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>
      <c r="B3737" s="1156" t="s">
        <v>4344</v>
      </c>
      <c r="C3737" s="859" t="s">
        <v>3512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4250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>
      <c r="B3738" s="1156" t="s">
        <v>4344</v>
      </c>
      <c r="C3738" s="859" t="s">
        <v>3512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1646</v>
      </c>
      <c r="I3738" s="1306" t="s">
        <v>2274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>
      <c r="B3739" s="1156" t="s">
        <v>4343</v>
      </c>
      <c r="C3739" s="859" t="s">
        <v>3512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1646</v>
      </c>
      <c r="I3739" s="1306" t="s">
        <v>3293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>
      <c r="B3740" s="1156" t="s">
        <v>4342</v>
      </c>
      <c r="C3740" s="859" t="s">
        <v>3512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1438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>
      <c r="B3741" s="1156" t="s">
        <v>4341</v>
      </c>
      <c r="C3741" s="859" t="s">
        <v>3512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1646</v>
      </c>
      <c r="I3741" s="1306" t="s">
        <v>2274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>
      <c r="B3742" s="1156" t="s">
        <v>4340</v>
      </c>
      <c r="C3742" s="859" t="s">
        <v>3512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1646</v>
      </c>
      <c r="I3742" s="1433" t="s">
        <v>4684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>
      <c r="B3743" s="1156" t="s">
        <v>4339</v>
      </c>
      <c r="C3743" s="859" t="s">
        <v>3512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4317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>
      <c r="B3744" s="1156" t="s">
        <v>4338</v>
      </c>
      <c r="C3744" s="859" t="s">
        <v>3512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3819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>
      <c r="B3745" s="1164" t="s">
        <v>4391</v>
      </c>
      <c r="C3745" s="859" t="s">
        <v>3512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1438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>
      <c r="B3746" s="1164" t="s">
        <v>4390</v>
      </c>
      <c r="C3746" s="859" t="s">
        <v>3512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3819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>
      <c r="B3747" s="1164" t="s">
        <v>4389</v>
      </c>
      <c r="C3747" s="1164" t="s">
        <v>3510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3819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>
      <c r="B3748" s="1164" t="s">
        <v>4389</v>
      </c>
      <c r="C3748" s="859" t="s">
        <v>3512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3294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>
      <c r="B3749" s="1164" t="s">
        <v>4388</v>
      </c>
      <c r="C3749" s="859" t="s">
        <v>3512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>
      <c r="B3750" s="1164" t="s">
        <v>4387</v>
      </c>
      <c r="C3750" s="859" t="s">
        <v>3512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>
      <c r="B3751" s="1164" t="s">
        <v>4386</v>
      </c>
      <c r="C3751" s="859" t="s">
        <v>3512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3023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>
      <c r="B3752" s="1164" t="s">
        <v>4385</v>
      </c>
      <c r="C3752" s="859" t="s">
        <v>3512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3367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3598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>
      <c r="B3753" s="1164" t="s">
        <v>4384</v>
      </c>
      <c r="C3753" s="859" t="s">
        <v>3512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4317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>
      <c r="B3754" s="1164" t="s">
        <v>4383</v>
      </c>
      <c r="C3754" s="859" t="s">
        <v>3512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434" t="s">
        <v>4685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4" t="s">
        <v>4383</v>
      </c>
      <c r="C3755" s="859" t="s">
        <v>3512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1646</v>
      </c>
      <c r="I3755" s="1433" t="s">
        <v>4684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4" t="s">
        <v>4382</v>
      </c>
      <c r="C3756" s="859" t="s">
        <v>3512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>
      <c r="B3757" s="1164" t="s">
        <v>4381</v>
      </c>
      <c r="C3757" s="859" t="s">
        <v>3512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3023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>
      <c r="B3758" s="1164" t="s">
        <v>4380</v>
      </c>
      <c r="C3758" s="859" t="s">
        <v>3512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1646</v>
      </c>
      <c r="I3758" s="1307" t="s">
        <v>2274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>
      <c r="B3759" s="1164" t="s">
        <v>4379</v>
      </c>
      <c r="C3759" s="859" t="s">
        <v>3512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4250</v>
      </c>
      <c r="I3759" s="1298" t="s">
        <v>3583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>
      <c r="B3760" s="1164" t="s">
        <v>4378</v>
      </c>
      <c r="C3760" s="859" t="s">
        <v>3512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3367</v>
      </c>
      <c r="I3760" s="1307" t="s">
        <v>391</v>
      </c>
      <c r="J3760" s="1167">
        <v>13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3633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>
      <c r="B3761" s="1164" t="s">
        <v>4377</v>
      </c>
      <c r="C3761" s="859" t="s">
        <v>3512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434" t="s">
        <v>4685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>
      <c r="B3762" s="1164" t="s">
        <v>4376</v>
      </c>
      <c r="C3762" s="859" t="s">
        <v>3512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3294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>
      <c r="B3763" s="1164" t="s">
        <v>4375</v>
      </c>
      <c r="C3763" s="859" t="s">
        <v>3512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1646</v>
      </c>
      <c r="I3763" s="1307" t="s">
        <v>1736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>
      <c r="B3764" s="1164" t="s">
        <v>4374</v>
      </c>
      <c r="C3764" s="859" t="s">
        <v>3512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1646</v>
      </c>
      <c r="I3764" s="1307" t="s">
        <v>2274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>
      <c r="B3765" s="1164" t="s">
        <v>4373</v>
      </c>
      <c r="C3765" s="859" t="s">
        <v>3512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4250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>
      <c r="B3766" s="1164" t="s">
        <v>4372</v>
      </c>
      <c r="C3766" s="859" t="s">
        <v>3512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434" t="s">
        <v>4685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>
      <c r="B3767" s="1164" t="s">
        <v>4371</v>
      </c>
      <c r="C3767" s="859" t="s">
        <v>3512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>
      <c r="B3768" s="1164" t="s">
        <v>4370</v>
      </c>
      <c r="C3768" s="859" t="s">
        <v>3512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4250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>
      <c r="B3769" s="1164" t="s">
        <v>4369</v>
      </c>
      <c r="C3769" s="859" t="s">
        <v>3512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1646</v>
      </c>
      <c r="I3769" s="1307" t="s">
        <v>1736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>
      <c r="B3770" s="1164" t="s">
        <v>4368</v>
      </c>
      <c r="C3770" s="859" t="s">
        <v>3512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3819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>
      <c r="B3771" s="1164" t="s">
        <v>4367</v>
      </c>
      <c r="C3771" s="1164" t="s">
        <v>3510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3292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>
      <c r="B3772" s="1164" t="s">
        <v>4367</v>
      </c>
      <c r="C3772" s="859" t="s">
        <v>3512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3819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>
      <c r="B3773" s="1164" t="s">
        <v>4366</v>
      </c>
      <c r="C3773" s="859" t="s">
        <v>3512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4250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>
      <c r="B3774" s="1164" t="s">
        <v>4365</v>
      </c>
      <c r="C3774" s="859" t="s">
        <v>3512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4250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>
      <c r="B3775" s="1164" t="s">
        <v>4364</v>
      </c>
      <c r="C3775" s="859" t="s">
        <v>3512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4250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>
      <c r="B3776" s="1164" t="s">
        <v>4363</v>
      </c>
      <c r="C3776" s="859" t="s">
        <v>3512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4250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>
      <c r="B3777" s="1164" t="s">
        <v>4362</v>
      </c>
      <c r="C3777" s="859" t="s">
        <v>3512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1646</v>
      </c>
      <c r="I3777" s="1433" t="s">
        <v>4684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>
      <c r="B3778" s="1164" t="s">
        <v>4393</v>
      </c>
      <c r="C3778" s="859" t="s">
        <v>3512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3294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>
      <c r="B3779" s="1164" t="s">
        <v>4392</v>
      </c>
      <c r="C3779" s="859" t="s">
        <v>3512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1646</v>
      </c>
      <c r="I3779" s="1433" t="s">
        <v>4684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4" t="s">
        <v>4392</v>
      </c>
      <c r="C3780" s="859" t="s">
        <v>3512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1438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1" t="s">
        <v>4401</v>
      </c>
      <c r="C3781" s="859" t="s">
        <v>3512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1646</v>
      </c>
      <c r="I3781" s="1308" t="s">
        <v>2534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>
      <c r="B3782" s="1171" t="s">
        <v>4400</v>
      </c>
      <c r="C3782" s="859" t="s">
        <v>3512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1646</v>
      </c>
      <c r="I3782" s="1307" t="s">
        <v>1736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>
      <c r="B3783" s="1171" t="s">
        <v>4399</v>
      </c>
      <c r="C3783" s="859" t="s">
        <v>3512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1646</v>
      </c>
      <c r="I3783" s="1433" t="s">
        <v>4684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>
      <c r="B3784" s="1171" t="s">
        <v>4398</v>
      </c>
      <c r="C3784" s="859" t="s">
        <v>3512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4317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>
      <c r="B3785" s="1171" t="s">
        <v>4397</v>
      </c>
      <c r="C3785" s="859" t="s">
        <v>3512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4250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>
      <c r="B3786" s="1171" t="s">
        <v>4396</v>
      </c>
      <c r="C3786" s="859" t="s">
        <v>3512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4250</v>
      </c>
      <c r="I3786" s="1298" t="s">
        <v>3583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>
      <c r="B3787" s="1171" t="s">
        <v>4395</v>
      </c>
      <c r="C3787" s="859" t="s">
        <v>3512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1646</v>
      </c>
      <c r="I3787" s="1433" t="s">
        <v>4684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>
      <c r="B3788" s="1310" t="s">
        <v>4404</v>
      </c>
      <c r="C3788" s="859" t="s">
        <v>3512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4250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>
      <c r="B3789" s="1310" t="s">
        <v>4403</v>
      </c>
      <c r="C3789" s="859" t="s">
        <v>3512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1646</v>
      </c>
      <c r="I3789" s="1314" t="s">
        <v>3293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>
      <c r="B3790" s="1310" t="s">
        <v>4402</v>
      </c>
      <c r="C3790" s="859" t="s">
        <v>3512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4250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0" t="s">
        <v>4402</v>
      </c>
      <c r="C3791" s="859" t="s">
        <v>3512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1646</v>
      </c>
      <c r="I3791" s="1307" t="s">
        <v>2274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7" t="s">
        <v>4412</v>
      </c>
      <c r="C3792" s="859" t="s">
        <v>3512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1646</v>
      </c>
      <c r="I3792" s="1307" t="s">
        <v>2274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>
      <c r="B3793" s="1317" t="s">
        <v>4411</v>
      </c>
      <c r="C3793" s="859" t="s">
        <v>3512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1646</v>
      </c>
      <c r="I3793" s="1307" t="s">
        <v>2274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>
      <c r="B3794" s="1317" t="s">
        <v>4410</v>
      </c>
      <c r="C3794" s="859" t="s">
        <v>3512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4250</v>
      </c>
      <c r="I3794" s="1321" t="s">
        <v>3214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>
      <c r="B3795" s="1317" t="s">
        <v>4409</v>
      </c>
      <c r="C3795" s="859" t="s">
        <v>3512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2921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>
      <c r="B3796" s="1317" t="s">
        <v>4408</v>
      </c>
      <c r="C3796" s="859" t="s">
        <v>3512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4317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>
      <c r="B3797" s="1317" t="s">
        <v>4407</v>
      </c>
      <c r="C3797" s="859" t="s">
        <v>3512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4250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>
      <c r="B3798" s="1317" t="s">
        <v>4416</v>
      </c>
      <c r="C3798" s="859" t="s">
        <v>3512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1438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>
      <c r="B3799" s="1317" t="s">
        <v>4415</v>
      </c>
      <c r="C3799" s="859" t="s">
        <v>3512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1438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>
      <c r="B3800" s="1317" t="s">
        <v>4414</v>
      </c>
      <c r="C3800" s="859" t="s">
        <v>3512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3294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>
      <c r="B3801" s="1317" t="s">
        <v>4413</v>
      </c>
      <c r="C3801" s="859" t="s">
        <v>3512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1646</v>
      </c>
      <c r="I3801" s="1321" t="s">
        <v>1736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>
      <c r="B3802" s="1324" t="s">
        <v>4422</v>
      </c>
      <c r="C3802" s="859" t="s">
        <v>3512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1646</v>
      </c>
      <c r="I3802" s="1321" t="s">
        <v>1736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>
      <c r="B3803" s="1324" t="s">
        <v>4421</v>
      </c>
      <c r="C3803" s="859" t="s">
        <v>3512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4250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>
      <c r="B3804" s="1324" t="s">
        <v>4420</v>
      </c>
      <c r="C3804" s="859" t="s">
        <v>3512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1646</v>
      </c>
      <c r="I3804" s="1307" t="s">
        <v>2274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>
      <c r="B3805" s="1324" t="s">
        <v>4419</v>
      </c>
      <c r="C3805" s="859" t="s">
        <v>3512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4317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>
      <c r="B3806" s="1331" t="s">
        <v>4430</v>
      </c>
      <c r="C3806" s="859" t="s">
        <v>3512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4250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>
      <c r="B3807" s="1331" t="s">
        <v>4429</v>
      </c>
      <c r="C3807" s="859" t="s">
        <v>3512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1646</v>
      </c>
      <c r="I3807" s="1335" t="s">
        <v>3293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>
      <c r="B3808" s="1331" t="s">
        <v>4428</v>
      </c>
      <c r="C3808" s="859" t="s">
        <v>3512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434" t="s">
        <v>4685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1" t="s">
        <v>4428</v>
      </c>
      <c r="C3809" s="859" t="s">
        <v>3512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3294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1" t="s">
        <v>4427</v>
      </c>
      <c r="C3810" s="859" t="s">
        <v>3512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1646</v>
      </c>
      <c r="I3810" s="1335" t="s">
        <v>1736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>
      <c r="B3811" s="1331" t="s">
        <v>4426</v>
      </c>
      <c r="C3811" s="859" t="s">
        <v>3512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1646</v>
      </c>
      <c r="I3811" s="1433" t="s">
        <v>4684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>
      <c r="B3812" s="1331" t="s">
        <v>4425</v>
      </c>
      <c r="C3812" s="859" t="s">
        <v>3512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434" t="s">
        <v>4685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>
      <c r="B3813" s="1331" t="s">
        <v>4424</v>
      </c>
      <c r="C3813" s="859" t="s">
        <v>3512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>
      <c r="B3814" s="1331" t="s">
        <v>4423</v>
      </c>
      <c r="C3814" s="859" t="s">
        <v>3512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3294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>
      <c r="B3815" s="1338" t="s">
        <v>4461</v>
      </c>
      <c r="C3815" s="859" t="s">
        <v>3512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1646</v>
      </c>
      <c r="I3815" s="1433" t="s">
        <v>4684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>
      <c r="B3816" s="1338" t="s">
        <v>4460</v>
      </c>
      <c r="C3816" s="859" t="s">
        <v>3512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1646</v>
      </c>
      <c r="I3816" s="1342" t="s">
        <v>1736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>
      <c r="B3817" s="1338" t="s">
        <v>4459</v>
      </c>
      <c r="C3817" s="859" t="s">
        <v>3512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1646</v>
      </c>
      <c r="I3817" s="1342" t="s">
        <v>1736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>
      <c r="B3818" s="1338" t="s">
        <v>4458</v>
      </c>
      <c r="C3818" s="859" t="s">
        <v>3512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4250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>
      <c r="B3819" s="1338" t="s">
        <v>4457</v>
      </c>
      <c r="C3819" s="859" t="s">
        <v>3512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1646</v>
      </c>
      <c r="I3819" s="1342" t="s">
        <v>1736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>
      <c r="B3820" s="1338" t="s">
        <v>4456</v>
      </c>
      <c r="C3820" s="859" t="s">
        <v>3512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1646</v>
      </c>
      <c r="I3820" s="1342" t="s">
        <v>1736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>
      <c r="B3821" s="1338" t="s">
        <v>4455</v>
      </c>
      <c r="C3821" s="859" t="s">
        <v>3512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4250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>
      <c r="B3822" s="1338" t="s">
        <v>4454</v>
      </c>
      <c r="C3822" s="859" t="s">
        <v>3512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1646</v>
      </c>
      <c r="I3822" s="1342" t="s">
        <v>2274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>
      <c r="B3823" s="1338" t="s">
        <v>4453</v>
      </c>
      <c r="C3823" s="859" t="s">
        <v>3512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1646</v>
      </c>
      <c r="I3823" s="1433" t="s">
        <v>4684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>
      <c r="B3824" s="1338" t="s">
        <v>4452</v>
      </c>
      <c r="C3824" s="859" t="s">
        <v>3512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1646</v>
      </c>
      <c r="I3824" s="1342" t="s">
        <v>2274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>
      <c r="B3825" s="1338" t="s">
        <v>4451</v>
      </c>
      <c r="C3825" s="859" t="s">
        <v>3512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1646</v>
      </c>
      <c r="I3825" s="1342" t="s">
        <v>1736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>
      <c r="B3826" s="1338" t="s">
        <v>4450</v>
      </c>
      <c r="C3826" s="859" t="s">
        <v>3512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4317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>
      <c r="B3827" s="1338" t="s">
        <v>4449</v>
      </c>
      <c r="C3827" s="859" t="s">
        <v>3512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1646</v>
      </c>
      <c r="I3827" s="1342" t="s">
        <v>1736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>
      <c r="B3828" s="1338" t="s">
        <v>4448</v>
      </c>
      <c r="C3828" s="859" t="s">
        <v>3512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3367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>
      <c r="B3829" s="1338" t="s">
        <v>4447</v>
      </c>
      <c r="C3829" s="859" t="s">
        <v>3512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>
      <c r="B3830" s="1338" t="s">
        <v>4446</v>
      </c>
      <c r="C3830" s="859" t="s">
        <v>3512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4250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>
      <c r="B3831" s="1338" t="s">
        <v>4445</v>
      </c>
      <c r="C3831" s="859" t="s">
        <v>3512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1646</v>
      </c>
      <c r="I3831" s="1342" t="s">
        <v>3293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>
      <c r="B3832" s="1338" t="s">
        <v>4444</v>
      </c>
      <c r="C3832" s="859" t="s">
        <v>3512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1359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>
      <c r="B3833" s="1338" t="s">
        <v>4443</v>
      </c>
      <c r="C3833" s="859" t="s">
        <v>3512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3367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1359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>
      <c r="B3834" s="1338" t="s">
        <v>4442</v>
      </c>
      <c r="C3834" s="859" t="s">
        <v>3512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434" t="s">
        <v>4685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>
      <c r="B3835" s="1338" t="s">
        <v>4441</v>
      </c>
      <c r="C3835" s="859" t="s">
        <v>3512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>
      <c r="B3836" s="1338" t="s">
        <v>4440</v>
      </c>
      <c r="C3836" s="859" t="s">
        <v>3512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3367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>
      <c r="B3837" s="1338" t="s">
        <v>4439</v>
      </c>
      <c r="C3837" s="859" t="s">
        <v>3512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1646</v>
      </c>
      <c r="I3837" s="1342" t="s">
        <v>3293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>
      <c r="B3838" s="1338" t="s">
        <v>4438</v>
      </c>
      <c r="C3838" s="859" t="s">
        <v>3512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4250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>
      <c r="B3839" s="1338" t="s">
        <v>4437</v>
      </c>
      <c r="C3839" s="859" t="s">
        <v>3512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3294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>
      <c r="B3840" s="1338" t="s">
        <v>4436</v>
      </c>
      <c r="C3840" s="859" t="s">
        <v>3512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4250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>
      <c r="B3841" s="1338" t="s">
        <v>4435</v>
      </c>
      <c r="C3841" s="859" t="s">
        <v>3512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>
      <c r="B3842" s="1338" t="s">
        <v>4434</v>
      </c>
      <c r="C3842" s="859" t="s">
        <v>3512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1646</v>
      </c>
      <c r="I3842" s="1342" t="s">
        <v>1736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>
      <c r="B3843" s="1338" t="s">
        <v>4433</v>
      </c>
      <c r="C3843" s="859" t="s">
        <v>3512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3294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>
      <c r="B3844" s="1338" t="s">
        <v>4432</v>
      </c>
      <c r="C3844" s="859" t="s">
        <v>3512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3367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1438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>
      <c r="B3845" s="1338" t="s">
        <v>4431</v>
      </c>
      <c r="C3845" s="859" t="s">
        <v>3512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1438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>
      <c r="B3846" s="1338" t="s">
        <v>4463</v>
      </c>
      <c r="C3846" s="859" t="s">
        <v>3512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3294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>
      <c r="B3847" s="1338" t="s">
        <v>4462</v>
      </c>
      <c r="C3847" s="859" t="s">
        <v>3512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3294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>
      <c r="B3848" s="1346" t="s">
        <v>4512</v>
      </c>
      <c r="C3848" s="859" t="s">
        <v>3512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1646</v>
      </c>
      <c r="I3848" s="1433" t="s">
        <v>4684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>
      <c r="B3849" s="1346" t="s">
        <v>4511</v>
      </c>
      <c r="C3849" s="859" t="s">
        <v>3512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1646</v>
      </c>
      <c r="I3849" s="1350" t="s">
        <v>2274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>
      <c r="B3850" s="1346" t="s">
        <v>4510</v>
      </c>
      <c r="C3850" s="859" t="s">
        <v>3512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4250</v>
      </c>
      <c r="I3850" s="1350" t="s">
        <v>3214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>
      <c r="B3851" s="1346" t="s">
        <v>4509</v>
      </c>
      <c r="C3851" s="859" t="s">
        <v>3512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1646</v>
      </c>
      <c r="I3851" s="1350" t="s">
        <v>1736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>
      <c r="B3852" s="1346" t="s">
        <v>4508</v>
      </c>
      <c r="C3852" s="859" t="s">
        <v>3512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3367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>
      <c r="B3853" s="1346" t="s">
        <v>4507</v>
      </c>
      <c r="C3853" s="859" t="s">
        <v>3512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>
      <c r="B3854" s="1346" t="s">
        <v>4506</v>
      </c>
      <c r="C3854" s="859" t="s">
        <v>3512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3294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>
      <c r="B3855" s="1346" t="s">
        <v>4505</v>
      </c>
      <c r="C3855" s="859" t="s">
        <v>3512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4250</v>
      </c>
      <c r="I3855" s="1350" t="s">
        <v>3583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>
      <c r="B3856" s="1346" t="s">
        <v>4504</v>
      </c>
      <c r="C3856" s="859" t="s">
        <v>3512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4317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>
      <c r="B3857" s="1346" t="s">
        <v>4503</v>
      </c>
      <c r="C3857" s="859" t="s">
        <v>3512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>
      <c r="B3858" s="1346" t="s">
        <v>4502</v>
      </c>
      <c r="C3858" s="859" t="s">
        <v>3512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4250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>
      <c r="B3859" s="1346" t="s">
        <v>4501</v>
      </c>
      <c r="C3859" s="859" t="s">
        <v>3512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1646</v>
      </c>
      <c r="I3859" s="1350" t="s">
        <v>1736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>
      <c r="B3860" s="1346" t="s">
        <v>4500</v>
      </c>
      <c r="C3860" s="859" t="s">
        <v>3512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3367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1596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>
      <c r="B3861" s="1346" t="s">
        <v>4499</v>
      </c>
      <c r="C3861" s="859" t="s">
        <v>3512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3634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>
      <c r="B3862" s="1346" t="s">
        <v>4498</v>
      </c>
      <c r="C3862" s="859" t="s">
        <v>3512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3294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>
      <c r="B3863" s="1346" t="s">
        <v>4497</v>
      </c>
      <c r="C3863" s="859" t="s">
        <v>3512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1646</v>
      </c>
      <c r="I3863" s="1350" t="s">
        <v>2274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>
      <c r="B3864" s="1346" t="s">
        <v>4496</v>
      </c>
      <c r="C3864" s="859" t="s">
        <v>3512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3634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>
      <c r="B3865" s="1346" t="s">
        <v>4495</v>
      </c>
      <c r="C3865" s="859" t="s">
        <v>3512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434" t="s">
        <v>4685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>
      <c r="B3866" s="1346" t="s">
        <v>4494</v>
      </c>
      <c r="C3866" s="859" t="s">
        <v>3512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1646</v>
      </c>
      <c r="I3866" s="1433" t="s">
        <v>4684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>
      <c r="B3867" s="1346" t="s">
        <v>4493</v>
      </c>
      <c r="C3867" s="859" t="s">
        <v>3512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4250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>
      <c r="B3868" s="1346" t="s">
        <v>4492</v>
      </c>
      <c r="C3868" s="859" t="s">
        <v>3512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1646</v>
      </c>
      <c r="I3868" s="1350" t="s">
        <v>1736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>
      <c r="B3869" s="1346" t="s">
        <v>4491</v>
      </c>
      <c r="C3869" s="859" t="s">
        <v>3512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1359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46" t="s">
        <v>4491</v>
      </c>
      <c r="C3870" s="859" t="s">
        <v>3512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434" t="s">
        <v>4685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46" t="s">
        <v>4490</v>
      </c>
      <c r="C3871" s="859" t="s">
        <v>3512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1646</v>
      </c>
      <c r="I3871" s="1433" t="s">
        <v>4684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>
      <c r="B3872" s="1346" t="s">
        <v>4489</v>
      </c>
      <c r="C3872" s="859" t="s">
        <v>3512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1359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>
      <c r="B3873" s="1346" t="s">
        <v>4488</v>
      </c>
      <c r="C3873" s="859" t="s">
        <v>3512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4250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>
      <c r="B3874" s="1346" t="s">
        <v>4487</v>
      </c>
      <c r="C3874" s="859" t="s">
        <v>3512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434" t="s">
        <v>4685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>
      <c r="B3875" s="1346" t="s">
        <v>4486</v>
      </c>
      <c r="C3875" s="859" t="s">
        <v>3512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4250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>
      <c r="B3876" s="1346" t="s">
        <v>4485</v>
      </c>
      <c r="C3876" s="859" t="s">
        <v>3512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>
      <c r="B3877" s="1346" t="s">
        <v>4484</v>
      </c>
      <c r="C3877" s="859" t="s">
        <v>3512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3367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>
      <c r="B3878" s="1346" t="s">
        <v>4483</v>
      </c>
      <c r="C3878" s="859" t="s">
        <v>3512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>
      <c r="B3879" s="1346" t="s">
        <v>4482</v>
      </c>
      <c r="C3879" s="859" t="s">
        <v>3512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3367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>
      <c r="B3880" s="1346" t="s">
        <v>4481</v>
      </c>
      <c r="C3880" s="859" t="s">
        <v>3512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1646</v>
      </c>
      <c r="I3880" s="1350" t="s">
        <v>2274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>
      <c r="B3881" s="1346" t="s">
        <v>4480</v>
      </c>
      <c r="C3881" s="859" t="s">
        <v>3512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4250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>
      <c r="B3882" s="1346" t="s">
        <v>4479</v>
      </c>
      <c r="C3882" s="859" t="s">
        <v>3512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4250</v>
      </c>
      <c r="I3882" s="1350" t="s">
        <v>3214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>
      <c r="B3883" s="1346" t="s">
        <v>4478</v>
      </c>
      <c r="C3883" s="859" t="s">
        <v>3512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4250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>
      <c r="B3884" s="1346" t="s">
        <v>4477</v>
      </c>
      <c r="C3884" s="859" t="s">
        <v>3512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4250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>
      <c r="B3885" s="1346" t="s">
        <v>4476</v>
      </c>
      <c r="C3885" s="859" t="s">
        <v>3512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1438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>
      <c r="B3886" s="1346" t="s">
        <v>4475</v>
      </c>
      <c r="C3886" s="859" t="s">
        <v>3512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1646</v>
      </c>
      <c r="I3886" s="1433" t="s">
        <v>4684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>
      <c r="B3887" s="1355" t="s">
        <v>4579</v>
      </c>
      <c r="C3887" s="859" t="s">
        <v>3512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434" t="s">
        <v>4685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>
      <c r="B3888" s="1355" t="s">
        <v>4578</v>
      </c>
      <c r="C3888" s="859" t="s">
        <v>3512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3294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>
      <c r="B3889" s="1355" t="s">
        <v>4578</v>
      </c>
      <c r="C3889" s="859" t="s">
        <v>3512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434" t="s">
        <v>4685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>
      <c r="B3890" s="1355" t="s">
        <v>4577</v>
      </c>
      <c r="C3890" s="859" t="s">
        <v>3512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4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>
      <c r="B3891" s="1355" t="s">
        <v>4576</v>
      </c>
      <c r="C3891" s="859" t="s">
        <v>3512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1646</v>
      </c>
      <c r="I3891" s="1359" t="s">
        <v>1736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>
      <c r="B3892" s="1355" t="s">
        <v>4575</v>
      </c>
      <c r="C3892" s="859" t="s">
        <v>3512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1646</v>
      </c>
      <c r="I3892" s="1359" t="s">
        <v>3293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>
      <c r="B3893" s="1355" t="s">
        <v>4574</v>
      </c>
      <c r="C3893" s="859" t="s">
        <v>3512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1646</v>
      </c>
      <c r="I3893" s="1359" t="s">
        <v>1736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>
      <c r="B3894" s="1355" t="s">
        <v>4573</v>
      </c>
      <c r="C3894" s="859" t="s">
        <v>3512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434" t="s">
        <v>4685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>
      <c r="B3895" s="1355" t="s">
        <v>4572</v>
      </c>
      <c r="C3895" s="859" t="s">
        <v>3512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4317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>
      <c r="B3896" s="1362" t="s">
        <v>4586</v>
      </c>
      <c r="C3896" s="859" t="s">
        <v>3512</v>
      </c>
      <c r="D3896" s="1363">
        <v>46259.620520833334</v>
      </c>
      <c r="E3896" s="1364">
        <v>42.58</v>
      </c>
      <c r="F3896" s="583">
        <v>4.4999999999999998E-2</v>
      </c>
      <c r="G3896" s="1365">
        <f t="shared" ref="G3896:G3900" si="150">IF(E3896&gt;0,E3896/(1-F3896),E3896)</f>
        <v>44.586387434554972</v>
      </c>
      <c r="H3896" s="1434" t="s">
        <v>4685</v>
      </c>
      <c r="I3896" s="1366" t="s">
        <v>626</v>
      </c>
      <c r="J3896" s="1365">
        <f>(9.2*100.04+7.6*99.99+6.8*99.99)/base[[#This Row],[Stake/Responsabilidade]]</f>
        <v>7.8668888740750615</v>
      </c>
      <c r="K3896" s="1365">
        <f>100.04+99.99+99.99</f>
        <v>300.02</v>
      </c>
      <c r="L3896" s="1363">
        <f>INT(base[[#This Row],[Data de liquidação]])</f>
        <v>46259</v>
      </c>
      <c r="M3896" s="1365">
        <f>base[[#This Row],[L/P Bruto]]-base[[#This Row],[L/P Líquido]]</f>
        <v>2.0063874345549735</v>
      </c>
      <c r="N3896" s="1365">
        <f>base[[#This Row],[L/P Líquido]]/base[[#This Row],[Stake/Responsabilidade]]</f>
        <v>0.14192387174188387</v>
      </c>
      <c r="O3896" s="1367">
        <f>IF(base[[#This Row],[L/P Líquido]]&gt;0,1,0)</f>
        <v>1</v>
      </c>
      <c r="P3896" s="1367"/>
      <c r="Q3896" s="1367" t="str">
        <f>LEFT(base[[#This Row],[Evento / Mercado]],FIND("vs",base[[#This Row],[Evento / Mercado]])-2)</f>
        <v>FK Auda</v>
      </c>
      <c r="R3896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7" t="str">
        <f>LEFT(base[[#This Row],[Evento / Mercado]],FIND("/",base[[#This Row],[Evento / Mercado]])-2)</f>
        <v>FK Auda vs FK Liepaja</v>
      </c>
      <c r="T3896" s="1368">
        <f>base[[#This Row],[Data de liquidação]]</f>
        <v>46259.620520833334</v>
      </c>
    </row>
    <row r="3897" spans="2:22" ht="15" customHeight="1">
      <c r="B3897" s="1362" t="s">
        <v>4585</v>
      </c>
      <c r="C3897" s="859" t="s">
        <v>3512</v>
      </c>
      <c r="D3897" s="1363">
        <v>46259.653715277775</v>
      </c>
      <c r="E3897" s="1364">
        <v>10.31</v>
      </c>
      <c r="F3897" s="583">
        <v>4.4999999999999998E-2</v>
      </c>
      <c r="G3897" s="1365">
        <f t="shared" si="150"/>
        <v>10.795811518324609</v>
      </c>
      <c r="H3897" s="1365" t="s">
        <v>1646</v>
      </c>
      <c r="I3897" s="1366" t="s">
        <v>2274</v>
      </c>
      <c r="J3897" s="1365">
        <v>1.54</v>
      </c>
      <c r="K3897" s="1365">
        <v>20</v>
      </c>
      <c r="L3897" s="1363">
        <f>INT(base[[#This Row],[Data de liquidação]])</f>
        <v>46259</v>
      </c>
      <c r="M3897" s="1365">
        <f>base[[#This Row],[L/P Bruto]]-base[[#This Row],[L/P Líquido]]</f>
        <v>0.48581151832460812</v>
      </c>
      <c r="N3897" s="1365">
        <f>base[[#This Row],[L/P Líquido]]/base[[#This Row],[Stake/Responsabilidade]]</f>
        <v>0.51550000000000007</v>
      </c>
      <c r="O3897" s="1367">
        <f>IF(base[[#This Row],[L/P Líquido]]&gt;0,1,0)</f>
        <v>1</v>
      </c>
      <c r="P3897" s="1367"/>
      <c r="Q3897" s="1367" t="str">
        <f>LEFT(base[[#This Row],[Evento / Mercado]],FIND("vs",base[[#This Row],[Evento / Mercado]])-2)</f>
        <v>Siwelele FC</v>
      </c>
      <c r="R3897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7" t="str">
        <f>LEFT(base[[#This Row],[Evento / Mercado]],FIND("/",base[[#This Row],[Evento / Mercado]])-2)</f>
        <v>Siwelele FC vs Chippa United</v>
      </c>
      <c r="T3897" s="1368">
        <f>base[[#This Row],[Data de liquidação]]</f>
        <v>46259.653715277775</v>
      </c>
    </row>
    <row r="3898" spans="2:22" ht="15" customHeight="1">
      <c r="B3898" s="1362" t="s">
        <v>4584</v>
      </c>
      <c r="C3898" s="859" t="s">
        <v>3512</v>
      </c>
      <c r="D3898" s="1363">
        <v>46259.661400462966</v>
      </c>
      <c r="E3898" s="1364">
        <v>-123.72</v>
      </c>
      <c r="F3898" s="583">
        <v>4.4999999999999998E-2</v>
      </c>
      <c r="G3898" s="1365">
        <f t="shared" si="150"/>
        <v>-123.72</v>
      </c>
      <c r="H3898" s="1365" t="s">
        <v>179</v>
      </c>
      <c r="I3898" s="1366" t="s">
        <v>391</v>
      </c>
      <c r="J3898" s="1365">
        <v>5.85</v>
      </c>
      <c r="K3898" s="1365">
        <f>200.02+200.02</f>
        <v>400.04</v>
      </c>
      <c r="L3898" s="1363">
        <f>INT(base[[#This Row],[Data de liquidação]])</f>
        <v>46259</v>
      </c>
      <c r="M3898" s="1365">
        <f>base[[#This Row],[L/P Bruto]]-base[[#This Row],[L/P Líquido]]</f>
        <v>0</v>
      </c>
      <c r="N3898" s="1365">
        <f>base[[#This Row],[L/P Líquido]]/base[[#This Row],[Stake/Responsabilidade]]</f>
        <v>-0.30926907309269069</v>
      </c>
      <c r="O3898" s="1367">
        <f>IF(base[[#This Row],[L/P Líquido]]&gt;0,1,0)</f>
        <v>0</v>
      </c>
      <c r="P3898" s="1374" t="s">
        <v>4464</v>
      </c>
      <c r="Q3898" s="1367" t="str">
        <f>LEFT(base[[#This Row],[Evento / Mercado]],FIND("vs",base[[#This Row],[Evento / Mercado]])-2)</f>
        <v>Östers IF</v>
      </c>
      <c r="R3898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7" t="str">
        <f>LEFT(base[[#This Row],[Evento / Mercado]],FIND("/",base[[#This Row],[Evento / Mercado]])-2)</f>
        <v>Östers IF vs GIF Sundsvall</v>
      </c>
      <c r="T3898" s="1368">
        <f>base[[#This Row],[Data de liquidação]]</f>
        <v>46259.661400462966</v>
      </c>
    </row>
    <row r="3899" spans="2:22" ht="15" customHeight="1">
      <c r="B3899" s="1362" t="s">
        <v>4583</v>
      </c>
      <c r="C3899" s="859" t="s">
        <v>3512</v>
      </c>
      <c r="D3899" s="1363">
        <v>46259.708958333336</v>
      </c>
      <c r="E3899" s="1364">
        <v>33.43</v>
      </c>
      <c r="F3899" s="583">
        <v>4.4999999999999998E-2</v>
      </c>
      <c r="G3899" s="1365">
        <f t="shared" si="150"/>
        <v>35.005235602094245</v>
      </c>
      <c r="H3899" s="1365" t="s">
        <v>74</v>
      </c>
      <c r="I3899" s="1366" t="s">
        <v>692</v>
      </c>
      <c r="J3899" s="1365">
        <v>17</v>
      </c>
      <c r="K3899" s="1365">
        <v>560</v>
      </c>
      <c r="L3899" s="1363">
        <f>INT(base[[#This Row],[Data de liquidação]])</f>
        <v>46259</v>
      </c>
      <c r="M3899" s="1365">
        <f>base[[#This Row],[L/P Bruto]]-base[[#This Row],[L/P Líquido]]</f>
        <v>1.5752356020942457</v>
      </c>
      <c r="N3899" s="1365">
        <f>base[[#This Row],[L/P Líquido]]/base[[#This Row],[Stake/Responsabilidade]]</f>
        <v>5.9696428571428574E-2</v>
      </c>
      <c r="O3899" s="1367">
        <f>IF(base[[#This Row],[L/P Líquido]]&gt;0,1,0)</f>
        <v>1</v>
      </c>
      <c r="P3899" s="1374" t="s">
        <v>1209</v>
      </c>
      <c r="Q3899" s="1367" t="str">
        <f>LEFT(base[[#This Row],[Evento / Mercado]],FIND("vs",base[[#This Row],[Evento / Mercado]])-2)</f>
        <v>Al-Ettifaq</v>
      </c>
      <c r="R3899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7" t="str">
        <f>LEFT(base[[#This Row],[Evento / Mercado]],FIND("/",base[[#This Row],[Evento / Mercado]])-2)</f>
        <v>Al-Ettifaq vs Al-Nassr Riyadh</v>
      </c>
      <c r="T3899" s="1368">
        <f>base[[#This Row],[Data de liquidação]]</f>
        <v>46259.708958333336</v>
      </c>
    </row>
    <row r="3900" spans="2:22" ht="15" customHeight="1">
      <c r="B3900" s="1362" t="s">
        <v>4582</v>
      </c>
      <c r="C3900" s="859" t="s">
        <v>3512</v>
      </c>
      <c r="D3900" s="1363">
        <v>46259.740624999999</v>
      </c>
      <c r="E3900" s="1364">
        <v>9.74</v>
      </c>
      <c r="F3900" s="583">
        <v>4.4999999999999998E-2</v>
      </c>
      <c r="G3900" s="1365">
        <f t="shared" si="150"/>
        <v>10.198952879581153</v>
      </c>
      <c r="H3900" s="1365" t="s">
        <v>1646</v>
      </c>
      <c r="I3900" s="1366" t="s">
        <v>2274</v>
      </c>
      <c r="J3900" s="1365">
        <v>1.51</v>
      </c>
      <c r="K3900" s="1365">
        <v>20</v>
      </c>
      <c r="L3900" s="1363">
        <f>INT(base[[#This Row],[Data de liquidação]])</f>
        <v>46259</v>
      </c>
      <c r="M3900" s="1365">
        <f>base[[#This Row],[L/P Bruto]]-base[[#This Row],[L/P Líquido]]</f>
        <v>0.45895287958115283</v>
      </c>
      <c r="N3900" s="1365">
        <f>base[[#This Row],[L/P Líquido]]/base[[#This Row],[Stake/Responsabilidade]]</f>
        <v>0.48699999999999999</v>
      </c>
      <c r="O3900" s="1367">
        <f>IF(base[[#This Row],[L/P Líquido]]&gt;0,1,0)</f>
        <v>1</v>
      </c>
      <c r="P3900" s="1367"/>
      <c r="Q3900" s="1367" t="str">
        <f>LEFT(base[[#This Row],[Evento / Mercado]],FIND("vs",base[[#This Row],[Evento / Mercado]])-2)</f>
        <v>Valencia</v>
      </c>
      <c r="R3900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7" t="str">
        <f>LEFT(base[[#This Row],[Evento / Mercado]],FIND("/",base[[#This Row],[Evento / Mercado]])-2)</f>
        <v>Valencia vs Real Betis</v>
      </c>
      <c r="T3900" s="1368">
        <f>base[[#This Row],[Data de liquidação]]</f>
        <v>46259.740624999999</v>
      </c>
    </row>
    <row r="3901" spans="2:22" ht="15" customHeight="1">
      <c r="B3901" s="1369" t="s">
        <v>4593</v>
      </c>
      <c r="C3901" s="859" t="s">
        <v>3512</v>
      </c>
      <c r="D3901" s="1370">
        <v>46260.54184027778</v>
      </c>
      <c r="E3901" s="1371">
        <v>-20</v>
      </c>
      <c r="F3901" s="583">
        <v>4.4999999999999998E-2</v>
      </c>
      <c r="G3901" s="1372">
        <f t="shared" ref="G3901:G3908" si="151">IF(E3901&gt;0,E3901/(1-F3901),E3901)</f>
        <v>-20</v>
      </c>
      <c r="H3901" s="1365" t="s">
        <v>1646</v>
      </c>
      <c r="I3901" s="1366" t="s">
        <v>2274</v>
      </c>
      <c r="J3901" s="1372">
        <v>1.54</v>
      </c>
      <c r="K3901" s="1372">
        <v>20</v>
      </c>
      <c r="L3901" s="1370">
        <f>INT(base[[#This Row],[Data de liquidação]])</f>
        <v>46260</v>
      </c>
      <c r="M3901" s="1372">
        <f>base[[#This Row],[L/P Bruto]]-base[[#This Row],[L/P Líquido]]</f>
        <v>0</v>
      </c>
      <c r="N3901" s="1372">
        <f>base[[#This Row],[L/P Líquido]]/base[[#This Row],[Stake/Responsabilidade]]</f>
        <v>-1</v>
      </c>
      <c r="O3901" s="1374">
        <f>IF(base[[#This Row],[L/P Líquido]]&gt;0,1,0)</f>
        <v>0</v>
      </c>
      <c r="P3901" s="1374"/>
      <c r="Q3901" s="1374" t="str">
        <f>LEFT(base[[#This Row],[Evento / Mercado]],FIND("vs",base[[#This Row],[Evento / Mercado]])-2)</f>
        <v>Smouha SC</v>
      </c>
      <c r="R3901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4" t="str">
        <f>LEFT(base[[#This Row],[Evento / Mercado]],FIND("/",base[[#This Row],[Evento / Mercado]])-2)</f>
        <v>Smouha SC vs Asyut Petroleum</v>
      </c>
      <c r="T3901" s="1375">
        <f>base[[#This Row],[Data de liquidação]]</f>
        <v>46260.54184027778</v>
      </c>
    </row>
    <row r="3902" spans="2:22" ht="15" customHeight="1">
      <c r="B3902" s="1369" t="s">
        <v>4592</v>
      </c>
      <c r="C3902" s="859" t="s">
        <v>3512</v>
      </c>
      <c r="D3902" s="1370">
        <v>46260.621388888889</v>
      </c>
      <c r="E3902" s="1371">
        <v>20.100000000000001</v>
      </c>
      <c r="F3902" s="583">
        <v>4.4999999999999998E-2</v>
      </c>
      <c r="G3902" s="1372">
        <f t="shared" si="151"/>
        <v>21.04712041884817</v>
      </c>
      <c r="H3902" s="1372" t="s">
        <v>74</v>
      </c>
      <c r="I3902" s="1373" t="s">
        <v>626</v>
      </c>
      <c r="J3902" s="1372">
        <v>20</v>
      </c>
      <c r="K3902" s="1372">
        <v>399.95</v>
      </c>
      <c r="L3902" s="1370">
        <f>INT(base[[#This Row],[Data de liquidação]])</f>
        <v>46260</v>
      </c>
      <c r="M3902" s="1372">
        <f>base[[#This Row],[L/P Bruto]]-base[[#This Row],[L/P Líquido]]</f>
        <v>0.94712041884816855</v>
      </c>
      <c r="N3902" s="1372">
        <f>base[[#This Row],[L/P Líquido]]/base[[#This Row],[Stake/Responsabilidade]]</f>
        <v>5.025628203525441E-2</v>
      </c>
      <c r="O3902" s="1374">
        <f>IF(base[[#This Row],[L/P Líquido]]&gt;0,1,0)</f>
        <v>1</v>
      </c>
      <c r="P3902" s="1374" t="s">
        <v>3023</v>
      </c>
      <c r="Q3902" s="1374" t="str">
        <f>LEFT(base[[#This Row],[Evento / Mercado]],FIND("vs",base[[#This Row],[Evento / Mercado]])-2)</f>
        <v>Strømmen</v>
      </c>
      <c r="R3902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4" t="str">
        <f>LEFT(base[[#This Row],[Evento / Mercado]],FIND("/",base[[#This Row],[Evento / Mercado]])-2)</f>
        <v>Strømmen vs Raufoss</v>
      </c>
      <c r="T3902" s="1375">
        <f>base[[#This Row],[Data de liquidação]]</f>
        <v>46260.621388888889</v>
      </c>
    </row>
    <row r="3903" spans="2:22" ht="15" customHeight="1">
      <c r="B3903" s="1369" t="s">
        <v>4591</v>
      </c>
      <c r="C3903" s="859" t="s">
        <v>3512</v>
      </c>
      <c r="D3903" s="1370">
        <v>46260.636574074073</v>
      </c>
      <c r="E3903" s="1371">
        <v>9.9499999999999993</v>
      </c>
      <c r="F3903" s="583">
        <v>4.4999999999999998E-2</v>
      </c>
      <c r="G3903" s="1372">
        <f t="shared" si="151"/>
        <v>10.418848167539267</v>
      </c>
      <c r="H3903" s="1365" t="s">
        <v>1646</v>
      </c>
      <c r="I3903" s="1366" t="s">
        <v>2274</v>
      </c>
      <c r="J3903" s="1372">
        <v>1.52</v>
      </c>
      <c r="K3903" s="1372">
        <v>20</v>
      </c>
      <c r="L3903" s="1370">
        <f>INT(base[[#This Row],[Data de liquidação]])</f>
        <v>46260</v>
      </c>
      <c r="M3903" s="1372">
        <f>base[[#This Row],[L/P Bruto]]-base[[#This Row],[L/P Líquido]]</f>
        <v>0.46884816753926728</v>
      </c>
      <c r="N3903" s="1372">
        <f>base[[#This Row],[L/P Líquido]]/base[[#This Row],[Stake/Responsabilidade]]</f>
        <v>0.49749999999999994</v>
      </c>
      <c r="O3903" s="1374">
        <f>IF(base[[#This Row],[L/P Líquido]]&gt;0,1,0)</f>
        <v>1</v>
      </c>
      <c r="P3903" s="1374"/>
      <c r="Q3903" s="1374" t="str">
        <f>LEFT(base[[#This Row],[Evento / Mercado]],FIND("vs",base[[#This Row],[Evento / Mercado]])-2)</f>
        <v>National Bank</v>
      </c>
      <c r="R3903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4" t="str">
        <f>LEFT(base[[#This Row],[Evento / Mercado]],FIND("/",base[[#This Row],[Evento / Mercado]])-2)</f>
        <v>National Bank vs Zamalek</v>
      </c>
      <c r="T3903" s="1375">
        <f>base[[#This Row],[Data de liquidação]]</f>
        <v>46260.636574074073</v>
      </c>
    </row>
    <row r="3904" spans="2:22" ht="15" customHeight="1">
      <c r="B3904" s="1369" t="s">
        <v>4590</v>
      </c>
      <c r="C3904" s="859" t="s">
        <v>3512</v>
      </c>
      <c r="D3904" s="1370">
        <v>46260.646770833337</v>
      </c>
      <c r="E3904" s="1371">
        <v>90.44</v>
      </c>
      <c r="F3904" s="583">
        <v>4.4999999999999998E-2</v>
      </c>
      <c r="G3904" s="1372">
        <f t="shared" si="151"/>
        <v>94.701570680628279</v>
      </c>
      <c r="H3904" s="1372" t="s">
        <v>314</v>
      </c>
      <c r="I3904" s="1373" t="s">
        <v>349</v>
      </c>
      <c r="J3904" s="1372">
        <v>1.79</v>
      </c>
      <c r="K3904" s="1372">
        <v>119.87</v>
      </c>
      <c r="L3904" s="1370">
        <f>INT(base[[#This Row],[Data de liquidação]])</f>
        <v>46260</v>
      </c>
      <c r="M3904" s="1372">
        <f>base[[#This Row],[L/P Bruto]]-base[[#This Row],[L/P Líquido]]</f>
        <v>4.2615706806282816</v>
      </c>
      <c r="N3904" s="1372">
        <f>base[[#This Row],[L/P Líquido]]/base[[#This Row],[Stake/Responsabilidade]]</f>
        <v>0.75448402435972295</v>
      </c>
      <c r="O3904" s="1374">
        <f>IF(base[[#This Row],[L/P Líquido]]&gt;0,1,0)</f>
        <v>1</v>
      </c>
      <c r="P3904" s="1374"/>
      <c r="Q3904" s="1374" t="str">
        <f>LEFT(base[[#This Row],[Evento / Mercado]],FIND("vs",base[[#This Row],[Evento / Mercado]])-2)</f>
        <v>Strømsgodset</v>
      </c>
      <c r="R3904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4" t="str">
        <f>LEFT(base[[#This Row],[Evento / Mercado]],FIND("/",base[[#This Row],[Evento / Mercado]])-2)</f>
        <v>Strømsgodset vs Hødd</v>
      </c>
      <c r="T3904" s="1375">
        <f>base[[#This Row],[Data de liquidação]]</f>
        <v>46260.646770833337</v>
      </c>
    </row>
    <row r="3905" spans="2:20" ht="15" customHeight="1">
      <c r="B3905" s="1369" t="s">
        <v>4589</v>
      </c>
      <c r="C3905" s="859" t="s">
        <v>3512</v>
      </c>
      <c r="D3905" s="1370">
        <v>46260.661539351851</v>
      </c>
      <c r="E3905" s="1371">
        <v>10.92</v>
      </c>
      <c r="F3905" s="583">
        <v>4.4999999999999998E-2</v>
      </c>
      <c r="G3905" s="1372">
        <f t="shared" si="151"/>
        <v>11.43455497382199</v>
      </c>
      <c r="H3905" s="1372" t="s">
        <v>3294</v>
      </c>
      <c r="I3905" s="1373" t="s">
        <v>626</v>
      </c>
      <c r="J3905" s="1372">
        <v>36</v>
      </c>
      <c r="K3905" s="1372">
        <v>400.05</v>
      </c>
      <c r="L3905" s="1370">
        <f>INT(base[[#This Row],[Data de liquidação]])</f>
        <v>46260</v>
      </c>
      <c r="M3905" s="1372">
        <f>base[[#This Row],[L/P Bruto]]-base[[#This Row],[L/P Líquido]]</f>
        <v>0.51455497382199056</v>
      </c>
      <c r="N3905" s="1372">
        <f>base[[#This Row],[L/P Líquido]]/base[[#This Row],[Stake/Responsabilidade]]</f>
        <v>2.7296587926509186E-2</v>
      </c>
      <c r="O3905" s="1374">
        <f>IF(base[[#This Row],[L/P Líquido]]&gt;0,1,0)</f>
        <v>1</v>
      </c>
      <c r="P3905" s="1374"/>
      <c r="Q3905" s="1374" t="str">
        <f>LEFT(base[[#This Row],[Evento / Mercado]],FIND("vs",base[[#This Row],[Evento / Mercado]])-2)</f>
        <v>Haugesund</v>
      </c>
      <c r="R3905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4" t="str">
        <f>LEFT(base[[#This Row],[Evento / Mercado]],FIND("/",base[[#This Row],[Evento / Mercado]])-2)</f>
        <v>Haugesund vs Egersund</v>
      </c>
      <c r="T3905" s="1375">
        <f>base[[#This Row],[Data de liquidação]]</f>
        <v>46260.661539351851</v>
      </c>
    </row>
    <row r="3906" spans="2:20" ht="15" customHeight="1">
      <c r="B3906" s="1369" t="s">
        <v>4588</v>
      </c>
      <c r="C3906" s="859" t="s">
        <v>3512</v>
      </c>
      <c r="D3906" s="1370">
        <v>46260.748518518521</v>
      </c>
      <c r="E3906" s="1371">
        <v>38.200000000000003</v>
      </c>
      <c r="F3906" s="583">
        <v>4.4999999999999998E-2</v>
      </c>
      <c r="G3906" s="1372">
        <f t="shared" si="151"/>
        <v>40.000000000000007</v>
      </c>
      <c r="H3906" s="1372" t="s">
        <v>3367</v>
      </c>
      <c r="I3906" s="1373" t="s">
        <v>391</v>
      </c>
      <c r="J3906" s="1372">
        <v>11</v>
      </c>
      <c r="K3906" s="1372">
        <v>400</v>
      </c>
      <c r="L3906" s="1370">
        <f>INT(base[[#This Row],[Data de liquidação]])</f>
        <v>46260</v>
      </c>
      <c r="M3906" s="1372">
        <f>base[[#This Row],[L/P Bruto]]-base[[#This Row],[L/P Líquido]]</f>
        <v>1.8000000000000043</v>
      </c>
      <c r="N3906" s="1372">
        <f>base[[#This Row],[L/P Líquido]]/base[[#This Row],[Stake/Responsabilidade]]</f>
        <v>9.5500000000000002E-2</v>
      </c>
      <c r="O3906" s="1374">
        <f>IF(base[[#This Row],[L/P Líquido]]&gt;0,1,0)</f>
        <v>1</v>
      </c>
      <c r="P3906" s="1374" t="s">
        <v>1201</v>
      </c>
      <c r="Q3906" s="1374" t="str">
        <f>LEFT(base[[#This Row],[Evento / Mercado]],FIND("vs",base[[#This Row],[Evento / Mercado]])-2)</f>
        <v>Real Madrid</v>
      </c>
      <c r="R3906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4" t="str">
        <f>LEFT(base[[#This Row],[Evento / Mercado]],FIND("/",base[[#This Row],[Evento / Mercado]])-2)</f>
        <v>Real Madrid vs Real Sociedad</v>
      </c>
      <c r="T3906" s="1375">
        <f>base[[#This Row],[Data de liquidação]]</f>
        <v>46260.748518518521</v>
      </c>
    </row>
    <row r="3907" spans="2:20" ht="15" customHeight="1">
      <c r="B3907" s="1369" t="s">
        <v>4587</v>
      </c>
      <c r="C3907" s="859" t="s">
        <v>3512</v>
      </c>
      <c r="D3907" s="1370">
        <v>46260.872407407405</v>
      </c>
      <c r="E3907" s="1371">
        <v>-124.41</v>
      </c>
      <c r="F3907" s="583">
        <v>4.4999999999999998E-2</v>
      </c>
      <c r="G3907" s="1372">
        <f t="shared" si="151"/>
        <v>-124.41</v>
      </c>
      <c r="H3907" s="1372" t="s">
        <v>1646</v>
      </c>
      <c r="I3907" s="1373" t="s">
        <v>1736</v>
      </c>
      <c r="J3907" s="1372">
        <v>30</v>
      </c>
      <c r="K3907" s="1372">
        <v>124.41</v>
      </c>
      <c r="L3907" s="1370">
        <f>INT(base[[#This Row],[Data de liquidação]])</f>
        <v>46260</v>
      </c>
      <c r="M3907" s="1372">
        <f>base[[#This Row],[L/P Bruto]]-base[[#This Row],[L/P Líquido]]</f>
        <v>0</v>
      </c>
      <c r="N3907" s="1372">
        <f>base[[#This Row],[L/P Líquido]]/base[[#This Row],[Stake/Responsabilidade]]</f>
        <v>-1</v>
      </c>
      <c r="O3907" s="1374">
        <f>IF(base[[#This Row],[L/P Líquido]]&gt;0,1,0)</f>
        <v>0</v>
      </c>
      <c r="P3907" s="1374"/>
      <c r="Q3907" s="1374" t="str">
        <f>LEFT(base[[#This Row],[Evento / Mercado]],FIND("vs",base[[#This Row],[Evento / Mercado]])-2)</f>
        <v>Coquimbo Unido</v>
      </c>
      <c r="R3907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4" t="str">
        <f>LEFT(base[[#This Row],[Evento / Mercado]],FIND("/",base[[#This Row],[Evento / Mercado]])-2)</f>
        <v>Coquimbo Unido vs Universidad Católica</v>
      </c>
      <c r="T3907" s="1375">
        <f>base[[#This Row],[Data de liquidação]]</f>
        <v>46260.872407407405</v>
      </c>
    </row>
    <row r="3908" spans="2:20" ht="15" customHeight="1">
      <c r="B3908" s="1369" t="s">
        <v>4594</v>
      </c>
      <c r="C3908" s="859" t="s">
        <v>3512</v>
      </c>
      <c r="D3908" s="1370">
        <v>46261.016574074078</v>
      </c>
      <c r="E3908" s="1371">
        <v>19.579999999999998</v>
      </c>
      <c r="F3908" s="583">
        <v>4.4999999999999998E-2</v>
      </c>
      <c r="G3908" s="1372">
        <f t="shared" si="151"/>
        <v>20.502617801047119</v>
      </c>
      <c r="H3908" s="1372" t="s">
        <v>3294</v>
      </c>
      <c r="I3908" s="1373" t="s">
        <v>626</v>
      </c>
      <c r="J3908" s="1372">
        <v>21</v>
      </c>
      <c r="K3908" s="1372">
        <v>410</v>
      </c>
      <c r="L3908" s="1370">
        <f>INT(base[[#This Row],[Data de liquidação]])</f>
        <v>46261</v>
      </c>
      <c r="M3908" s="1372">
        <f>base[[#This Row],[L/P Bruto]]-base[[#This Row],[L/P Líquido]]</f>
        <v>0.92261780104712088</v>
      </c>
      <c r="N3908" s="1372">
        <f>base[[#This Row],[L/P Líquido]]/base[[#This Row],[Stake/Responsabilidade]]</f>
        <v>4.7756097560975604E-2</v>
      </c>
      <c r="O3908" s="1374">
        <f>IF(base[[#This Row],[L/P Líquido]]&gt;0,1,0)</f>
        <v>1</v>
      </c>
      <c r="P3908" s="1374"/>
      <c r="Q3908" s="1374" t="str">
        <f>LEFT(base[[#This Row],[Evento / Mercado]],FIND("vs",base[[#This Row],[Evento / Mercado]])-2)</f>
        <v>Atlético Nacional</v>
      </c>
      <c r="R3908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4" t="str">
        <f>LEFT(base[[#This Row],[Evento / Mercado]],FIND("/",base[[#This Row],[Evento / Mercado]])-2)</f>
        <v>Atlético Nacional vs Deportivo Cali</v>
      </c>
      <c r="T3908" s="1375">
        <f>base[[#This Row],[Data de liquidação]]</f>
        <v>46261.016574074078</v>
      </c>
    </row>
    <row r="3909" spans="2:20" ht="15" customHeight="1">
      <c r="B3909" s="1376" t="s">
        <v>4597</v>
      </c>
      <c r="C3909" s="859" t="s">
        <v>3512</v>
      </c>
      <c r="D3909" s="1377">
        <v>46261.746099537035</v>
      </c>
      <c r="E3909" s="1378">
        <v>8.74</v>
      </c>
      <c r="F3909" s="583">
        <v>4.4999999999999998E-2</v>
      </c>
      <c r="G3909" s="1379">
        <f t="shared" ref="G3909:G3910" si="152">IF(E3909&gt;0,E3909/(1-F3909),E3909)</f>
        <v>9.1518324607329848</v>
      </c>
      <c r="H3909" s="1372" t="s">
        <v>3294</v>
      </c>
      <c r="I3909" s="1373" t="s">
        <v>626</v>
      </c>
      <c r="J3909" s="1379">
        <v>48</v>
      </c>
      <c r="K3909" s="1379">
        <v>430.05</v>
      </c>
      <c r="L3909" s="1377">
        <f>INT(base[[#This Row],[Data de liquidação]])</f>
        <v>46261</v>
      </c>
      <c r="M3909" s="1379">
        <f>base[[#This Row],[L/P Bruto]]-base[[#This Row],[L/P Líquido]]</f>
        <v>0.41183246073298463</v>
      </c>
      <c r="N3909" s="1379">
        <f>base[[#This Row],[L/P Líquido]]/base[[#This Row],[Stake/Responsabilidade]]</f>
        <v>2.0323218230438322E-2</v>
      </c>
      <c r="O3909" s="1380">
        <f>IF(base[[#This Row],[L/P Líquido]]&gt;0,1,0)</f>
        <v>1</v>
      </c>
      <c r="P3909" s="1380"/>
      <c r="Q3909" s="1380" t="str">
        <f>LEFT(base[[#This Row],[Evento / Mercado]],FIND("vs",base[[#This Row],[Evento / Mercado]])-2)</f>
        <v>Always Ready</v>
      </c>
      <c r="R3909" s="13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80" t="str">
        <f>LEFT(base[[#This Row],[Evento / Mercado]],FIND("/",base[[#This Row],[Evento / Mercado]])-2)</f>
        <v>Always Ready vs Club Aurora</v>
      </c>
      <c r="T3909" s="1381">
        <f>base[[#This Row],[Data de liquidação]]</f>
        <v>46261.746099537035</v>
      </c>
    </row>
    <row r="3910" spans="2:20" ht="15" customHeight="1">
      <c r="B3910" s="1376" t="s">
        <v>4596</v>
      </c>
      <c r="C3910" s="859" t="s">
        <v>3512</v>
      </c>
      <c r="D3910" s="1377">
        <v>46261.751747685186</v>
      </c>
      <c r="E3910" s="1378">
        <v>35.020000000000003</v>
      </c>
      <c r="F3910" s="583">
        <v>4.4999999999999998E-2</v>
      </c>
      <c r="G3910" s="1379">
        <f t="shared" si="152"/>
        <v>36.670157068062835</v>
      </c>
      <c r="H3910" s="1372" t="s">
        <v>3367</v>
      </c>
      <c r="I3910" s="1373" t="s">
        <v>391</v>
      </c>
      <c r="J3910" s="1379">
        <v>13</v>
      </c>
      <c r="K3910" s="1379">
        <v>440.04</v>
      </c>
      <c r="L3910" s="1377">
        <f>INT(base[[#This Row],[Data de liquidação]])</f>
        <v>46261</v>
      </c>
      <c r="M3910" s="1379">
        <f>base[[#This Row],[L/P Bruto]]-base[[#This Row],[L/P Líquido]]</f>
        <v>1.6501570680628319</v>
      </c>
      <c r="N3910" s="1379">
        <f>base[[#This Row],[L/P Líquido]]/base[[#This Row],[Stake/Responsabilidade]]</f>
        <v>7.9583674211435321E-2</v>
      </c>
      <c r="O3910" s="1380">
        <f>IF(base[[#This Row],[L/P Líquido]]&gt;0,1,0)</f>
        <v>1</v>
      </c>
      <c r="P3910" s="1382" t="s">
        <v>1201</v>
      </c>
      <c r="Q3910" s="1380" t="str">
        <f>LEFT(base[[#This Row],[Evento / Mercado]],FIND("vs",base[[#This Row],[Evento / Mercado]])-2)</f>
        <v>FC Barcelona</v>
      </c>
      <c r="R3910" s="13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80" t="str">
        <f>LEFT(base[[#This Row],[Evento / Mercado]],FIND("/",base[[#This Row],[Evento / Mercado]])-2)</f>
        <v>FC Barcelona vs Athletic Bilbao</v>
      </c>
      <c r="T3910" s="1381">
        <f>base[[#This Row],[Data de liquidação]]</f>
        <v>46261.751747685186</v>
      </c>
    </row>
    <row r="3911" spans="2:20" ht="15" customHeight="1">
      <c r="B3911" s="1383" t="s">
        <v>4612</v>
      </c>
      <c r="C3911" s="859" t="s">
        <v>3512</v>
      </c>
      <c r="D3911" s="1384">
        <v>46262.391203703701</v>
      </c>
      <c r="E3911" s="1385">
        <v>0.44</v>
      </c>
      <c r="F3911" s="583">
        <v>4.4999999999999998E-2</v>
      </c>
      <c r="G3911" s="1386">
        <f t="shared" ref="G3911:G3926" si="153">IF(E3911&gt;0,E3911/(1-F3911),E3911)</f>
        <v>0.46073298429319376</v>
      </c>
      <c r="H3911" s="1365" t="s">
        <v>1646</v>
      </c>
      <c r="I3911" s="1387" t="s">
        <v>3293</v>
      </c>
      <c r="J3911" s="1386">
        <v>1.23</v>
      </c>
      <c r="K3911" s="1386">
        <v>2</v>
      </c>
      <c r="L3911" s="1384">
        <f>INT(base[[#This Row],[Data de liquidação]])</f>
        <v>46262</v>
      </c>
      <c r="M3911" s="1386">
        <f>base[[#This Row],[L/P Bruto]]-base[[#This Row],[L/P Líquido]]</f>
        <v>2.0732984293193757E-2</v>
      </c>
      <c r="N3911" s="1386">
        <f>base[[#This Row],[L/P Líquido]]/base[[#This Row],[Stake/Responsabilidade]]</f>
        <v>0.22</v>
      </c>
      <c r="O3911" s="1388">
        <f>IF(base[[#This Row],[L/P Líquido]]&gt;0,1,0)</f>
        <v>1</v>
      </c>
      <c r="P3911" s="1388"/>
      <c r="Q3911" s="1388" t="str">
        <f>LEFT(base[[#This Row],[Evento / Mercado]],FIND("vs",base[[#This Row],[Evento / Mercado]])-2)</f>
        <v>Shanghai Shenhua</v>
      </c>
      <c r="R3911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1" s="1388" t="str">
        <f>LEFT(base[[#This Row],[Evento / Mercado]],FIND("/",base[[#This Row],[Evento / Mercado]])-2)</f>
        <v>Shanghai Shenhua vs Shandong Taishan</v>
      </c>
      <c r="T3911" s="1389">
        <f>base[[#This Row],[Data de liquidação]]</f>
        <v>46262.391203703701</v>
      </c>
    </row>
    <row r="3912" spans="2:20" ht="15" customHeight="1">
      <c r="B3912" s="1383" t="s">
        <v>4611</v>
      </c>
      <c r="C3912" s="859" t="s">
        <v>3512</v>
      </c>
      <c r="D3912" s="1384">
        <v>46262.440474537034</v>
      </c>
      <c r="E3912" s="1385">
        <v>25.07</v>
      </c>
      <c r="F3912" s="583">
        <v>4.4999999999999998E-2</v>
      </c>
      <c r="G3912" s="1386">
        <f t="shared" si="153"/>
        <v>26.251308900523561</v>
      </c>
      <c r="H3912" s="1386" t="s">
        <v>74</v>
      </c>
      <c r="I3912" s="1387" t="s">
        <v>693</v>
      </c>
      <c r="J3912" s="1386">
        <v>17</v>
      </c>
      <c r="K3912" s="1386">
        <v>420</v>
      </c>
      <c r="L3912" s="1384">
        <f>INT(base[[#This Row],[Data de liquidação]])</f>
        <v>46262</v>
      </c>
      <c r="M3912" s="1386">
        <f>base[[#This Row],[L/P Bruto]]-base[[#This Row],[L/P Líquido]]</f>
        <v>1.1813089005235611</v>
      </c>
      <c r="N3912" s="1386">
        <f>base[[#This Row],[L/P Líquido]]/base[[#This Row],[Stake/Responsabilidade]]</f>
        <v>5.969047619047619E-2</v>
      </c>
      <c r="O3912" s="1388">
        <f>IF(base[[#This Row],[L/P Líquido]]&gt;0,1,0)</f>
        <v>1</v>
      </c>
      <c r="P3912" s="1397" t="s">
        <v>4466</v>
      </c>
      <c r="Q3912" s="1388" t="str">
        <f>LEFT(base[[#This Row],[Evento / Mercado]],FIND("vs",base[[#This Row],[Evento / Mercado]])-2)</f>
        <v>Dalian Yingbo</v>
      </c>
      <c r="R3912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912" s="1388" t="str">
        <f>LEFT(base[[#This Row],[Evento / Mercado]],FIND("/",base[[#This Row],[Evento / Mercado]])-2)</f>
        <v>Dalian Yingbo vs Beijing Guoan</v>
      </c>
      <c r="T3912" s="1389">
        <f>base[[#This Row],[Data de liquidação]]</f>
        <v>46262.440474537034</v>
      </c>
    </row>
    <row r="3913" spans="2:20" ht="15" customHeight="1">
      <c r="B3913" s="1383" t="s">
        <v>4610</v>
      </c>
      <c r="C3913" s="859" t="s">
        <v>3512</v>
      </c>
      <c r="D3913" s="1384">
        <v>46262.441400462965</v>
      </c>
      <c r="E3913" s="1385">
        <v>9.73</v>
      </c>
      <c r="F3913" s="583">
        <v>4.4999999999999998E-2</v>
      </c>
      <c r="G3913" s="1386">
        <f t="shared" si="153"/>
        <v>10.188481675392671</v>
      </c>
      <c r="H3913" s="1386" t="s">
        <v>3294</v>
      </c>
      <c r="I3913" s="1387" t="s">
        <v>626</v>
      </c>
      <c r="J3913" s="1386">
        <v>44</v>
      </c>
      <c r="K3913" s="1386">
        <v>438.17</v>
      </c>
      <c r="L3913" s="1384">
        <f>INT(base[[#This Row],[Data de liquidação]])</f>
        <v>46262</v>
      </c>
      <c r="M3913" s="1386">
        <f>base[[#This Row],[L/P Bruto]]-base[[#This Row],[L/P Líquido]]</f>
        <v>0.4584816753926706</v>
      </c>
      <c r="N3913" s="1386">
        <f>base[[#This Row],[L/P Líquido]]/base[[#This Row],[Stake/Responsabilidade]]</f>
        <v>2.2205993107697927E-2</v>
      </c>
      <c r="O3913" s="1388">
        <f>IF(base[[#This Row],[L/P Líquido]]&gt;0,1,0)</f>
        <v>1</v>
      </c>
      <c r="P3913" s="1388"/>
      <c r="Q3913" s="1388" t="str">
        <f>LEFT(base[[#This Row],[Evento / Mercado]],FIND("vs",base[[#This Row],[Evento / Mercado]])-2)</f>
        <v>Shanghai Shenhua</v>
      </c>
      <c r="R3913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3" s="1388" t="str">
        <f>LEFT(base[[#This Row],[Evento / Mercado]],FIND("/",base[[#This Row],[Evento / Mercado]])-2)</f>
        <v>Shanghai Shenhua vs Shandong Taishan</v>
      </c>
      <c r="T3913" s="1389">
        <f>base[[#This Row],[Data de liquidação]]</f>
        <v>46262.441400462965</v>
      </c>
    </row>
    <row r="3914" spans="2:20" ht="15" customHeight="1">
      <c r="B3914" s="1383" t="s">
        <v>4609</v>
      </c>
      <c r="C3914" s="859" t="s">
        <v>3512</v>
      </c>
      <c r="D3914" s="1384">
        <v>46262.456122685187</v>
      </c>
      <c r="E3914" s="1385">
        <v>-419.98</v>
      </c>
      <c r="F3914" s="583">
        <v>4.4999999999999998E-2</v>
      </c>
      <c r="G3914" s="1386">
        <f t="shared" si="153"/>
        <v>-419.98</v>
      </c>
      <c r="H3914" s="1386" t="s">
        <v>74</v>
      </c>
      <c r="I3914" s="1387" t="s">
        <v>692</v>
      </c>
      <c r="J3914" s="1386">
        <v>12.5</v>
      </c>
      <c r="K3914" s="1386">
        <v>419.98</v>
      </c>
      <c r="L3914" s="1384">
        <f>INT(base[[#This Row],[Data de liquidação]])</f>
        <v>46262</v>
      </c>
      <c r="M3914" s="1386">
        <f>base[[#This Row],[L/P Bruto]]-base[[#This Row],[L/P Líquido]]</f>
        <v>0</v>
      </c>
      <c r="N3914" s="1386">
        <f>base[[#This Row],[L/P Líquido]]/base[[#This Row],[Stake/Responsabilidade]]</f>
        <v>-1</v>
      </c>
      <c r="O3914" s="1388">
        <f>IF(base[[#This Row],[L/P Líquido]]&gt;0,1,0)</f>
        <v>0</v>
      </c>
      <c r="P3914" s="1397" t="s">
        <v>4466</v>
      </c>
      <c r="Q3914" s="1388" t="str">
        <f>LEFT(base[[#This Row],[Evento / Mercado]],FIND("vs",base[[#This Row],[Evento / Mercado]])-2)</f>
        <v>Shenzhen Peng City</v>
      </c>
      <c r="R3914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914" s="1388" t="str">
        <f>LEFT(base[[#This Row],[Evento / Mercado]],FIND("/",base[[#This Row],[Evento / Mercado]])-2)</f>
        <v>Shenzhen Peng City vs Shanghai Port</v>
      </c>
      <c r="T3914" s="1389">
        <f>base[[#This Row],[Data de liquidação]]</f>
        <v>46262.456122685187</v>
      </c>
    </row>
    <row r="3915" spans="2:20" ht="15" customHeight="1">
      <c r="B3915" s="1383" t="s">
        <v>4608</v>
      </c>
      <c r="C3915" s="859" t="s">
        <v>3512</v>
      </c>
      <c r="D3915" s="1384">
        <v>46262.593194444446</v>
      </c>
      <c r="E3915" s="1385">
        <v>70.739999999999995</v>
      </c>
      <c r="F3915" s="583">
        <v>4.4999999999999998E-2</v>
      </c>
      <c r="G3915" s="1386">
        <f t="shared" si="153"/>
        <v>74.073298429319365</v>
      </c>
      <c r="H3915" s="1372" t="s">
        <v>314</v>
      </c>
      <c r="I3915" s="1373" t="s">
        <v>349</v>
      </c>
      <c r="J3915" s="1386">
        <v>1.62</v>
      </c>
      <c r="K3915" s="1386">
        <v>120</v>
      </c>
      <c r="L3915" s="1384">
        <f>INT(base[[#This Row],[Data de liquidação]])</f>
        <v>46262</v>
      </c>
      <c r="M3915" s="1386">
        <f>base[[#This Row],[L/P Bruto]]-base[[#This Row],[L/P Líquido]]</f>
        <v>3.3332984293193704</v>
      </c>
      <c r="N3915" s="1386">
        <f>base[[#This Row],[L/P Líquido]]/base[[#This Row],[Stake/Responsabilidade]]</f>
        <v>0.58949999999999991</v>
      </c>
      <c r="O3915" s="1388">
        <f>IF(base[[#This Row],[L/P Líquido]]&gt;0,1,0)</f>
        <v>1</v>
      </c>
      <c r="P3915" s="1388"/>
      <c r="Q3915" s="1388" t="str">
        <f>LEFT(base[[#This Row],[Evento / Mercado]],FIND("vs",base[[#This Row],[Evento / Mercado]])-2)</f>
        <v>Eintracht Braunschweig</v>
      </c>
      <c r="R3915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915" s="1388" t="str">
        <f>LEFT(base[[#This Row],[Evento / Mercado]],FIND("/",base[[#This Row],[Evento / Mercado]])-2)</f>
        <v>Eintracht Braunschweig vs Hertha BSC</v>
      </c>
      <c r="T3915" s="1389">
        <f>base[[#This Row],[Data de liquidação]]</f>
        <v>46262.593194444446</v>
      </c>
    </row>
    <row r="3916" spans="2:20" ht="15" customHeight="1">
      <c r="B3916" s="1383" t="s">
        <v>4607</v>
      </c>
      <c r="C3916" s="859" t="s">
        <v>3512</v>
      </c>
      <c r="D3916" s="1384">
        <v>46262.61613425926</v>
      </c>
      <c r="E3916" s="1385">
        <v>-64.75</v>
      </c>
      <c r="F3916" s="583">
        <v>4.4999999999999998E-2</v>
      </c>
      <c r="G3916" s="1386">
        <f t="shared" si="153"/>
        <v>-64.75</v>
      </c>
      <c r="H3916" s="1386" t="s">
        <v>1646</v>
      </c>
      <c r="I3916" s="1433" t="s">
        <v>4684</v>
      </c>
      <c r="J3916" s="1386">
        <v>8.4</v>
      </c>
      <c r="K3916" s="1386">
        <v>64.75</v>
      </c>
      <c r="L3916" s="1384">
        <f>INT(base[[#This Row],[Data de liquidação]])</f>
        <v>46262</v>
      </c>
      <c r="M3916" s="1386">
        <f>base[[#This Row],[L/P Bruto]]-base[[#This Row],[L/P Líquido]]</f>
        <v>0</v>
      </c>
      <c r="N3916" s="1386">
        <f>base[[#This Row],[L/P Líquido]]/base[[#This Row],[Stake/Responsabilidade]]</f>
        <v>-1</v>
      </c>
      <c r="O3916" s="1388">
        <f>IF(base[[#This Row],[L/P Líquido]]&gt;0,1,0)</f>
        <v>0</v>
      </c>
      <c r="P3916" s="1388"/>
      <c r="Q3916" s="1388" t="str">
        <f>LEFT(base[[#This Row],[Evento / Mercado]],FIND("vs",base[[#This Row],[Evento / Mercado]])-2)</f>
        <v>Al-Riyadh</v>
      </c>
      <c r="R3916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3916" s="1388" t="str">
        <f>LEFT(base[[#This Row],[Evento / Mercado]],FIND("/",base[[#This Row],[Evento / Mercado]])-2)</f>
        <v>Al-Riyadh vs Neom SC</v>
      </c>
      <c r="T3916" s="1389">
        <f>base[[#This Row],[Data de liquidação]]</f>
        <v>46262.61613425926</v>
      </c>
    </row>
    <row r="3917" spans="2:20" ht="15" customHeight="1">
      <c r="B3917" s="1383" t="s">
        <v>4606</v>
      </c>
      <c r="C3917" s="859" t="s">
        <v>3512</v>
      </c>
      <c r="D3917" s="1384">
        <v>46262.642164351855</v>
      </c>
      <c r="E3917" s="1385">
        <v>-400.03</v>
      </c>
      <c r="F3917" s="583">
        <v>4.4999999999999998E-2</v>
      </c>
      <c r="G3917" s="1386">
        <f t="shared" si="153"/>
        <v>-400.03</v>
      </c>
      <c r="H3917" s="1434" t="s">
        <v>4685</v>
      </c>
      <c r="I3917" s="1387" t="s">
        <v>626</v>
      </c>
      <c r="J3917" s="1386">
        <f>(4.2*100+6.2*100+5.3*100.02+5.7*100.02)/base[[#This Row],[Stake/Responsabilidade]]</f>
        <v>5.3500149985001499</v>
      </c>
      <c r="K3917" s="1386">
        <v>400.04</v>
      </c>
      <c r="L3917" s="1384">
        <f>INT(base[[#This Row],[Data de liquidação]])</f>
        <v>46262</v>
      </c>
      <c r="M3917" s="1386">
        <f>base[[#This Row],[L/P Bruto]]-base[[#This Row],[L/P Líquido]]</f>
        <v>0</v>
      </c>
      <c r="N3917" s="1386">
        <f>base[[#This Row],[L/P Líquido]]/base[[#This Row],[Stake/Responsabilidade]]</f>
        <v>-0.99997500249974991</v>
      </c>
      <c r="O3917" s="1388">
        <f>IF(base[[#This Row],[L/P Líquido]]&gt;0,1,0)</f>
        <v>0</v>
      </c>
      <c r="P3917" s="1388"/>
      <c r="Q3917" s="1388" t="str">
        <f>LEFT(base[[#This Row],[Evento / Mercado]],FIND("vs",base[[#This Row],[Evento / Mercado]])-2)</f>
        <v>VfL Bochum</v>
      </c>
      <c r="R3917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3917" s="1388" t="str">
        <f>LEFT(base[[#This Row],[Evento / Mercado]],FIND("/",base[[#This Row],[Evento / Mercado]])-2)</f>
        <v>VfL Bochum vs VfL Osnabrück</v>
      </c>
      <c r="T3917" s="1389">
        <f>base[[#This Row],[Data de liquidação]]</f>
        <v>46262.642164351855</v>
      </c>
    </row>
    <row r="3918" spans="2:20" ht="15" customHeight="1">
      <c r="B3918" s="1383" t="s">
        <v>4605</v>
      </c>
      <c r="C3918" s="859" t="s">
        <v>3512</v>
      </c>
      <c r="D3918" s="1384">
        <v>46262.702997685185</v>
      </c>
      <c r="E3918" s="1385">
        <v>29.75</v>
      </c>
      <c r="F3918" s="583">
        <v>4.4999999999999998E-2</v>
      </c>
      <c r="G3918" s="1386">
        <f t="shared" si="153"/>
        <v>31.151832460732987</v>
      </c>
      <c r="H3918" s="1434" t="s">
        <v>4685</v>
      </c>
      <c r="I3918" s="1387" t="s">
        <v>626</v>
      </c>
      <c r="J3918" s="1386">
        <f>(14*39.65+14.5*100.04+15.5*300.01)/base[[#This Row],[Stake/Responsabilidade]]</f>
        <v>15.137218558107801</v>
      </c>
      <c r="K3918" s="1386">
        <f>400.05+39.65</f>
        <v>439.7</v>
      </c>
      <c r="L3918" s="1384">
        <f>INT(base[[#This Row],[Data de liquidação]])</f>
        <v>46262</v>
      </c>
      <c r="M3918" s="1386">
        <f>base[[#This Row],[L/P Bruto]]-base[[#This Row],[L/P Líquido]]</f>
        <v>1.4018324607329866</v>
      </c>
      <c r="N3918" s="1386">
        <f>base[[#This Row],[L/P Líquido]]/base[[#This Row],[Stake/Responsabilidade]]</f>
        <v>6.7659768023652492E-2</v>
      </c>
      <c r="O3918" s="1388">
        <f>IF(base[[#This Row],[L/P Líquido]]&gt;0,1,0)</f>
        <v>1</v>
      </c>
      <c r="P3918" s="1388"/>
      <c r="Q3918" s="1388" t="str">
        <f>LEFT(base[[#This Row],[Evento / Mercado]],FIND("vs",base[[#This Row],[Evento / Mercado]])-2)</f>
        <v>Montpellier HSC</v>
      </c>
      <c r="R3918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 Boulogne</v>
      </c>
      <c r="S3918" s="1388" t="str">
        <f>LEFT(base[[#This Row],[Evento / Mercado]],FIND("/",base[[#This Row],[Evento / Mercado]])-2)</f>
        <v>Montpellier HSC vs US Boulogne</v>
      </c>
      <c r="T3918" s="1389">
        <f>base[[#This Row],[Data de liquidação]]</f>
        <v>46262.702997685185</v>
      </c>
    </row>
    <row r="3919" spans="2:20" ht="15" customHeight="1">
      <c r="B3919" s="1383" t="s">
        <v>4604</v>
      </c>
      <c r="C3919" s="859" t="s">
        <v>3512</v>
      </c>
      <c r="D3919" s="1384">
        <v>46262.703761574077</v>
      </c>
      <c r="E3919" s="1385">
        <v>5.79</v>
      </c>
      <c r="F3919" s="583">
        <v>4.4999999999999998E-2</v>
      </c>
      <c r="G3919" s="1386">
        <f t="shared" si="153"/>
        <v>6.0628272251308903</v>
      </c>
      <c r="H3919" s="1434" t="s">
        <v>4685</v>
      </c>
      <c r="I3919" s="1387" t="s">
        <v>626</v>
      </c>
      <c r="J3919" s="1386">
        <v>17.5</v>
      </c>
      <c r="K3919" s="1386">
        <v>99.99</v>
      </c>
      <c r="L3919" s="1384">
        <f>INT(base[[#This Row],[Data de liquidação]])</f>
        <v>46262</v>
      </c>
      <c r="M3919" s="1386">
        <f>base[[#This Row],[L/P Bruto]]-base[[#This Row],[L/P Líquido]]</f>
        <v>0.27282722513089031</v>
      </c>
      <c r="N3919" s="1386">
        <f>base[[#This Row],[L/P Líquido]]/base[[#This Row],[Stake/Responsabilidade]]</f>
        <v>5.7905790579057911E-2</v>
      </c>
      <c r="O3919" s="1388">
        <f>IF(base[[#This Row],[L/P Líquido]]&gt;0,1,0)</f>
        <v>1</v>
      </c>
      <c r="P3919" s="1388"/>
      <c r="Q3919" s="1388" t="str">
        <f>LEFT(base[[#This Row],[Evento / Mercado]],FIND("vs",base[[#This Row],[Evento / Mercado]])-2)</f>
        <v>Rodez</v>
      </c>
      <c r="R3919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3919" s="1388" t="str">
        <f>LEFT(base[[#This Row],[Evento / Mercado]],FIND("/",base[[#This Row],[Evento / Mercado]])-2)</f>
        <v>Rodez vs Pau FC</v>
      </c>
      <c r="T3919" s="1389">
        <f>base[[#This Row],[Data de liquidação]]</f>
        <v>46262.703761574077</v>
      </c>
    </row>
    <row r="3920" spans="2:20" ht="15" customHeight="1">
      <c r="B3920" s="1383" t="s">
        <v>4603</v>
      </c>
      <c r="C3920" s="859" t="s">
        <v>3512</v>
      </c>
      <c r="D3920" s="1384">
        <v>46262.709351851852</v>
      </c>
      <c r="E3920" s="1385">
        <v>31.29</v>
      </c>
      <c r="F3920" s="583">
        <v>4.4999999999999998E-2</v>
      </c>
      <c r="G3920" s="1386">
        <f t="shared" si="153"/>
        <v>32.764397905759161</v>
      </c>
      <c r="H3920" s="1386" t="s">
        <v>3367</v>
      </c>
      <c r="I3920" s="1387" t="s">
        <v>391</v>
      </c>
      <c r="J3920" s="1386">
        <v>15.5</v>
      </c>
      <c r="K3920" s="1386">
        <v>475.02</v>
      </c>
      <c r="L3920" s="1384">
        <f>INT(base[[#This Row],[Data de liquidação]])</f>
        <v>46262</v>
      </c>
      <c r="M3920" s="1386">
        <f>base[[#This Row],[L/P Bruto]]-base[[#This Row],[L/P Líquido]]</f>
        <v>1.4743979057591616</v>
      </c>
      <c r="N3920" s="1386">
        <f>base[[#This Row],[L/P Líquido]]/base[[#This Row],[Stake/Responsabilidade]]</f>
        <v>6.5870910698496904E-2</v>
      </c>
      <c r="O3920" s="1388">
        <f>IF(base[[#This Row],[L/P Líquido]]&gt;0,1,0)</f>
        <v>1</v>
      </c>
      <c r="P3920" s="1397" t="s">
        <v>1209</v>
      </c>
      <c r="Q3920" s="1388" t="str">
        <f>LEFT(base[[#This Row],[Evento / Mercado]],FIND("vs",base[[#This Row],[Evento / Mercado]])-2)</f>
        <v>Al-Nassr Riyadh</v>
      </c>
      <c r="R3920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3920" s="1388" t="str">
        <f>LEFT(base[[#This Row],[Evento / Mercado]],FIND("/",base[[#This Row],[Evento / Mercado]])-2)</f>
        <v>Al-Nassr Riyadh vs Al-Taawoun Buraidah</v>
      </c>
      <c r="T3920" s="1389">
        <f>base[[#This Row],[Data de liquidação]]</f>
        <v>46262.709351851852</v>
      </c>
    </row>
    <row r="3921" spans="2:22" ht="15" customHeight="1">
      <c r="B3921" s="1383" t="s">
        <v>4602</v>
      </c>
      <c r="C3921" s="859" t="s">
        <v>3512</v>
      </c>
      <c r="D3921" s="1384">
        <v>46262.718842592592</v>
      </c>
      <c r="E3921" s="1385">
        <v>108.87</v>
      </c>
      <c r="F3921" s="583">
        <v>4.4999999999999998E-2</v>
      </c>
      <c r="G3921" s="1386">
        <f t="shared" si="153"/>
        <v>114.00000000000001</v>
      </c>
      <c r="H3921" s="1372" t="s">
        <v>314</v>
      </c>
      <c r="I3921" s="1373" t="s">
        <v>349</v>
      </c>
      <c r="J3921" s="1386">
        <v>1.95</v>
      </c>
      <c r="K3921" s="1386">
        <v>120</v>
      </c>
      <c r="L3921" s="1384">
        <f>INT(base[[#This Row],[Data de liquidação]])</f>
        <v>46262</v>
      </c>
      <c r="M3921" s="1386">
        <f>base[[#This Row],[L/P Bruto]]-base[[#This Row],[L/P Líquido]]</f>
        <v>5.1300000000000097</v>
      </c>
      <c r="N3921" s="1386">
        <f>base[[#This Row],[L/P Líquido]]/base[[#This Row],[Stake/Responsabilidade]]</f>
        <v>0.90725</v>
      </c>
      <c r="O3921" s="1388">
        <f>IF(base[[#This Row],[L/P Líquido]]&gt;0,1,0)</f>
        <v>1</v>
      </c>
      <c r="P3921" s="1388"/>
      <c r="Q3921" s="1388" t="str">
        <f>LEFT(base[[#This Row],[Evento / Mercado]],FIND("vs",base[[#This Row],[Evento / Mercado]])-2)</f>
        <v>Wrexham</v>
      </c>
      <c r="R3921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Birmingham City</v>
      </c>
      <c r="S3921" s="1388" t="str">
        <f>LEFT(base[[#This Row],[Evento / Mercado]],FIND("/",base[[#This Row],[Evento / Mercado]])-2)</f>
        <v>Wrexham vs Birmingham City</v>
      </c>
      <c r="T3921" s="1389">
        <f>base[[#This Row],[Data de liquidação]]</f>
        <v>46262.718842592592</v>
      </c>
    </row>
    <row r="3922" spans="2:22" ht="15" customHeight="1">
      <c r="B3922" s="1383" t="s">
        <v>1566</v>
      </c>
      <c r="C3922" s="859" t="s">
        <v>3512</v>
      </c>
      <c r="D3922" s="1384">
        <v>46262.726076388892</v>
      </c>
      <c r="E3922" s="1385">
        <v>43.2</v>
      </c>
      <c r="F3922" s="583">
        <v>4.4999999999999998E-2</v>
      </c>
      <c r="G3922" s="1386">
        <f t="shared" si="153"/>
        <v>45.235602094240839</v>
      </c>
      <c r="H3922" s="1386" t="s">
        <v>3367</v>
      </c>
      <c r="I3922" s="1387" t="s">
        <v>391</v>
      </c>
      <c r="J3922" s="1386">
        <v>11.5</v>
      </c>
      <c r="K3922" s="1386">
        <v>475.02</v>
      </c>
      <c r="L3922" s="1384">
        <f>INT(base[[#This Row],[Data de liquidação]])</f>
        <v>46262</v>
      </c>
      <c r="M3922" s="1386">
        <f>base[[#This Row],[L/P Bruto]]-base[[#This Row],[L/P Líquido]]</f>
        <v>2.0356020942408364</v>
      </c>
      <c r="N3922" s="1386">
        <f>base[[#This Row],[L/P Líquido]]/base[[#This Row],[Stake/Responsabilidade]]</f>
        <v>9.0943539219401293E-2</v>
      </c>
      <c r="O3922" s="1388">
        <f>IF(base[[#This Row],[L/P Líquido]]&gt;0,1,0)</f>
        <v>1</v>
      </c>
      <c r="P3922" s="1397" t="s">
        <v>1199</v>
      </c>
      <c r="Q3922" s="1388" t="str">
        <f>LEFT(base[[#This Row],[Evento / Mercado]],FIND("vs",base[[#This Row],[Evento / Mercado]])-2)</f>
        <v>FC Bayern München</v>
      </c>
      <c r="R3922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22" s="1388" t="str">
        <f>LEFT(base[[#This Row],[Evento / Mercado]],FIND("/",base[[#This Row],[Evento / Mercado]])-2)</f>
        <v>FC Bayern München vs VfB Stuttgart</v>
      </c>
      <c r="T3922" s="1389">
        <f>base[[#This Row],[Data de liquidação]]</f>
        <v>46262.726076388892</v>
      </c>
    </row>
    <row r="3923" spans="2:22" ht="15" customHeight="1">
      <c r="B3923" s="1383" t="s">
        <v>4601</v>
      </c>
      <c r="C3923" s="859" t="s">
        <v>3512</v>
      </c>
      <c r="D3923" s="1384">
        <v>46262.742395833331</v>
      </c>
      <c r="E3923" s="1385">
        <v>91.52</v>
      </c>
      <c r="F3923" s="583">
        <v>4.4999999999999998E-2</v>
      </c>
      <c r="G3923" s="1386">
        <f t="shared" si="153"/>
        <v>95.832460732984288</v>
      </c>
      <c r="H3923" s="1372" t="s">
        <v>314</v>
      </c>
      <c r="I3923" s="1373" t="s">
        <v>349</v>
      </c>
      <c r="J3923" s="1386">
        <v>1.8</v>
      </c>
      <c r="K3923" s="1386">
        <v>119.75</v>
      </c>
      <c r="L3923" s="1384">
        <f>INT(base[[#This Row],[Data de liquidação]])</f>
        <v>46262</v>
      </c>
      <c r="M3923" s="1386">
        <f>base[[#This Row],[L/P Bruto]]-base[[#This Row],[L/P Líquido]]</f>
        <v>4.3124607329842917</v>
      </c>
      <c r="N3923" s="1386">
        <f>base[[#This Row],[L/P Líquido]]/base[[#This Row],[Stake/Responsabilidade]]</f>
        <v>0.76425887265135695</v>
      </c>
      <c r="O3923" s="1388">
        <f>IF(base[[#This Row],[L/P Líquido]]&gt;0,1,0)</f>
        <v>1</v>
      </c>
      <c r="P3923" s="1388"/>
      <c r="Q3923" s="1388" t="str">
        <f>LEFT(base[[#This Row],[Evento / Mercado]],FIND("vs",base[[#This Row],[Evento / Mercado]])-2)</f>
        <v>Lille OSC</v>
      </c>
      <c r="R3923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3923" s="1388" t="str">
        <f>LEFT(base[[#This Row],[Evento / Mercado]],FIND("/",base[[#This Row],[Evento / Mercado]])-2)</f>
        <v>Lille OSC vs Paris Saint-Germain</v>
      </c>
      <c r="T3923" s="1389">
        <f>base[[#This Row],[Data de liquidação]]</f>
        <v>46262.742395833331</v>
      </c>
    </row>
    <row r="3924" spans="2:22" ht="15" customHeight="1">
      <c r="B3924" s="1383" t="s">
        <v>4600</v>
      </c>
      <c r="C3924" s="859" t="s">
        <v>3512</v>
      </c>
      <c r="D3924" s="1384">
        <v>46262.756273148145</v>
      </c>
      <c r="E3924" s="1385">
        <v>47.75</v>
      </c>
      <c r="F3924" s="583">
        <v>4.4999999999999998E-2</v>
      </c>
      <c r="G3924" s="1386">
        <f t="shared" si="153"/>
        <v>50</v>
      </c>
      <c r="H3924" s="1386" t="s">
        <v>3367</v>
      </c>
      <c r="I3924" s="1387" t="s">
        <v>390</v>
      </c>
      <c r="J3924" s="1386">
        <v>10.5</v>
      </c>
      <c r="K3924" s="1386">
        <v>475</v>
      </c>
      <c r="L3924" s="1384">
        <f>INT(base[[#This Row],[Data de liquidação]])</f>
        <v>46262</v>
      </c>
      <c r="M3924" s="1386">
        <f>base[[#This Row],[L/P Bruto]]-base[[#This Row],[L/P Líquido]]</f>
        <v>2.25</v>
      </c>
      <c r="N3924" s="1386">
        <f>base[[#This Row],[L/P Líquido]]/base[[#This Row],[Stake/Responsabilidade]]</f>
        <v>0.10052631578947369</v>
      </c>
      <c r="O3924" s="1388">
        <f>IF(base[[#This Row],[L/P Líquido]]&gt;0,1,0)</f>
        <v>1</v>
      </c>
      <c r="P3924" s="1397" t="s">
        <v>1202</v>
      </c>
      <c r="Q3924" s="1388" t="str">
        <f>LEFT(base[[#This Row],[Evento / Mercado]],FIND("vs",base[[#This Row],[Evento / Mercado]])-2)</f>
        <v>Rio Ave</v>
      </c>
      <c r="R3924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924" s="1388" t="str">
        <f>LEFT(base[[#This Row],[Evento / Mercado]],FIND("/",base[[#This Row],[Evento / Mercado]])-2)</f>
        <v>Rio Ave vs Sporting CP</v>
      </c>
      <c r="T3924" s="1389">
        <f>base[[#This Row],[Data de liquidação]]</f>
        <v>46262.756273148145</v>
      </c>
    </row>
    <row r="3925" spans="2:22" ht="15" customHeight="1">
      <c r="B3925" s="1383" t="s">
        <v>4599</v>
      </c>
      <c r="C3925" s="859" t="s">
        <v>3512</v>
      </c>
      <c r="D3925" s="1384">
        <v>46262.76525462963</v>
      </c>
      <c r="E3925" s="1385">
        <v>-120</v>
      </c>
      <c r="F3925" s="583">
        <v>4.4999999999999998E-2</v>
      </c>
      <c r="G3925" s="1386">
        <f t="shared" si="153"/>
        <v>-120</v>
      </c>
      <c r="H3925" s="1372" t="s">
        <v>314</v>
      </c>
      <c r="I3925" s="1373" t="s">
        <v>349</v>
      </c>
      <c r="J3925" s="1386">
        <v>1.73</v>
      </c>
      <c r="K3925" s="1386">
        <v>120</v>
      </c>
      <c r="L3925" s="1384">
        <f>INT(base[[#This Row],[Data de liquidação]])</f>
        <v>46262</v>
      </c>
      <c r="M3925" s="1386">
        <f>base[[#This Row],[L/P Bruto]]-base[[#This Row],[L/P Líquido]]</f>
        <v>0</v>
      </c>
      <c r="N3925" s="1386">
        <f>base[[#This Row],[L/P Líquido]]/base[[#This Row],[Stake/Responsabilidade]]</f>
        <v>-1</v>
      </c>
      <c r="O3925" s="1388">
        <f>IF(base[[#This Row],[L/P Líquido]]&gt;0,1,0)</f>
        <v>0</v>
      </c>
      <c r="P3925" s="1388"/>
      <c r="Q3925" s="1388" t="str">
        <f>LEFT(base[[#This Row],[Evento / Mercado]],FIND("vs",base[[#This Row],[Evento / Mercado]])-2)</f>
        <v>Deportivo Alaves</v>
      </c>
      <c r="R3925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925" s="1388" t="str">
        <f>LEFT(base[[#This Row],[Evento / Mercado]],FIND("/",base[[#This Row],[Evento / Mercado]])-2)</f>
        <v>Deportivo Alaves vs Villarreal</v>
      </c>
      <c r="T3925" s="1389">
        <f>base[[#This Row],[Data de liquidação]]</f>
        <v>46262.76525462963</v>
      </c>
    </row>
    <row r="3926" spans="2:22" ht="15" customHeight="1">
      <c r="B3926" s="1383" t="s">
        <v>4598</v>
      </c>
      <c r="C3926" s="859" t="s">
        <v>3512</v>
      </c>
      <c r="D3926" s="1384">
        <v>46262.923946759256</v>
      </c>
      <c r="E3926" s="1385">
        <v>0.76</v>
      </c>
      <c r="F3926" s="583">
        <v>4.4999999999999998E-2</v>
      </c>
      <c r="G3926" s="1386">
        <f t="shared" si="153"/>
        <v>0.79581151832460739</v>
      </c>
      <c r="H3926" s="1365" t="s">
        <v>1646</v>
      </c>
      <c r="I3926" s="1387" t="s">
        <v>3293</v>
      </c>
      <c r="J3926" s="1386">
        <v>1.4</v>
      </c>
      <c r="K3926" s="1386">
        <v>2</v>
      </c>
      <c r="L3926" s="1384">
        <f>INT(base[[#This Row],[Data de liquidação]])</f>
        <v>46262</v>
      </c>
      <c r="M3926" s="1386">
        <f>base[[#This Row],[L/P Bruto]]-base[[#This Row],[L/P Líquido]]</f>
        <v>3.5811518324607383E-2</v>
      </c>
      <c r="N3926" s="1386">
        <f>base[[#This Row],[L/P Líquido]]/base[[#This Row],[Stake/Responsabilidade]]</f>
        <v>0.38</v>
      </c>
      <c r="O3926" s="1388">
        <f>IF(base[[#This Row],[L/P Líquido]]&gt;0,1,0)</f>
        <v>1</v>
      </c>
      <c r="P3926" s="1388"/>
      <c r="Q3926" s="1388" t="str">
        <f>LEFT(base[[#This Row],[Evento / Mercado]],FIND("vs",base[[#This Row],[Evento / Mercado]])-2)</f>
        <v>Atletico Ottawa</v>
      </c>
      <c r="R3926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Toronto FC</v>
      </c>
      <c r="S3926" s="1388" t="str">
        <f>LEFT(base[[#This Row],[Evento / Mercado]],FIND("/",base[[#This Row],[Evento / Mercado]])-2)</f>
        <v>Atletico Ottawa vs Inter Toronto FC</v>
      </c>
      <c r="T3926" s="1389">
        <f>base[[#This Row],[Data de liquidação]]</f>
        <v>46262.923946759256</v>
      </c>
    </row>
    <row r="3927" spans="2:22" ht="15" customHeight="1">
      <c r="B3927" s="1390" t="s">
        <v>4632</v>
      </c>
      <c r="C3927" s="859" t="s">
        <v>3512</v>
      </c>
      <c r="D3927" s="1391">
        <v>46263.332256944443</v>
      </c>
      <c r="E3927" s="1392">
        <v>6.37</v>
      </c>
      <c r="F3927" s="583">
        <v>4.4999999999999998E-2</v>
      </c>
      <c r="G3927" s="1393">
        <f t="shared" ref="G3927:G3948" si="154">IF(E3927&gt;0,E3927/(1-F3927),E3927)</f>
        <v>6.6701570680628279</v>
      </c>
      <c r="H3927" s="1365" t="s">
        <v>1646</v>
      </c>
      <c r="I3927" s="1433" t="s">
        <v>4684</v>
      </c>
      <c r="J3927" s="1393">
        <v>11.5</v>
      </c>
      <c r="K3927" s="1393">
        <v>70.040000000000006</v>
      </c>
      <c r="L3927" s="1391">
        <f>INT(base[[#This Row],[Data de liquidação]])</f>
        <v>46263</v>
      </c>
      <c r="M3927" s="1393">
        <f>base[[#This Row],[L/P Bruto]]-base[[#This Row],[L/P Líquido]]</f>
        <v>0.30015706806282783</v>
      </c>
      <c r="N3927" s="1393">
        <f>base[[#This Row],[L/P Líquido]]/base[[#This Row],[Stake/Responsabilidade]]</f>
        <v>9.0948029697315816E-2</v>
      </c>
      <c r="O3927" s="1395">
        <f>IF(base[[#This Row],[L/P Líquido]]&gt;0,1,0)</f>
        <v>1</v>
      </c>
      <c r="P3927" s="1395"/>
      <c r="Q3927" s="1395" t="str">
        <f>LEFT(base[[#This Row],[Evento / Mercado]],FIND("vs",base[[#This Row],[Evento / Mercado]])-2)</f>
        <v>Gamba Osaka</v>
      </c>
      <c r="R392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Sanfrecce Hiroshima</v>
      </c>
      <c r="S3927" s="1395" t="str">
        <f>LEFT(base[[#This Row],[Evento / Mercado]],FIND("/",base[[#This Row],[Evento / Mercado]])-2)</f>
        <v>Gamba Osaka vs Sanfrecce Hiroshima</v>
      </c>
      <c r="T3927" s="1396">
        <f>base[[#This Row],[Data de liquidação]]</f>
        <v>46263.332256944443</v>
      </c>
    </row>
    <row r="3928" spans="2:22" ht="15" customHeight="1">
      <c r="B3928" s="1390" t="s">
        <v>4631</v>
      </c>
      <c r="C3928" s="859" t="s">
        <v>3512</v>
      </c>
      <c r="D3928" s="1391">
        <v>46263.353761574072</v>
      </c>
      <c r="E3928" s="1392">
        <v>7.77</v>
      </c>
      <c r="F3928" s="583">
        <v>4.4999999999999998E-2</v>
      </c>
      <c r="G3928" s="1393">
        <f t="shared" si="154"/>
        <v>8.1361256544502609</v>
      </c>
      <c r="H3928" s="1365" t="s">
        <v>1646</v>
      </c>
      <c r="I3928" s="1433" t="s">
        <v>4684</v>
      </c>
      <c r="J3928" s="1393">
        <v>9.8000000000000007</v>
      </c>
      <c r="K3928" s="1393">
        <v>71.63</v>
      </c>
      <c r="L3928" s="1391">
        <f>INT(base[[#This Row],[Data de liquidação]])</f>
        <v>46263</v>
      </c>
      <c r="M3928" s="1393">
        <f>base[[#This Row],[L/P Bruto]]-base[[#This Row],[L/P Líquido]]</f>
        <v>0.36612565445026135</v>
      </c>
      <c r="N3928" s="1393">
        <f>base[[#This Row],[L/P Líquido]]/base[[#This Row],[Stake/Responsabilidade]]</f>
        <v>0.10847410302945694</v>
      </c>
      <c r="O3928" s="1395">
        <f>IF(base[[#This Row],[L/P Líquido]]&gt;0,1,0)</f>
        <v>1</v>
      </c>
      <c r="P3928" s="1395"/>
      <c r="Q3928" s="1395" t="str">
        <f>LEFT(base[[#This Row],[Evento / Mercado]],FIND("vs",base[[#This Row],[Evento / Mercado]])-2)</f>
        <v>Shimizu S-Pulse</v>
      </c>
      <c r="R392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Kashiwa Reysol</v>
      </c>
      <c r="S3928" s="1395" t="str">
        <f>LEFT(base[[#This Row],[Evento / Mercado]],FIND("/",base[[#This Row],[Evento / Mercado]])-2)</f>
        <v>Shimizu S-Pulse vs Kashiwa Reysol</v>
      </c>
      <c r="T3928" s="1396">
        <f>base[[#This Row],[Data de liquidação]]</f>
        <v>46263.353761574072</v>
      </c>
    </row>
    <row r="3929" spans="2:22" ht="15" customHeight="1">
      <c r="B3929" s="1390" t="s">
        <v>4630</v>
      </c>
      <c r="C3929" s="859" t="s">
        <v>3512</v>
      </c>
      <c r="D3929" s="1391">
        <v>46263.397893518515</v>
      </c>
      <c r="E3929" s="1392">
        <v>1.18</v>
      </c>
      <c r="F3929" s="583">
        <v>4.4999999999999998E-2</v>
      </c>
      <c r="G3929" s="1393">
        <f t="shared" si="154"/>
        <v>1.2356020942408377</v>
      </c>
      <c r="H3929" s="1365" t="s">
        <v>1646</v>
      </c>
      <c r="I3929" s="1387" t="s">
        <v>3293</v>
      </c>
      <c r="J3929" s="1393">
        <v>1.62</v>
      </c>
      <c r="K3929" s="1393">
        <v>2</v>
      </c>
      <c r="L3929" s="1391">
        <f>INT(base[[#This Row],[Data de liquidação]])</f>
        <v>46263</v>
      </c>
      <c r="M3929" s="1393">
        <f>base[[#This Row],[L/P Bruto]]-base[[#This Row],[L/P Líquido]]</f>
        <v>5.5602094240837729E-2</v>
      </c>
      <c r="N3929" s="1393">
        <f>base[[#This Row],[L/P Líquido]]/base[[#This Row],[Stake/Responsabilidade]]</f>
        <v>0.59</v>
      </c>
      <c r="O3929" s="1395">
        <f>IF(base[[#This Row],[L/P Líquido]]&gt;0,1,0)</f>
        <v>1</v>
      </c>
      <c r="P3929" s="1395"/>
      <c r="Q3929" s="1395" t="str">
        <f>LEFT(base[[#This Row],[Evento / Mercado]],FIND("vs",base[[#This Row],[Evento / Mercado]])-2)</f>
        <v>1. FC Heidenheim</v>
      </c>
      <c r="R3929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3929" s="1395" t="str">
        <f>LEFT(base[[#This Row],[Evento / Mercado]],FIND("/",base[[#This Row],[Evento / Mercado]])-2)</f>
        <v>1. FC Heidenheim vs Dynamo Dresden</v>
      </c>
      <c r="T3929" s="1396">
        <f>base[[#This Row],[Data de liquidação]]</f>
        <v>46263.397893518515</v>
      </c>
    </row>
    <row r="3930" spans="2:22" ht="15" customHeight="1">
      <c r="B3930" s="1390" t="s">
        <v>4629</v>
      </c>
      <c r="C3930" s="859" t="s">
        <v>3512</v>
      </c>
      <c r="D3930" s="1391">
        <v>46263.411863425928</v>
      </c>
      <c r="E3930" s="1392">
        <v>93.97</v>
      </c>
      <c r="F3930" s="583">
        <v>4.4999999999999998E-2</v>
      </c>
      <c r="G3930" s="1393">
        <f t="shared" si="154"/>
        <v>98.397905759162313</v>
      </c>
      <c r="H3930" s="1372" t="s">
        <v>314</v>
      </c>
      <c r="I3930" s="1373" t="s">
        <v>349</v>
      </c>
      <c r="J3930" s="1393">
        <v>1.82</v>
      </c>
      <c r="K3930" s="1393">
        <v>120</v>
      </c>
      <c r="L3930" s="1391">
        <f>INT(base[[#This Row],[Data de liquidação]])</f>
        <v>46263</v>
      </c>
      <c r="M3930" s="1393">
        <f>base[[#This Row],[L/P Bruto]]-base[[#This Row],[L/P Líquido]]</f>
        <v>4.4279057591623143</v>
      </c>
      <c r="N3930" s="1393">
        <f>base[[#This Row],[L/P Líquido]]/base[[#This Row],[Stake/Responsabilidade]]</f>
        <v>0.78308333333333335</v>
      </c>
      <c r="O3930" s="1395">
        <f>IF(base[[#This Row],[L/P Líquido]]&gt;0,1,0)</f>
        <v>1</v>
      </c>
      <c r="P3930" s="1395"/>
      <c r="Q3930" s="1395" t="str">
        <f>LEFT(base[[#This Row],[Evento / Mercado]],FIND("vs",base[[#This Row],[Evento / Mercado]])-2)</f>
        <v>Middlesbrough</v>
      </c>
      <c r="R3930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3930" s="1395" t="str">
        <f>LEFT(base[[#This Row],[Evento / Mercado]],FIND("/",base[[#This Row],[Evento / Mercado]])-2)</f>
        <v>Middlesbrough vs West Bromwich Albion</v>
      </c>
      <c r="T3930" s="1396">
        <f>base[[#This Row],[Data de liquidação]]</f>
        <v>46263.411863425928</v>
      </c>
    </row>
    <row r="3931" spans="2:22" ht="15" customHeight="1">
      <c r="B3931" s="1390" t="s">
        <v>4628</v>
      </c>
      <c r="C3931" s="859" t="s">
        <v>3512</v>
      </c>
      <c r="D3931" s="1391">
        <v>46263.430648148147</v>
      </c>
      <c r="E3931" s="1392">
        <v>1.71</v>
      </c>
      <c r="F3931" s="583">
        <v>4.4999999999999998E-2</v>
      </c>
      <c r="G3931" s="1393">
        <f t="shared" si="154"/>
        <v>1.7905759162303665</v>
      </c>
      <c r="H3931" s="1365" t="s">
        <v>1646</v>
      </c>
      <c r="I3931" s="1387" t="s">
        <v>3293</v>
      </c>
      <c r="J3931" s="1393">
        <v>1.89</v>
      </c>
      <c r="K3931" s="1393">
        <v>2</v>
      </c>
      <c r="L3931" s="1391">
        <f>INT(base[[#This Row],[Data de liquidação]])</f>
        <v>46263</v>
      </c>
      <c r="M3931" s="1393">
        <f>base[[#This Row],[L/P Bruto]]-base[[#This Row],[L/P Líquido]]</f>
        <v>8.0575916230366529E-2</v>
      </c>
      <c r="N3931" s="1393">
        <f>base[[#This Row],[L/P Líquido]]/base[[#This Row],[Stake/Responsabilidade]]</f>
        <v>0.85499999999999998</v>
      </c>
      <c r="O3931" s="1395">
        <f>IF(base[[#This Row],[L/P Líquido]]&gt;0,1,0)</f>
        <v>1</v>
      </c>
      <c r="P3931" s="1395"/>
      <c r="Q3931" s="1395" t="str">
        <f>LEFT(base[[#This Row],[Evento / Mercado]],FIND("vs",base[[#This Row],[Evento / Mercado]])-2)</f>
        <v>Derby County</v>
      </c>
      <c r="R3931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3931" s="1395" t="str">
        <f>LEFT(base[[#This Row],[Evento / Mercado]],FIND("/",base[[#This Row],[Evento / Mercado]])-2)</f>
        <v>Derby County vs Swansea City</v>
      </c>
      <c r="T3931" s="1396">
        <f>base[[#This Row],[Data de liquidação]]</f>
        <v>46263.430648148147</v>
      </c>
    </row>
    <row r="3932" spans="2:22" ht="15" customHeight="1">
      <c r="B3932" s="1390" t="s">
        <v>4627</v>
      </c>
      <c r="C3932" s="859" t="s">
        <v>3512</v>
      </c>
      <c r="D3932" s="1391">
        <v>46263.436562499999</v>
      </c>
      <c r="E3932" s="1392">
        <v>31.73</v>
      </c>
      <c r="F3932" s="583">
        <v>4.4999999999999998E-2</v>
      </c>
      <c r="G3932" s="1393">
        <f t="shared" si="154"/>
        <v>33.225130890052355</v>
      </c>
      <c r="H3932" s="1393" t="s">
        <v>4317</v>
      </c>
      <c r="I3932" s="1394"/>
      <c r="J3932" s="1393">
        <v>8.4</v>
      </c>
      <c r="K3932" s="1393">
        <v>245.85</v>
      </c>
      <c r="L3932" s="1391">
        <f>INT(base[[#This Row],[Data de liquidação]])</f>
        <v>46263</v>
      </c>
      <c r="M3932" s="1393">
        <f>base[[#This Row],[L/P Bruto]]-base[[#This Row],[L/P Líquido]]</f>
        <v>1.495130890052355</v>
      </c>
      <c r="N3932" s="1393">
        <f>base[[#This Row],[L/P Líquido]]/base[[#This Row],[Stake/Responsabilidade]]</f>
        <v>0.12906243644498677</v>
      </c>
      <c r="O3932" s="1395">
        <f>IF(base[[#This Row],[L/P Líquido]]&gt;0,1,0)</f>
        <v>1</v>
      </c>
      <c r="P3932" s="1395"/>
      <c r="Q3932" s="1395" t="str">
        <f>LEFT(base[[#This Row],[Evento / Mercado]],FIND("vs",base[[#This Row],[Evento / Mercado]])-2)</f>
        <v>Chengdu Rongcheng</v>
      </c>
      <c r="R3932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932" s="1395" t="str">
        <f>LEFT(base[[#This Row],[Evento / Mercado]],FIND("/",base[[#This Row],[Evento / Mercado]])-2)</f>
        <v>Chengdu Rongcheng vs Liaoning Tieren F.C.</v>
      </c>
      <c r="T3932" s="1396">
        <f>base[[#This Row],[Data de liquidação]]</f>
        <v>46263.436562499999</v>
      </c>
    </row>
    <row r="3933" spans="2:22" ht="15" customHeight="1">
      <c r="B3933" s="1390" t="s">
        <v>4626</v>
      </c>
      <c r="C3933" s="859" t="s">
        <v>3512</v>
      </c>
      <c r="D3933" s="1391">
        <v>46263.493518518517</v>
      </c>
      <c r="E3933" s="1392">
        <v>13.169449999999999</v>
      </c>
      <c r="F3933" s="583">
        <v>4.4999999999999998E-2</v>
      </c>
      <c r="G3933" s="1393">
        <f t="shared" si="154"/>
        <v>13.79</v>
      </c>
      <c r="H3933" s="1393" t="s">
        <v>74</v>
      </c>
      <c r="I3933" s="1394" t="s">
        <v>626</v>
      </c>
      <c r="J3933" s="1393">
        <v>30</v>
      </c>
      <c r="K3933" s="1393">
        <v>399.91</v>
      </c>
      <c r="L3933" s="1391">
        <f>INT(base[[#This Row],[Data de liquidação]])</f>
        <v>46263</v>
      </c>
      <c r="M3933" s="1393">
        <f>base[[#This Row],[L/P Bruto]]-base[[#This Row],[L/P Líquido]]</f>
        <v>0.62054999999999971</v>
      </c>
      <c r="N3933" s="1393">
        <f>base[[#This Row],[L/P Líquido]]/base[[#This Row],[Stake/Responsabilidade]]</f>
        <v>3.2931034482758616E-2</v>
      </c>
      <c r="O3933" s="1395">
        <f>IF(base[[#This Row],[L/P Líquido]]&gt;0,1,0)</f>
        <v>1</v>
      </c>
      <c r="P3933" s="1395" t="s">
        <v>4464</v>
      </c>
      <c r="Q3933" s="1395" t="str">
        <f>LEFT(base[[#This Row],[Evento / Mercado]],FIND("vs",base[[#This Row],[Evento / Mercado]])-2)</f>
        <v>BK Häcken</v>
      </c>
      <c r="R3933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3" s="1395" t="str">
        <f>LEFT(base[[#This Row],[Evento / Mercado]],FIND("/",base[[#This Row],[Evento / Mercado]])-2)</f>
        <v>BK Häcken vs Västerås SK FK</v>
      </c>
      <c r="T3933" s="1396">
        <f>base[[#This Row],[Data de liquidação]]</f>
        <v>46263.493518518517</v>
      </c>
    </row>
    <row r="3934" spans="2:22" ht="15" customHeight="1">
      <c r="B3934" s="1390" t="s">
        <v>4626</v>
      </c>
      <c r="C3934" s="859" t="s">
        <v>3512</v>
      </c>
      <c r="D3934" s="1391">
        <v>46263.493518518517</v>
      </c>
      <c r="E3934" s="1392">
        <v>23.875</v>
      </c>
      <c r="F3934" s="583">
        <v>4.4999999999999998E-2</v>
      </c>
      <c r="G3934" s="1393">
        <f t="shared" ref="G3934" si="155">IF(E3934&gt;0,E3934/(1-F3934),E3934)</f>
        <v>25</v>
      </c>
      <c r="H3934" s="1434" t="s">
        <v>4685</v>
      </c>
      <c r="I3934" s="1394" t="s">
        <v>626</v>
      </c>
      <c r="J3934" s="1393">
        <v>17</v>
      </c>
      <c r="K3934" s="1393">
        <v>400</v>
      </c>
      <c r="L3934" s="1391">
        <f>INT(base[[#This Row],[Data de liquidação]])</f>
        <v>46263</v>
      </c>
      <c r="M3934" s="1393">
        <f>base[[#This Row],[L/P Bruto]]-base[[#This Row],[L/P Líquido]]</f>
        <v>1.125</v>
      </c>
      <c r="N3934" s="1393">
        <f>base[[#This Row],[L/P Líquido]]/base[[#This Row],[Stake/Responsabilidade]]</f>
        <v>5.9687499999999998E-2</v>
      </c>
      <c r="O3934" s="1395">
        <f>IF(base[[#This Row],[L/P Líquido]]&gt;0,1,0)</f>
        <v>1</v>
      </c>
      <c r="P3934" s="1395"/>
      <c r="Q3934" s="1395" t="str">
        <f>LEFT(base[[#This Row],[Evento / Mercado]],FIND("vs",base[[#This Row],[Evento / Mercado]])-2)</f>
        <v>BK Häcken</v>
      </c>
      <c r="R3934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4" s="1395" t="str">
        <f>LEFT(base[[#This Row],[Evento / Mercado]],FIND("/",base[[#This Row],[Evento / Mercado]])-2)</f>
        <v>BK Häcken vs Västerås SK FK</v>
      </c>
      <c r="T3934" s="1396">
        <f>base[[#This Row],[Data de liquidação]]</f>
        <v>46263.493518518517</v>
      </c>
      <c r="U3934" s="9">
        <v>13.79</v>
      </c>
      <c r="V3934" s="11">
        <f t="shared" ref="V3934:V3935" si="156">U3934*0.955</f>
        <v>13.169449999999999</v>
      </c>
    </row>
    <row r="3935" spans="2:22" ht="15" customHeight="1">
      <c r="B3935" s="1390" t="s">
        <v>4625</v>
      </c>
      <c r="C3935" s="859" t="s">
        <v>3512</v>
      </c>
      <c r="D3935" s="1391">
        <v>46263.50540509259</v>
      </c>
      <c r="E3935" s="1392">
        <v>68.760000000000005</v>
      </c>
      <c r="F3935" s="583">
        <v>4.4999999999999998E-2</v>
      </c>
      <c r="G3935" s="1393">
        <f t="shared" si="154"/>
        <v>72.000000000000014</v>
      </c>
      <c r="H3935" s="1372" t="s">
        <v>314</v>
      </c>
      <c r="I3935" s="1373" t="s">
        <v>349</v>
      </c>
      <c r="J3935" s="1393">
        <v>1.6</v>
      </c>
      <c r="K3935" s="1393">
        <v>120</v>
      </c>
      <c r="L3935" s="1391">
        <f>INT(base[[#This Row],[Data de liquidação]])</f>
        <v>46263</v>
      </c>
      <c r="M3935" s="1393">
        <f>base[[#This Row],[L/P Bruto]]-base[[#This Row],[L/P Líquido]]</f>
        <v>3.2400000000000091</v>
      </c>
      <c r="N3935" s="1393">
        <f>base[[#This Row],[L/P Líquido]]/base[[#This Row],[Stake/Responsabilidade]]</f>
        <v>0.57300000000000006</v>
      </c>
      <c r="O3935" s="1395">
        <f>IF(base[[#This Row],[L/P Líquido]]&gt;0,1,0)</f>
        <v>1</v>
      </c>
      <c r="P3935" s="1395"/>
      <c r="Q3935" s="1395" t="str">
        <f>LEFT(base[[#This Row],[Evento / Mercado]],FIND("vs",base[[#This Row],[Evento / Mercado]])-2)</f>
        <v>SV Elversberg</v>
      </c>
      <c r="R3935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3935" s="1395" t="str">
        <f>LEFT(base[[#This Row],[Evento / Mercado]],FIND("/",base[[#This Row],[Evento / Mercado]])-2)</f>
        <v>SV Elversberg vs Bayer 04 Leverkusen</v>
      </c>
      <c r="T3935" s="1396">
        <f>base[[#This Row],[Data de liquidação]]</f>
        <v>46263.50540509259</v>
      </c>
      <c r="U3935" s="9">
        <v>25</v>
      </c>
      <c r="V3935" s="11">
        <f t="shared" si="156"/>
        <v>23.875</v>
      </c>
    </row>
    <row r="3936" spans="2:22" ht="15" customHeight="1">
      <c r="B3936" s="1390" t="s">
        <v>4624</v>
      </c>
      <c r="C3936" s="859" t="s">
        <v>3512</v>
      </c>
      <c r="D3936" s="1391">
        <v>46263.535034722219</v>
      </c>
      <c r="E3936" s="1392">
        <v>45.55</v>
      </c>
      <c r="F3936" s="583">
        <v>4.4999999999999998E-2</v>
      </c>
      <c r="G3936" s="1393">
        <f t="shared" si="154"/>
        <v>47.696335078534034</v>
      </c>
      <c r="H3936" s="1393" t="s">
        <v>150</v>
      </c>
      <c r="I3936" s="1394" t="s">
        <v>627</v>
      </c>
      <c r="J3936" s="1393">
        <v>11</v>
      </c>
      <c r="K3936" s="1393">
        <v>477</v>
      </c>
      <c r="L3936" s="1391">
        <f>INT(base[[#This Row],[Data de liquidação]])</f>
        <v>46263</v>
      </c>
      <c r="M3936" s="1393">
        <f>base[[#This Row],[L/P Bruto]]-base[[#This Row],[L/P Líquido]]</f>
        <v>2.1463350785340367</v>
      </c>
      <c r="N3936" s="1393">
        <f>base[[#This Row],[L/P Líquido]]/base[[#This Row],[Stake/Responsabilidade]]</f>
        <v>9.5492662473794537E-2</v>
      </c>
      <c r="O3936" s="1395">
        <f>IF(base[[#This Row],[L/P Líquido]]&gt;0,1,0)</f>
        <v>1</v>
      </c>
      <c r="P3936" s="1395"/>
      <c r="Q3936" s="1395" t="str">
        <f>LEFT(base[[#This Row],[Evento / Mercado]],FIND("vs",base[[#This Row],[Evento / Mercado]])-2)</f>
        <v>Celtic</v>
      </c>
      <c r="R3936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6" s="1395" t="str">
        <f>LEFT(base[[#This Row],[Evento / Mercado]],FIND("/",base[[#This Row],[Evento / Mercado]])-2)</f>
        <v>Celtic vs Falkirk</v>
      </c>
      <c r="T3936" s="1396">
        <f>base[[#This Row],[Data de liquidação]]</f>
        <v>46263.535034722219</v>
      </c>
    </row>
    <row r="3937" spans="2:20" ht="15" customHeight="1">
      <c r="B3937" s="1390" t="s">
        <v>4623</v>
      </c>
      <c r="C3937" s="859" t="s">
        <v>3512</v>
      </c>
      <c r="D3937" s="1391">
        <v>46263.544270833336</v>
      </c>
      <c r="E3937" s="1392">
        <v>9.65</v>
      </c>
      <c r="F3937" s="583">
        <v>4.4999999999999998E-2</v>
      </c>
      <c r="G3937" s="1393">
        <f t="shared" si="154"/>
        <v>10.104712041884818</v>
      </c>
      <c r="H3937" s="1365" t="s">
        <v>1646</v>
      </c>
      <c r="I3937" s="1394" t="s">
        <v>2274</v>
      </c>
      <c r="J3937" s="1393">
        <v>1.51</v>
      </c>
      <c r="K3937" s="1393">
        <v>20</v>
      </c>
      <c r="L3937" s="1391">
        <f>INT(base[[#This Row],[Data de liquidação]])</f>
        <v>46263</v>
      </c>
      <c r="M3937" s="1393">
        <f>base[[#This Row],[L/P Bruto]]-base[[#This Row],[L/P Líquido]]</f>
        <v>0.45471204188481806</v>
      </c>
      <c r="N3937" s="1393">
        <f>base[[#This Row],[L/P Líquido]]/base[[#This Row],[Stake/Responsabilidade]]</f>
        <v>0.48250000000000004</v>
      </c>
      <c r="O3937" s="1395">
        <f>IF(base[[#This Row],[L/P Líquido]]&gt;0,1,0)</f>
        <v>1</v>
      </c>
      <c r="P3937" s="1395"/>
      <c r="Q3937" s="1395" t="str">
        <f>LEFT(base[[#This Row],[Evento / Mercado]],FIND("vs",base[[#This Row],[Evento / Mercado]])-2)</f>
        <v>Alverca</v>
      </c>
      <c r="R393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3937" s="1395" t="str">
        <f>LEFT(base[[#This Row],[Evento / Mercado]],FIND("/",base[[#This Row],[Evento / Mercado]])-2)</f>
        <v>Alverca vs Santa Clara</v>
      </c>
      <c r="T3937" s="1396">
        <f>base[[#This Row],[Data de liquidação]]</f>
        <v>46263.544270833336</v>
      </c>
    </row>
    <row r="3938" spans="2:20" ht="15" customHeight="1">
      <c r="B3938" s="1390" t="s">
        <v>1661</v>
      </c>
      <c r="C3938" s="859" t="s">
        <v>3512</v>
      </c>
      <c r="D3938" s="1391">
        <v>46263.545243055552</v>
      </c>
      <c r="E3938" s="1392">
        <v>28.3</v>
      </c>
      <c r="F3938" s="583">
        <v>4.4999999999999998E-2</v>
      </c>
      <c r="G3938" s="1393">
        <f t="shared" si="154"/>
        <v>29.633507853403142</v>
      </c>
      <c r="H3938" s="1393" t="s">
        <v>3367</v>
      </c>
      <c r="I3938" s="1394" t="s">
        <v>391</v>
      </c>
      <c r="J3938" s="1393">
        <v>14.5</v>
      </c>
      <c r="K3938" s="1393">
        <v>400.01</v>
      </c>
      <c r="L3938" s="1391">
        <f>INT(base[[#This Row],[Data de liquidação]])</f>
        <v>46263</v>
      </c>
      <c r="M3938" s="1393">
        <f>base[[#This Row],[L/P Bruto]]-base[[#This Row],[L/P Líquido]]</f>
        <v>1.333507853403141</v>
      </c>
      <c r="N3938" s="1393">
        <f>base[[#This Row],[L/P Líquido]]/base[[#This Row],[Stake/Responsabilidade]]</f>
        <v>7.0748231294217645E-2</v>
      </c>
      <c r="O3938" s="1395">
        <f>IF(base[[#This Row],[L/P Líquido]]&gt;0,1,0)</f>
        <v>1</v>
      </c>
      <c r="P3938" s="1395" t="s">
        <v>1217</v>
      </c>
      <c r="Q3938" s="1395" t="str">
        <f>LEFT(base[[#This Row],[Evento / Mercado]],FIND("vs",base[[#This Row],[Evento / Mercado]])-2)</f>
        <v>Celtic</v>
      </c>
      <c r="R393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8" s="1395" t="str">
        <f>LEFT(base[[#This Row],[Evento / Mercado]],FIND("/",base[[#This Row],[Evento / Mercado]])-2)</f>
        <v>Celtic vs Falkirk</v>
      </c>
      <c r="T3938" s="1396">
        <f>base[[#This Row],[Data de liquidação]]</f>
        <v>46263.545243055552</v>
      </c>
    </row>
    <row r="3939" spans="2:20" ht="15" customHeight="1">
      <c r="B3939" s="1390" t="s">
        <v>4622</v>
      </c>
      <c r="C3939" s="859" t="s">
        <v>3512</v>
      </c>
      <c r="D3939" s="1391">
        <v>46263.554363425923</v>
      </c>
      <c r="E3939" s="1392">
        <v>9.5500000000000007</v>
      </c>
      <c r="F3939" s="583">
        <v>4.4999999999999998E-2</v>
      </c>
      <c r="G3939" s="1393">
        <f t="shared" si="154"/>
        <v>10.000000000000002</v>
      </c>
      <c r="H3939" s="1365" t="s">
        <v>1646</v>
      </c>
      <c r="I3939" s="1394" t="s">
        <v>2274</v>
      </c>
      <c r="J3939" s="1393">
        <v>1.5</v>
      </c>
      <c r="K3939" s="1393">
        <v>20</v>
      </c>
      <c r="L3939" s="1391">
        <f>INT(base[[#This Row],[Data de liquidação]])</f>
        <v>46263</v>
      </c>
      <c r="M3939" s="1393">
        <f>base[[#This Row],[L/P Bruto]]-base[[#This Row],[L/P Líquido]]</f>
        <v>0.45000000000000107</v>
      </c>
      <c r="N3939" s="1393">
        <f>base[[#This Row],[L/P Líquido]]/base[[#This Row],[Stake/Responsabilidade]]</f>
        <v>0.47750000000000004</v>
      </c>
      <c r="O3939" s="1395">
        <f>IF(base[[#This Row],[L/P Líquido]]&gt;0,1,0)</f>
        <v>1</v>
      </c>
      <c r="P3939" s="1395"/>
      <c r="Q3939" s="1395" t="str">
        <f>LEFT(base[[#This Row],[Evento / Mercado]],FIND("vs",base[[#This Row],[Evento / Mercado]])-2)</f>
        <v>Sabadell</v>
      </c>
      <c r="R3939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939" s="1395" t="str">
        <f>LEFT(base[[#This Row],[Evento / Mercado]],FIND("/",base[[#This Row],[Evento / Mercado]])-2)</f>
        <v>Sabadell vs UD Almería</v>
      </c>
      <c r="T3939" s="1396">
        <f>base[[#This Row],[Data de liquidação]]</f>
        <v>46263.554363425923</v>
      </c>
    </row>
    <row r="3940" spans="2:20" ht="15" customHeight="1">
      <c r="B3940" s="1390" t="s">
        <v>4621</v>
      </c>
      <c r="C3940" s="859" t="s">
        <v>3512</v>
      </c>
      <c r="D3940" s="1391">
        <v>46263.600416666668</v>
      </c>
      <c r="E3940" s="1392">
        <v>10.38</v>
      </c>
      <c r="F3940" s="583">
        <v>4.4999999999999998E-2</v>
      </c>
      <c r="G3940" s="1393">
        <f t="shared" si="154"/>
        <v>10.869109947643981</v>
      </c>
      <c r="H3940" s="1365" t="s">
        <v>1646</v>
      </c>
      <c r="I3940" s="1394" t="s">
        <v>2274</v>
      </c>
      <c r="J3940" s="1393">
        <v>1.54</v>
      </c>
      <c r="K3940" s="1393">
        <v>20</v>
      </c>
      <c r="L3940" s="1391">
        <f>INT(base[[#This Row],[Data de liquidação]])</f>
        <v>46263</v>
      </c>
      <c r="M3940" s="1393">
        <f>base[[#This Row],[L/P Bruto]]-base[[#This Row],[L/P Líquido]]</f>
        <v>0.48910994764398019</v>
      </c>
      <c r="N3940" s="1393">
        <f>base[[#This Row],[L/P Líquido]]/base[[#This Row],[Stake/Responsabilidade]]</f>
        <v>0.51900000000000002</v>
      </c>
      <c r="O3940" s="1395">
        <f>IF(base[[#This Row],[L/P Líquido]]&gt;0,1,0)</f>
        <v>1</v>
      </c>
      <c r="P3940" s="1395"/>
      <c r="Q3940" s="1395" t="str">
        <f>LEFT(base[[#This Row],[Evento / Mercado]],FIND("vs",base[[#This Row],[Evento / Mercado]])-2)</f>
        <v>FC Arges Pitesti</v>
      </c>
      <c r="R3940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Sepsi OSK Sfantu Gheorghe</v>
      </c>
      <c r="S3940" s="1395" t="str">
        <f>LEFT(base[[#This Row],[Evento / Mercado]],FIND("/",base[[#This Row],[Evento / Mercado]])-2)</f>
        <v>FC Arges Pitesti vs Sepsi OSK Sfantu Gheorghe</v>
      </c>
      <c r="T3940" s="1396">
        <f>base[[#This Row],[Data de liquidação]]</f>
        <v>46263.600416666668</v>
      </c>
    </row>
    <row r="3941" spans="2:20" ht="15" customHeight="1">
      <c r="B3941" s="1390" t="s">
        <v>4620</v>
      </c>
      <c r="C3941" s="859" t="s">
        <v>3512</v>
      </c>
      <c r="D3941" s="1391">
        <v>46263.639525462961</v>
      </c>
      <c r="E3941" s="1392">
        <v>-120</v>
      </c>
      <c r="F3941" s="583">
        <v>4.4999999999999998E-2</v>
      </c>
      <c r="G3941" s="1393">
        <f t="shared" si="154"/>
        <v>-120</v>
      </c>
      <c r="H3941" s="1372" t="s">
        <v>314</v>
      </c>
      <c r="I3941" s="1373" t="s">
        <v>349</v>
      </c>
      <c r="J3941" s="1393">
        <v>1.6</v>
      </c>
      <c r="K3941" s="1393">
        <v>120</v>
      </c>
      <c r="L3941" s="1391">
        <f>INT(base[[#This Row],[Data de liquidação]])</f>
        <v>46263</v>
      </c>
      <c r="M3941" s="1393">
        <f>base[[#This Row],[L/P Bruto]]-base[[#This Row],[L/P Líquido]]</f>
        <v>0</v>
      </c>
      <c r="N3941" s="1393">
        <f>base[[#This Row],[L/P Líquido]]/base[[#This Row],[Stake/Responsabilidade]]</f>
        <v>-1</v>
      </c>
      <c r="O3941" s="1395">
        <f>IF(base[[#This Row],[L/P Líquido]]&gt;0,1,0)</f>
        <v>0</v>
      </c>
      <c r="P3941" s="1395"/>
      <c r="Q3941" s="1395" t="str">
        <f>LEFT(base[[#This Row],[Evento / Mercado]],FIND("vs",base[[#This Row],[Evento / Mercado]])-2)</f>
        <v>Tottenham Hotspur</v>
      </c>
      <c r="R3941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3941" s="1395" t="str">
        <f>LEFT(base[[#This Row],[Evento / Mercado]],FIND("/",base[[#This Row],[Evento / Mercado]])-2)</f>
        <v>Tottenham Hotspur vs Newcastle United</v>
      </c>
      <c r="T3941" s="1396">
        <f>base[[#This Row],[Data de liquidação]]</f>
        <v>46263.639525462961</v>
      </c>
    </row>
    <row r="3942" spans="2:20" ht="15" customHeight="1">
      <c r="B3942" s="1390" t="s">
        <v>4619</v>
      </c>
      <c r="C3942" s="859" t="s">
        <v>3512</v>
      </c>
      <c r="D3942" s="1391">
        <v>46263.641099537039</v>
      </c>
      <c r="E3942" s="1392">
        <v>41.41</v>
      </c>
      <c r="F3942" s="583">
        <v>4.4999999999999998E-2</v>
      </c>
      <c r="G3942" s="1393">
        <f t="shared" si="154"/>
        <v>43.361256544502616</v>
      </c>
      <c r="H3942" s="1393" t="s">
        <v>150</v>
      </c>
      <c r="I3942" s="1394" t="s">
        <v>627</v>
      </c>
      <c r="J3942" s="1393">
        <v>12</v>
      </c>
      <c r="K3942" s="1393">
        <v>476.96</v>
      </c>
      <c r="L3942" s="1391">
        <f>INT(base[[#This Row],[Data de liquidação]])</f>
        <v>46263</v>
      </c>
      <c r="M3942" s="1393">
        <f>base[[#This Row],[L/P Bruto]]-base[[#This Row],[L/P Líquido]]</f>
        <v>1.9512565445026198</v>
      </c>
      <c r="N3942" s="1393">
        <f>base[[#This Row],[L/P Líquido]]/base[[#This Row],[Stake/Responsabilidade]]</f>
        <v>8.6820697752432063E-2</v>
      </c>
      <c r="O3942" s="1395">
        <f>IF(base[[#This Row],[L/P Líquido]]&gt;0,1,0)</f>
        <v>1</v>
      </c>
      <c r="P3942" s="1395"/>
      <c r="Q3942" s="1395" t="str">
        <f>LEFT(base[[#This Row],[Evento / Mercado]],FIND("vs",base[[#This Row],[Evento / Mercado]])-2)</f>
        <v>Borussia Dortmund</v>
      </c>
      <c r="R3942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942" s="1395" t="str">
        <f>LEFT(base[[#This Row],[Evento / Mercado]],FIND("/",base[[#This Row],[Evento / Mercado]])-2)</f>
        <v>Borussia Dortmund vs Hamburger SV</v>
      </c>
      <c r="T3942" s="1396">
        <f>base[[#This Row],[Data de liquidação]]</f>
        <v>46263.641099537039</v>
      </c>
    </row>
    <row r="3943" spans="2:20" ht="15" customHeight="1">
      <c r="B3943" s="1390" t="s">
        <v>4618</v>
      </c>
      <c r="C3943" s="859" t="s">
        <v>3512</v>
      </c>
      <c r="D3943" s="1391">
        <v>46263.664571759262</v>
      </c>
      <c r="E3943" s="1392">
        <v>-413.04</v>
      </c>
      <c r="F3943" s="583">
        <v>4.4999999999999998E-2</v>
      </c>
      <c r="G3943" s="1393">
        <f t="shared" si="154"/>
        <v>-413.04</v>
      </c>
      <c r="H3943" s="1393" t="s">
        <v>74</v>
      </c>
      <c r="I3943" s="1394" t="s">
        <v>626</v>
      </c>
      <c r="J3943" s="1393">
        <v>25</v>
      </c>
      <c r="K3943" s="1393">
        <v>413.04</v>
      </c>
      <c r="L3943" s="1391">
        <f>INT(base[[#This Row],[Data de liquidação]])</f>
        <v>46263</v>
      </c>
      <c r="M3943" s="1393">
        <f>base[[#This Row],[L/P Bruto]]-base[[#This Row],[L/P Líquido]]</f>
        <v>0</v>
      </c>
      <c r="N3943" s="1393">
        <f>base[[#This Row],[L/P Líquido]]/base[[#This Row],[Stake/Responsabilidade]]</f>
        <v>-1</v>
      </c>
      <c r="O3943" s="1395">
        <f>IF(base[[#This Row],[L/P Líquido]]&gt;0,1,0)</f>
        <v>0</v>
      </c>
      <c r="P3943" s="1395" t="s">
        <v>3634</v>
      </c>
      <c r="Q3943" s="1395" t="str">
        <f>LEFT(base[[#This Row],[Evento / Mercado]],FIND("vs",base[[#This Row],[Evento / Mercado]])-2)</f>
        <v>ÍB Vestmannaeyja</v>
      </c>
      <c r="R3943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Þór Akureyri</v>
      </c>
      <c r="S3943" s="1395" t="str">
        <f>LEFT(base[[#This Row],[Evento / Mercado]],FIND("/",base[[#This Row],[Evento / Mercado]])-2)</f>
        <v>ÍB Vestmannaeyja vs Þór Akureyri</v>
      </c>
      <c r="T3943" s="1396">
        <f>base[[#This Row],[Data de liquidação]]</f>
        <v>46263.664571759262</v>
      </c>
    </row>
    <row r="3944" spans="2:20" ht="15" customHeight="1">
      <c r="B3944" s="1390" t="s">
        <v>4617</v>
      </c>
      <c r="C3944" s="859" t="s">
        <v>3512</v>
      </c>
      <c r="D3944" s="1391">
        <v>46263.667743055557</v>
      </c>
      <c r="E3944" s="1392">
        <v>30.42</v>
      </c>
      <c r="F3944" s="583">
        <v>4.4999999999999998E-2</v>
      </c>
      <c r="G3944" s="1393">
        <f t="shared" si="154"/>
        <v>31.853403141361259</v>
      </c>
      <c r="H3944" s="1393" t="s">
        <v>3367</v>
      </c>
      <c r="I3944" s="1394" t="s">
        <v>390</v>
      </c>
      <c r="J3944" s="1393">
        <v>14.5</v>
      </c>
      <c r="K3944" s="1393">
        <v>429.98</v>
      </c>
      <c r="L3944" s="1391">
        <f>INT(base[[#This Row],[Data de liquidação]])</f>
        <v>46263</v>
      </c>
      <c r="M3944" s="1393">
        <f>base[[#This Row],[L/P Bruto]]-base[[#This Row],[L/P Líquido]]</f>
        <v>1.4334031413612571</v>
      </c>
      <c r="N3944" s="1393">
        <f>base[[#This Row],[L/P Líquido]]/base[[#This Row],[Stake/Responsabilidade]]</f>
        <v>7.074747662681985E-2</v>
      </c>
      <c r="O3944" s="1395">
        <f>IF(base[[#This Row],[L/P Líquido]]&gt;0,1,0)</f>
        <v>1</v>
      </c>
      <c r="P3944" s="1397" t="s">
        <v>1202</v>
      </c>
      <c r="Q3944" s="1395" t="str">
        <f>LEFT(base[[#This Row],[Evento / Mercado]],FIND("vs",base[[#This Row],[Evento / Mercado]])-2)</f>
        <v>Académico de Viseu</v>
      </c>
      <c r="R3944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3944" s="1395" t="str">
        <f>LEFT(base[[#This Row],[Evento / Mercado]],FIND("/",base[[#This Row],[Evento / Mercado]])-2)</f>
        <v>Académico de Viseu vs FC Porto</v>
      </c>
      <c r="T3944" s="1396">
        <f>base[[#This Row],[Data de liquidação]]</f>
        <v>46263.667743055557</v>
      </c>
    </row>
    <row r="3945" spans="2:20" ht="15" customHeight="1">
      <c r="B3945" s="1390" t="s">
        <v>4616</v>
      </c>
      <c r="C3945" s="859" t="s">
        <v>3512</v>
      </c>
      <c r="D3945" s="1391">
        <v>46263.700486111113</v>
      </c>
      <c r="E3945" s="1392">
        <v>0.49</v>
      </c>
      <c r="F3945" s="583">
        <v>4.4999999999999998E-2</v>
      </c>
      <c r="G3945" s="1393">
        <f t="shared" si="154"/>
        <v>0.51308900523560208</v>
      </c>
      <c r="H3945" s="1365" t="s">
        <v>1646</v>
      </c>
      <c r="I3945" s="1387" t="s">
        <v>3293</v>
      </c>
      <c r="J3945" s="1393">
        <v>1.26</v>
      </c>
      <c r="K3945" s="1393">
        <v>2</v>
      </c>
      <c r="L3945" s="1391">
        <f>INT(base[[#This Row],[Data de liquidação]])</f>
        <v>46263</v>
      </c>
      <c r="M3945" s="1393">
        <f>base[[#This Row],[L/P Bruto]]-base[[#This Row],[L/P Líquido]]</f>
        <v>2.3089005235602089E-2</v>
      </c>
      <c r="N3945" s="1393">
        <f>base[[#This Row],[L/P Líquido]]/base[[#This Row],[Stake/Responsabilidade]]</f>
        <v>0.245</v>
      </c>
      <c r="O3945" s="1395">
        <f>IF(base[[#This Row],[L/P Líquido]]&gt;0,1,0)</f>
        <v>1</v>
      </c>
      <c r="P3945" s="1395"/>
      <c r="Q3945" s="1395" t="str">
        <f>LEFT(base[[#This Row],[Evento / Mercado]],FIND("vs",base[[#This Row],[Evento / Mercado]])-2)</f>
        <v>Galatasaray SK</v>
      </c>
      <c r="R3945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5" s="1395" t="str">
        <f>LEFT(base[[#This Row],[Evento / Mercado]],FIND("/",base[[#This Row],[Evento / Mercado]])-2)</f>
        <v>Galatasaray SK vs Göztepe</v>
      </c>
      <c r="T3945" s="1396">
        <f>base[[#This Row],[Data de liquidação]]</f>
        <v>46263.700486111113</v>
      </c>
    </row>
    <row r="3946" spans="2:20" ht="15" customHeight="1">
      <c r="B3946" s="1390" t="s">
        <v>4615</v>
      </c>
      <c r="C3946" s="859" t="s">
        <v>3512</v>
      </c>
      <c r="D3946" s="1391">
        <v>46263.704375000001</v>
      </c>
      <c r="E3946" s="1392">
        <v>6.37</v>
      </c>
      <c r="F3946" s="583">
        <v>4.4999999999999998E-2</v>
      </c>
      <c r="G3946" s="1393">
        <f t="shared" si="154"/>
        <v>6.6701570680628279</v>
      </c>
      <c r="H3946" s="1365" t="s">
        <v>1646</v>
      </c>
      <c r="I3946" s="1433" t="s">
        <v>4684</v>
      </c>
      <c r="J3946" s="1393">
        <v>11</v>
      </c>
      <c r="K3946" s="1393">
        <v>66.7</v>
      </c>
      <c r="L3946" s="1391">
        <f>INT(base[[#This Row],[Data de liquidação]])</f>
        <v>46263</v>
      </c>
      <c r="M3946" s="1393">
        <f>base[[#This Row],[L/P Bruto]]-base[[#This Row],[L/P Líquido]]</f>
        <v>0.30015706806282783</v>
      </c>
      <c r="N3946" s="1393">
        <f>base[[#This Row],[L/P Líquido]]/base[[#This Row],[Stake/Responsabilidade]]</f>
        <v>9.5502248875562218E-2</v>
      </c>
      <c r="O3946" s="1395">
        <f>IF(base[[#This Row],[L/P Líquido]]&gt;0,1,0)</f>
        <v>1</v>
      </c>
      <c r="P3946" s="1395"/>
      <c r="Q3946" s="1395" t="str">
        <f>LEFT(base[[#This Row],[Evento / Mercado]],FIND("vs",base[[#This Row],[Evento / Mercado]])-2)</f>
        <v>Al-Fateh Al-Hasa</v>
      </c>
      <c r="R3946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3946" s="1395" t="str">
        <f>LEFT(base[[#This Row],[Evento / Mercado]],FIND("/",base[[#This Row],[Evento / Mercado]])-2)</f>
        <v>Al-Fateh Al-Hasa vs Al-Ittihad Jeddah</v>
      </c>
      <c r="T3946" s="1396">
        <f>base[[#This Row],[Data de liquidação]]</f>
        <v>46263.704375000001</v>
      </c>
    </row>
    <row r="3947" spans="2:20" ht="15" customHeight="1">
      <c r="B3947" s="1390" t="s">
        <v>4614</v>
      </c>
      <c r="C3947" s="859" t="s">
        <v>3512</v>
      </c>
      <c r="D3947" s="1391">
        <v>46263.72934027778</v>
      </c>
      <c r="E3947" s="1392">
        <v>36.61</v>
      </c>
      <c r="F3947" s="583">
        <v>4.4999999999999998E-2</v>
      </c>
      <c r="G3947" s="1393">
        <f t="shared" si="154"/>
        <v>38.335078534031418</v>
      </c>
      <c r="H3947" s="1393" t="s">
        <v>3367</v>
      </c>
      <c r="I3947" s="1394" t="s">
        <v>391</v>
      </c>
      <c r="J3947" s="1393">
        <v>13</v>
      </c>
      <c r="K3947" s="1393">
        <v>459.96</v>
      </c>
      <c r="L3947" s="1391">
        <f>INT(base[[#This Row],[Data de liquidação]])</f>
        <v>46263</v>
      </c>
      <c r="M3947" s="1393">
        <f>base[[#This Row],[L/P Bruto]]-base[[#This Row],[L/P Líquido]]</f>
        <v>1.7250785340314181</v>
      </c>
      <c r="N3947" s="1393">
        <f>base[[#This Row],[L/P Líquido]]/base[[#This Row],[Stake/Responsabilidade]]</f>
        <v>7.959387772849813E-2</v>
      </c>
      <c r="O3947" s="1395">
        <f>IF(base[[#This Row],[L/P Líquido]]&gt;0,1,0)</f>
        <v>1</v>
      </c>
      <c r="P3947" s="1395" t="s">
        <v>1203</v>
      </c>
      <c r="Q3947" s="1395" t="str">
        <f>LEFT(base[[#This Row],[Evento / Mercado]],FIND("vs",base[[#This Row],[Evento / Mercado]])-2)</f>
        <v>Galatasaray SK</v>
      </c>
      <c r="R394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7" s="1395" t="str">
        <f>LEFT(base[[#This Row],[Evento / Mercado]],FIND("/",base[[#This Row],[Evento / Mercado]])-2)</f>
        <v>Galatasaray SK vs Göztepe</v>
      </c>
      <c r="T3947" s="1396">
        <f>base[[#This Row],[Data de liquidação]]</f>
        <v>46263.72934027778</v>
      </c>
    </row>
    <row r="3948" spans="2:20" ht="15" customHeight="1">
      <c r="B3948" s="1390" t="s">
        <v>4613</v>
      </c>
      <c r="C3948" s="859" t="s">
        <v>3512</v>
      </c>
      <c r="D3948" s="1391">
        <v>46263.734375</v>
      </c>
      <c r="E3948" s="1392">
        <v>1.57</v>
      </c>
      <c r="F3948" s="583">
        <v>4.4999999999999998E-2</v>
      </c>
      <c r="G3948" s="1393">
        <f t="shared" si="154"/>
        <v>1.6439790575916231</v>
      </c>
      <c r="H3948" s="1365" t="s">
        <v>1646</v>
      </c>
      <c r="I3948" s="1387" t="s">
        <v>3293</v>
      </c>
      <c r="J3948" s="1393">
        <v>1.82</v>
      </c>
      <c r="K3948" s="1393">
        <v>2</v>
      </c>
      <c r="L3948" s="1391">
        <f>INT(base[[#This Row],[Data de liquidação]])</f>
        <v>46263</v>
      </c>
      <c r="M3948" s="1393">
        <f>base[[#This Row],[L/P Bruto]]-base[[#This Row],[L/P Líquido]]</f>
        <v>7.3979057591623043E-2</v>
      </c>
      <c r="N3948" s="1393">
        <f>base[[#This Row],[L/P Líquido]]/base[[#This Row],[Stake/Responsabilidade]]</f>
        <v>0.78500000000000003</v>
      </c>
      <c r="O3948" s="1395">
        <f>IF(base[[#This Row],[L/P Líquido]]&gt;0,1,0)</f>
        <v>1</v>
      </c>
      <c r="P3948" s="1395"/>
      <c r="Q3948" s="1395" t="str">
        <f>LEFT(base[[#This Row],[Evento / Mercado]],FIND("vs",base[[#This Row],[Evento / Mercado]])-2)</f>
        <v>SC União Torreense</v>
      </c>
      <c r="R394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Vizela</v>
      </c>
      <c r="S3948" s="1395" t="str">
        <f>LEFT(base[[#This Row],[Evento / Mercado]],FIND("/",base[[#This Row],[Evento / Mercado]])-2)</f>
        <v>SC União Torreense vs Vizela</v>
      </c>
      <c r="T3948" s="1396">
        <f>base[[#This Row],[Data de liquidação]]</f>
        <v>46263.734375</v>
      </c>
    </row>
    <row r="3949" spans="2:20" ht="15" customHeight="1">
      <c r="B3949" s="1398" t="s">
        <v>4666</v>
      </c>
      <c r="C3949" s="859" t="s">
        <v>3512</v>
      </c>
      <c r="D3949" s="1399">
        <v>46263.849641203706</v>
      </c>
      <c r="E3949" s="1400">
        <v>31.67</v>
      </c>
      <c r="F3949" s="583">
        <v>4.4999999999999998E-2</v>
      </c>
      <c r="G3949" s="1401">
        <f t="shared" ref="G3949:G3984" si="157">IF(E3949&gt;0,E3949/(1-F3949),E3949)</f>
        <v>33.162303664921467</v>
      </c>
      <c r="H3949" s="1434" t="s">
        <v>4685</v>
      </c>
      <c r="I3949" s="1402" t="s">
        <v>626</v>
      </c>
      <c r="J3949" s="1401">
        <f>(12.5*300.04+15*98.97)/base[[#This Row],[Stake/Responsabilidade]]</f>
        <v>13.120097240670662</v>
      </c>
      <c r="K3949" s="1401">
        <f>300.04+98.97</f>
        <v>399.01</v>
      </c>
      <c r="L3949" s="1399">
        <f>INT(base[[#This Row],[Data de liquidação]])</f>
        <v>46263</v>
      </c>
      <c r="M3949" s="1401">
        <f>base[[#This Row],[L/P Bruto]]-base[[#This Row],[L/P Líquido]]</f>
        <v>1.4923036649214652</v>
      </c>
      <c r="N3949" s="1401">
        <f>base[[#This Row],[L/P Líquido]]/base[[#This Row],[Stake/Responsabilidade]]</f>
        <v>7.9371444324703652E-2</v>
      </c>
      <c r="O3949" s="1403">
        <f>IF(base[[#This Row],[L/P Líquido]]&gt;0,1,0)</f>
        <v>1</v>
      </c>
      <c r="P3949" s="1403"/>
      <c r="Q3949" s="1403" t="str">
        <f>LEFT(base[[#This Row],[Evento / Mercado]],FIND("vs",base[[#This Row],[Evento / Mercado]])-2)</f>
        <v>Atlético Mineiro</v>
      </c>
      <c r="R394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949" s="1403" t="str">
        <f>LEFT(base[[#This Row],[Evento / Mercado]],FIND("/",base[[#This Row],[Evento / Mercado]])-2)</f>
        <v>Atlético Mineiro vs EC Vitória</v>
      </c>
      <c r="T3949" s="1404">
        <f>base[[#This Row],[Data de liquidação]]</f>
        <v>46263.849641203706</v>
      </c>
    </row>
    <row r="3950" spans="2:20" ht="15" customHeight="1">
      <c r="B3950" s="1398" t="s">
        <v>4665</v>
      </c>
      <c r="C3950" s="859" t="s">
        <v>3512</v>
      </c>
      <c r="D3950" s="1399">
        <v>46263.940324074072</v>
      </c>
      <c r="E3950" s="1400">
        <v>7.59</v>
      </c>
      <c r="F3950" s="583">
        <v>4.4999999999999998E-2</v>
      </c>
      <c r="G3950" s="1401">
        <f t="shared" si="157"/>
        <v>7.9476439790575917</v>
      </c>
      <c r="H3950" s="1365" t="s">
        <v>1646</v>
      </c>
      <c r="I3950" s="1433" t="s">
        <v>4684</v>
      </c>
      <c r="J3950" s="1401">
        <v>9.8000000000000007</v>
      </c>
      <c r="K3950" s="1401">
        <v>69.959999999999994</v>
      </c>
      <c r="L3950" s="1399">
        <f>INT(base[[#This Row],[Data de liquidação]])</f>
        <v>46263</v>
      </c>
      <c r="M3950" s="1401">
        <f>base[[#This Row],[L/P Bruto]]-base[[#This Row],[L/P Líquido]]</f>
        <v>0.35764397905759182</v>
      </c>
      <c r="N3950" s="1401">
        <f>base[[#This Row],[L/P Líquido]]/base[[#This Row],[Stake/Responsabilidade]]</f>
        <v>0.10849056603773585</v>
      </c>
      <c r="O3950" s="1403">
        <f>IF(base[[#This Row],[L/P Líquido]]&gt;0,1,0)</f>
        <v>1</v>
      </c>
      <c r="P3950" s="1403"/>
      <c r="Q3950" s="1403" t="str">
        <f>LEFT(base[[#This Row],[Evento / Mercado]],FIND("vs",base[[#This Row],[Evento / Mercado]])-2)</f>
        <v>DC United</v>
      </c>
      <c r="R395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950" s="1403" t="str">
        <f>LEFT(base[[#This Row],[Evento / Mercado]],FIND("/",base[[#This Row],[Evento / Mercado]])-2)</f>
        <v>DC United vs Los Angeles FC</v>
      </c>
      <c r="T3950" s="1404">
        <f>base[[#This Row],[Data de liquidação]]</f>
        <v>46263.940324074072</v>
      </c>
    </row>
    <row r="3951" spans="2:20" ht="15" customHeight="1">
      <c r="B3951" s="1398" t="s">
        <v>4664</v>
      </c>
      <c r="C3951" s="859" t="s">
        <v>3512</v>
      </c>
      <c r="D3951" s="1399">
        <v>46263.942754629628</v>
      </c>
      <c r="E3951" s="1400">
        <v>7.24</v>
      </c>
      <c r="F3951" s="583">
        <v>4.4999999999999998E-2</v>
      </c>
      <c r="G3951" s="1401">
        <f t="shared" si="157"/>
        <v>7.5811518324607334</v>
      </c>
      <c r="H3951" s="1401" t="s">
        <v>3294</v>
      </c>
      <c r="I3951" s="1402" t="s">
        <v>626</v>
      </c>
      <c r="J3951" s="1401">
        <v>60</v>
      </c>
      <c r="K3951" s="1401">
        <v>447.22</v>
      </c>
      <c r="L3951" s="1399">
        <f>INT(base[[#This Row],[Data de liquidação]])</f>
        <v>46263</v>
      </c>
      <c r="M3951" s="1401">
        <f>base[[#This Row],[L/P Bruto]]-base[[#This Row],[L/P Líquido]]</f>
        <v>0.34115183246073322</v>
      </c>
      <c r="N3951" s="1401">
        <f>base[[#This Row],[L/P Líquido]]/base[[#This Row],[Stake/Responsabilidade]]</f>
        <v>1.6188900317517105E-2</v>
      </c>
      <c r="O3951" s="1403">
        <f>IF(base[[#This Row],[L/P Líquido]]&gt;0,1,0)</f>
        <v>1</v>
      </c>
      <c r="P3951" s="1403"/>
      <c r="Q3951" s="1403" t="str">
        <f>LEFT(base[[#This Row],[Evento / Mercado]],FIND("vs",base[[#This Row],[Evento / Mercado]])-2)</f>
        <v>Inter Miami CF</v>
      </c>
      <c r="R395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951" s="1403" t="str">
        <f>LEFT(base[[#This Row],[Evento / Mercado]],FIND("/",base[[#This Row],[Evento / Mercado]])-2)</f>
        <v>Inter Miami CF vs CF Montreal</v>
      </c>
      <c r="T3951" s="1404">
        <f>base[[#This Row],[Data de liquidação]]</f>
        <v>46263.942754629628</v>
      </c>
    </row>
    <row r="3952" spans="2:20" ht="15" customHeight="1">
      <c r="B3952" s="1398" t="s">
        <v>4663</v>
      </c>
      <c r="C3952" s="859" t="s">
        <v>3512</v>
      </c>
      <c r="D3952" s="1399">
        <v>46263.97824074074</v>
      </c>
      <c r="E3952" s="1400">
        <v>-277.29000000000002</v>
      </c>
      <c r="F3952" s="583">
        <v>4.4999999999999998E-2</v>
      </c>
      <c r="G3952" s="1401">
        <f t="shared" si="157"/>
        <v>-277.29000000000002</v>
      </c>
      <c r="H3952" s="1401" t="s">
        <v>4317</v>
      </c>
      <c r="I3952" s="1402"/>
      <c r="J3952" s="1401">
        <v>14</v>
      </c>
      <c r="K3952" s="1401">
        <v>277.29000000000002</v>
      </c>
      <c r="L3952" s="1399">
        <f>INT(base[[#This Row],[Data de liquidação]])</f>
        <v>46263</v>
      </c>
      <c r="M3952" s="1401">
        <f>base[[#This Row],[L/P Bruto]]-base[[#This Row],[L/P Líquido]]</f>
        <v>0</v>
      </c>
      <c r="N3952" s="1401">
        <f>base[[#This Row],[L/P Líquido]]/base[[#This Row],[Stake/Responsabilidade]]</f>
        <v>-1</v>
      </c>
      <c r="O3952" s="1403">
        <f>IF(base[[#This Row],[L/P Líquido]]&gt;0,1,0)</f>
        <v>0</v>
      </c>
      <c r="P3952" s="1403"/>
      <c r="Q3952" s="1403" t="str">
        <f>LEFT(base[[#This Row],[Evento / Mercado]],FIND("vs",base[[#This Row],[Evento / Mercado]])-2)</f>
        <v>Alianza Lima</v>
      </c>
      <c r="R395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2" s="1403" t="str">
        <f>LEFT(base[[#This Row],[Evento / Mercado]],FIND("/",base[[#This Row],[Evento / Mercado]])-2)</f>
        <v>Alianza Lima vs Deportivo Garcilaso</v>
      </c>
      <c r="T3952" s="1404">
        <f>base[[#This Row],[Data de liquidação]]</f>
        <v>46263.97824074074</v>
      </c>
    </row>
    <row r="3953" spans="2:22" ht="15" customHeight="1">
      <c r="B3953" s="1398" t="s">
        <v>4662</v>
      </c>
      <c r="C3953" s="859" t="s">
        <v>3512</v>
      </c>
      <c r="D3953" s="1399">
        <v>46263.978275462963</v>
      </c>
      <c r="E3953" s="1400">
        <v>-2</v>
      </c>
      <c r="F3953" s="583">
        <v>4.4999999999999998E-2</v>
      </c>
      <c r="G3953" s="1401">
        <f t="shared" si="157"/>
        <v>-2</v>
      </c>
      <c r="H3953" s="1365" t="s">
        <v>1646</v>
      </c>
      <c r="I3953" s="1387" t="s">
        <v>3293</v>
      </c>
      <c r="J3953" s="1401">
        <v>1.62</v>
      </c>
      <c r="K3953" s="1401">
        <v>2</v>
      </c>
      <c r="L3953" s="1399">
        <f>INT(base[[#This Row],[Data de liquidação]])</f>
        <v>46263</v>
      </c>
      <c r="M3953" s="1401">
        <f>base[[#This Row],[L/P Bruto]]-base[[#This Row],[L/P Líquido]]</f>
        <v>0</v>
      </c>
      <c r="N3953" s="1401">
        <f>base[[#This Row],[L/P Líquido]]/base[[#This Row],[Stake/Responsabilidade]]</f>
        <v>-1</v>
      </c>
      <c r="O3953" s="1403">
        <f>IF(base[[#This Row],[L/P Líquido]]&gt;0,1,0)</f>
        <v>0</v>
      </c>
      <c r="P3953" s="1403"/>
      <c r="Q3953" s="1403" t="str">
        <f>LEFT(base[[#This Row],[Evento / Mercado]],FIND("vs",base[[#This Row],[Evento / Mercado]])-2)</f>
        <v>Alianza Lima</v>
      </c>
      <c r="R395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3" s="1403" t="str">
        <f>LEFT(base[[#This Row],[Evento / Mercado]],FIND("/",base[[#This Row],[Evento / Mercado]])-2)</f>
        <v>Alianza Lima vs Deportivo Garcilaso</v>
      </c>
      <c r="T3953" s="1404">
        <f>base[[#This Row],[Data de liquidação]]</f>
        <v>46263.978275462963</v>
      </c>
    </row>
    <row r="3954" spans="2:22" ht="15" customHeight="1">
      <c r="B3954" s="1398" t="s">
        <v>4661</v>
      </c>
      <c r="C3954" s="859" t="s">
        <v>3512</v>
      </c>
      <c r="D3954" s="1399">
        <v>46263.98605324074</v>
      </c>
      <c r="E3954" s="1400">
        <v>46.4</v>
      </c>
      <c r="F3954" s="583">
        <v>4.4999999999999998E-2</v>
      </c>
      <c r="G3954" s="1401">
        <f t="shared" si="157"/>
        <v>48.586387434554972</v>
      </c>
      <c r="H3954" s="1434" t="s">
        <v>4685</v>
      </c>
      <c r="I3954" s="1402" t="s">
        <v>626</v>
      </c>
      <c r="J3954" s="1401">
        <f>(9.8*29.3+9.82*399.14)/base[[#This Row],[Stake/Responsabilidade]]</f>
        <v>9.8186322472224816</v>
      </c>
      <c r="K3954" s="1401">
        <f>399.14+29.3</f>
        <v>428.44</v>
      </c>
      <c r="L3954" s="1399">
        <f>INT(base[[#This Row],[Data de liquidação]])</f>
        <v>46263</v>
      </c>
      <c r="M3954" s="1401">
        <f>base[[#This Row],[L/P Bruto]]-base[[#This Row],[L/P Líquido]]</f>
        <v>2.1863874345549732</v>
      </c>
      <c r="N3954" s="1401">
        <f>base[[#This Row],[L/P Líquido]]/base[[#This Row],[Stake/Responsabilidade]]</f>
        <v>0.10829987862944636</v>
      </c>
      <c r="O3954" s="1403">
        <f>IF(base[[#This Row],[L/P Líquido]]&gt;0,1,0)</f>
        <v>1</v>
      </c>
      <c r="P3954" s="1403"/>
      <c r="Q3954" s="1403" t="str">
        <f>LEFT(base[[#This Row],[Evento / Mercado]],FIND("vs",base[[#This Row],[Evento / Mercado]])-2)</f>
        <v>Houston Dynamo</v>
      </c>
      <c r="R395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3954" s="1403" t="str">
        <f>LEFT(base[[#This Row],[Evento / Mercado]],FIND("/",base[[#This Row],[Evento / Mercado]])-2)</f>
        <v>Houston Dynamo vs San Jose Earthquakes</v>
      </c>
      <c r="T3954" s="1404">
        <f>base[[#This Row],[Data de liquidação]]</f>
        <v>46263.98605324074</v>
      </c>
    </row>
    <row r="3955" spans="2:22" ht="15" customHeight="1">
      <c r="B3955" s="1398" t="s">
        <v>4660</v>
      </c>
      <c r="C3955" s="859" t="s">
        <v>3512</v>
      </c>
      <c r="D3955" s="1399">
        <v>46263.986226851855</v>
      </c>
      <c r="E3955" s="1400">
        <v>31.59</v>
      </c>
      <c r="F3955" s="583">
        <v>4.4999999999999998E-2</v>
      </c>
      <c r="G3955" s="1401">
        <f t="shared" si="157"/>
        <v>33.078534031413611</v>
      </c>
      <c r="H3955" s="1434" t="s">
        <v>4685</v>
      </c>
      <c r="I3955" s="1402" t="s">
        <v>626</v>
      </c>
      <c r="J3955" s="1401">
        <v>14</v>
      </c>
      <c r="K3955" s="1401">
        <v>430.04</v>
      </c>
      <c r="L3955" s="1399">
        <f>INT(base[[#This Row],[Data de liquidação]])</f>
        <v>46263</v>
      </c>
      <c r="M3955" s="1401">
        <f>base[[#This Row],[L/P Bruto]]-base[[#This Row],[L/P Líquido]]</f>
        <v>1.4885340314136108</v>
      </c>
      <c r="N3955" s="1401">
        <f>base[[#This Row],[L/P Líquido]]/base[[#This Row],[Stake/Responsabilidade]]</f>
        <v>7.3458282950423212E-2</v>
      </c>
      <c r="O3955" s="1403">
        <f>IF(base[[#This Row],[L/P Líquido]]&gt;0,1,0)</f>
        <v>1</v>
      </c>
      <c r="P3955" s="1403"/>
      <c r="Q3955" s="1403" t="str">
        <f>LEFT(base[[#This Row],[Evento / Mercado]],FIND("vs",base[[#This Row],[Evento / Mercado]])-2)</f>
        <v>Nashville Soccer Club</v>
      </c>
      <c r="R395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3955" s="1403" t="str">
        <f>LEFT(base[[#This Row],[Evento / Mercado]],FIND("/",base[[#This Row],[Evento / Mercado]])-2)</f>
        <v>Nashville Soccer Club vs FC Cincinnati</v>
      </c>
      <c r="T3955" s="1404">
        <f>base[[#This Row],[Data de liquidação]]</f>
        <v>46263.986226851855</v>
      </c>
    </row>
    <row r="3956" spans="2:22" ht="15" customHeight="1">
      <c r="B3956" s="1398" t="s">
        <v>4659</v>
      </c>
      <c r="C3956" s="859" t="s">
        <v>3512</v>
      </c>
      <c r="D3956" s="1399">
        <v>46264.067847222221</v>
      </c>
      <c r="E3956" s="1400">
        <v>16.05</v>
      </c>
      <c r="F3956" s="583">
        <v>4.4999999999999998E-2</v>
      </c>
      <c r="G3956" s="1401">
        <f t="shared" si="157"/>
        <v>16.806282722513089</v>
      </c>
      <c r="H3956" s="1401" t="s">
        <v>3294</v>
      </c>
      <c r="I3956" s="1402" t="s">
        <v>626</v>
      </c>
      <c r="J3956" s="1401">
        <v>28</v>
      </c>
      <c r="K3956" s="1401">
        <v>453.87</v>
      </c>
      <c r="L3956" s="1399">
        <f>INT(base[[#This Row],[Data de liquidação]])</f>
        <v>46264</v>
      </c>
      <c r="M3956" s="1401">
        <f>base[[#This Row],[L/P Bruto]]-base[[#This Row],[L/P Líquido]]</f>
        <v>0.75628272251308815</v>
      </c>
      <c r="N3956" s="1401">
        <f>base[[#This Row],[L/P Líquido]]/base[[#This Row],[Stake/Responsabilidade]]</f>
        <v>3.5362548747438695E-2</v>
      </c>
      <c r="O3956" s="1403">
        <f>IF(base[[#This Row],[L/P Líquido]]&gt;0,1,0)</f>
        <v>1</v>
      </c>
      <c r="P3956" s="1403"/>
      <c r="Q3956" s="1403" t="str">
        <f>LEFT(base[[#This Row],[Evento / Mercado]],FIND("vs",base[[#This Row],[Evento / Mercado]])-2)</f>
        <v>San Diego FC</v>
      </c>
      <c r="R395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956" s="1403" t="str">
        <f>LEFT(base[[#This Row],[Evento / Mercado]],FIND("/",base[[#This Row],[Evento / Mercado]])-2)</f>
        <v>San Diego FC vs Los Angeles Galaxy</v>
      </c>
      <c r="T3956" s="1404">
        <f>base[[#This Row],[Data de liquidação]]</f>
        <v>46264.067847222221</v>
      </c>
    </row>
    <row r="3957" spans="2:22" ht="15" customHeight="1">
      <c r="B3957" s="1398" t="s">
        <v>4658</v>
      </c>
      <c r="C3957" s="859" t="s">
        <v>3512</v>
      </c>
      <c r="D3957" s="1399">
        <v>46264.411481481482</v>
      </c>
      <c r="E3957" s="1400">
        <v>7.59</v>
      </c>
      <c r="F3957" s="583">
        <v>4.4999999999999998E-2</v>
      </c>
      <c r="G3957" s="1401">
        <f t="shared" si="157"/>
        <v>7.9476439790575917</v>
      </c>
      <c r="H3957" s="1365" t="s">
        <v>1646</v>
      </c>
      <c r="I3957" s="1433" t="s">
        <v>4684</v>
      </c>
      <c r="J3957" s="1401">
        <v>9.8000000000000007</v>
      </c>
      <c r="K3957" s="1401">
        <v>69.959999999999994</v>
      </c>
      <c r="L3957" s="1399">
        <f>INT(base[[#This Row],[Data de liquidação]])</f>
        <v>46264</v>
      </c>
      <c r="M3957" s="1401">
        <f>base[[#This Row],[L/P Bruto]]-base[[#This Row],[L/P Líquido]]</f>
        <v>0.35764397905759182</v>
      </c>
      <c r="N3957" s="1401">
        <f>base[[#This Row],[L/P Líquido]]/base[[#This Row],[Stake/Responsabilidade]]</f>
        <v>0.10849056603773585</v>
      </c>
      <c r="O3957" s="1403">
        <f>IF(base[[#This Row],[L/P Líquido]]&gt;0,1,0)</f>
        <v>1</v>
      </c>
      <c r="P3957" s="1403"/>
      <c r="Q3957" s="1403" t="str">
        <f>LEFT(base[[#This Row],[Evento / Mercado]],FIND("vs",base[[#This Row],[Evento / Mercado]])-2)</f>
        <v>Aberdeen</v>
      </c>
      <c r="R395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957" s="1403" t="str">
        <f>LEFT(base[[#This Row],[Evento / Mercado]],FIND("/",base[[#This Row],[Evento / Mercado]])-2)</f>
        <v>Aberdeen vs Rangers</v>
      </c>
      <c r="T3957" s="1404">
        <f>base[[#This Row],[Data de liquidação]]</f>
        <v>46264.411481481482</v>
      </c>
    </row>
    <row r="3958" spans="2:22" ht="15" customHeight="1">
      <c r="B3958" s="1398" t="s">
        <v>4657</v>
      </c>
      <c r="C3958" s="859" t="s">
        <v>3512</v>
      </c>
      <c r="D3958" s="1399">
        <v>46264.432916666665</v>
      </c>
      <c r="E3958" s="1400">
        <v>36.82</v>
      </c>
      <c r="F3958" s="583">
        <v>4.4999999999999998E-2</v>
      </c>
      <c r="G3958" s="1401">
        <f t="shared" si="157"/>
        <v>38.554973821989527</v>
      </c>
      <c r="H3958" s="1434" t="s">
        <v>4685</v>
      </c>
      <c r="I3958" s="1402" t="s">
        <v>693</v>
      </c>
      <c r="J3958" s="1401">
        <f>(14*(390+30.03)+17*100)/base[[#This Row],[Stake/Responsabilidade]]</f>
        <v>14.576889794819531</v>
      </c>
      <c r="K3958" s="1401">
        <f>390+100+30.03</f>
        <v>520.03</v>
      </c>
      <c r="L3958" s="1399">
        <f>INT(base[[#This Row],[Data de liquidação]])</f>
        <v>46264</v>
      </c>
      <c r="M3958" s="1401">
        <f>base[[#This Row],[L/P Bruto]]-base[[#This Row],[L/P Líquido]]</f>
        <v>1.7349738219895272</v>
      </c>
      <c r="N3958" s="1401">
        <f>base[[#This Row],[L/P Líquido]]/base[[#This Row],[Stake/Responsabilidade]]</f>
        <v>7.0803607484183614E-2</v>
      </c>
      <c r="O3958" s="1403">
        <f>IF(base[[#This Row],[L/P Líquido]]&gt;0,1,0)</f>
        <v>1</v>
      </c>
      <c r="P3958" s="1403"/>
      <c r="Q3958" s="1403" t="str">
        <f>LEFT(base[[#This Row],[Evento / Mercado]],FIND("vs",base[[#This Row],[Evento / Mercado]])-2)</f>
        <v>KAA Gent</v>
      </c>
      <c r="R395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3958" s="1403" t="str">
        <f>LEFT(base[[#This Row],[Evento / Mercado]],FIND("/",base[[#This Row],[Evento / Mercado]])-2)</f>
        <v>KAA Gent vs Club Brugge</v>
      </c>
      <c r="T3958" s="1404">
        <f>base[[#This Row],[Data de liquidação]]</f>
        <v>46264.432916666665</v>
      </c>
    </row>
    <row r="3959" spans="2:22" ht="15" customHeight="1">
      <c r="B3959" s="1398" t="s">
        <v>4656</v>
      </c>
      <c r="C3959" s="859" t="s">
        <v>3512</v>
      </c>
      <c r="D3959" s="1399">
        <v>46264.442511574074</v>
      </c>
      <c r="E3959" s="1400">
        <v>0.93</v>
      </c>
      <c r="F3959" s="583">
        <v>4.4999999999999998E-2</v>
      </c>
      <c r="G3959" s="1401">
        <f t="shared" si="157"/>
        <v>0.97382198952879595</v>
      </c>
      <c r="H3959" s="1365" t="s">
        <v>1646</v>
      </c>
      <c r="I3959" s="1387" t="s">
        <v>3293</v>
      </c>
      <c r="J3959" s="1401">
        <v>1.49</v>
      </c>
      <c r="K3959" s="1401">
        <v>2</v>
      </c>
      <c r="L3959" s="1399">
        <f>INT(base[[#This Row],[Data de liquidação]])</f>
        <v>46264</v>
      </c>
      <c r="M3959" s="1401">
        <f>base[[#This Row],[L/P Bruto]]-base[[#This Row],[L/P Líquido]]</f>
        <v>4.3821989528795902E-2</v>
      </c>
      <c r="N3959" s="1401">
        <f>base[[#This Row],[L/P Líquido]]/base[[#This Row],[Stake/Responsabilidade]]</f>
        <v>0.46500000000000002</v>
      </c>
      <c r="O3959" s="1403">
        <f>IF(base[[#This Row],[L/P Líquido]]&gt;0,1,0)</f>
        <v>1</v>
      </c>
      <c r="P3959" s="1403"/>
      <c r="Q3959" s="1403" t="str">
        <f>LEFT(base[[#This Row],[Evento / Mercado]],FIND("vs",base[[#This Row],[Evento / Mercado]])-2)</f>
        <v>FC Sion</v>
      </c>
      <c r="R395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959" s="1403" t="str">
        <f>LEFT(base[[#This Row],[Evento / Mercado]],FIND("/",base[[#This Row],[Evento / Mercado]])-2)</f>
        <v>FC Sion vs FC Lugano</v>
      </c>
      <c r="T3959" s="1404">
        <f>base[[#This Row],[Data de liquidação]]</f>
        <v>46264.442511574074</v>
      </c>
    </row>
    <row r="3960" spans="2:22" ht="15" customHeight="1">
      <c r="B3960" s="1398" t="s">
        <v>4655</v>
      </c>
      <c r="C3960" s="859" t="s">
        <v>3512</v>
      </c>
      <c r="D3960" s="1399">
        <v>46264.451284722221</v>
      </c>
      <c r="E3960" s="1400">
        <v>8.36</v>
      </c>
      <c r="F3960" s="583">
        <v>4.4999999999999998E-2</v>
      </c>
      <c r="G3960" s="1401">
        <f t="shared" si="157"/>
        <v>8.7539267015706805</v>
      </c>
      <c r="H3960" s="1365" t="s">
        <v>1646</v>
      </c>
      <c r="I3960" s="1433" t="s">
        <v>4684</v>
      </c>
      <c r="J3960" s="1401">
        <v>9.1999999999999993</v>
      </c>
      <c r="K3960" s="1401">
        <v>71.75</v>
      </c>
      <c r="L3960" s="1399">
        <f>INT(base[[#This Row],[Data de liquidação]])</f>
        <v>46264</v>
      </c>
      <c r="M3960" s="1401">
        <f>base[[#This Row],[L/P Bruto]]-base[[#This Row],[L/P Líquido]]</f>
        <v>0.3939267015706811</v>
      </c>
      <c r="N3960" s="1401">
        <f>base[[#This Row],[L/P Líquido]]/base[[#This Row],[Stake/Responsabilidade]]</f>
        <v>0.11651567944250871</v>
      </c>
      <c r="O3960" s="1403">
        <f>IF(base[[#This Row],[L/P Líquido]]&gt;0,1,0)</f>
        <v>1</v>
      </c>
      <c r="P3960" s="1403"/>
      <c r="Q3960" s="1403" t="str">
        <f>LEFT(base[[#This Row],[Evento / Mercado]],FIND("vs",base[[#This Row],[Evento / Mercado]])-2)</f>
        <v>Aarhus Fremad</v>
      </c>
      <c r="R396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3960" s="1403" t="str">
        <f>LEFT(base[[#This Row],[Evento / Mercado]],FIND("/",base[[#This Row],[Evento / Mercado]])-2)</f>
        <v>Aarhus Fremad vs Vejle BK</v>
      </c>
      <c r="T3960" s="1404">
        <f>base[[#This Row],[Data de liquidação]]</f>
        <v>46264.451284722221</v>
      </c>
    </row>
    <row r="3961" spans="2:22" ht="15" customHeight="1">
      <c r="B3961" s="1398" t="s">
        <v>4654</v>
      </c>
      <c r="C3961" s="859" t="s">
        <v>3512</v>
      </c>
      <c r="D3961" s="1399">
        <v>46264.453715277778</v>
      </c>
      <c r="E3961" s="1400">
        <v>0.41</v>
      </c>
      <c r="F3961" s="583">
        <v>4.4999999999999998E-2</v>
      </c>
      <c r="G3961" s="1401">
        <f t="shared" si="157"/>
        <v>0.4293193717277487</v>
      </c>
      <c r="H3961" s="1365" t="s">
        <v>1646</v>
      </c>
      <c r="I3961" s="1387" t="s">
        <v>3293</v>
      </c>
      <c r="J3961" s="1401">
        <v>1.21</v>
      </c>
      <c r="K3961" s="1401">
        <v>2</v>
      </c>
      <c r="L3961" s="1399">
        <f>INT(base[[#This Row],[Data de liquidação]])</f>
        <v>46264</v>
      </c>
      <c r="M3961" s="1401">
        <f>base[[#This Row],[L/P Bruto]]-base[[#This Row],[L/P Líquido]]</f>
        <v>1.9319371727748724E-2</v>
      </c>
      <c r="N3961" s="1401">
        <f>base[[#This Row],[L/P Líquido]]/base[[#This Row],[Stake/Responsabilidade]]</f>
        <v>0.20499999999999999</v>
      </c>
      <c r="O3961" s="1403">
        <f>IF(base[[#This Row],[L/P Líquido]]&gt;0,1,0)</f>
        <v>1</v>
      </c>
      <c r="P3961" s="1403"/>
      <c r="Q3961" s="1403" t="str">
        <f>LEFT(base[[#This Row],[Evento / Mercado]],FIND("vs",base[[#This Row],[Evento / Mercado]])-2)</f>
        <v>Feyenoord</v>
      </c>
      <c r="R396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1" s="1403" t="str">
        <f>LEFT(base[[#This Row],[Evento / Mercado]],FIND("/",base[[#This Row],[Evento / Mercado]])-2)</f>
        <v>Feyenoord vs ADO Den Haag</v>
      </c>
      <c r="T3961" s="1404">
        <f>base[[#This Row],[Data de liquidação]]</f>
        <v>46264.453715277778</v>
      </c>
    </row>
    <row r="3962" spans="2:22" ht="15" customHeight="1">
      <c r="B3962" s="1398" t="s">
        <v>4653</v>
      </c>
      <c r="C3962" s="859" t="s">
        <v>3512</v>
      </c>
      <c r="D3962" s="1399">
        <v>46264.474699074075</v>
      </c>
      <c r="E3962" s="1400">
        <v>9.16</v>
      </c>
      <c r="F3962" s="583">
        <v>4.4999999999999998E-2</v>
      </c>
      <c r="G3962" s="1401">
        <f t="shared" si="157"/>
        <v>9.5916230366492155</v>
      </c>
      <c r="H3962" s="1401" t="s">
        <v>3294</v>
      </c>
      <c r="I3962" s="1402" t="s">
        <v>626</v>
      </c>
      <c r="J3962" s="1401">
        <v>50</v>
      </c>
      <c r="K3962" s="1401">
        <v>469.91</v>
      </c>
      <c r="L3962" s="1399">
        <f>INT(base[[#This Row],[Data de liquidação]])</f>
        <v>46264</v>
      </c>
      <c r="M3962" s="1401">
        <f>base[[#This Row],[L/P Bruto]]-base[[#This Row],[L/P Líquido]]</f>
        <v>0.43162303664921531</v>
      </c>
      <c r="N3962" s="1401">
        <f>base[[#This Row],[L/P Líquido]]/base[[#This Row],[Stake/Responsabilidade]]</f>
        <v>1.9493094422336193E-2</v>
      </c>
      <c r="O3962" s="1403">
        <f>IF(base[[#This Row],[L/P Líquido]]&gt;0,1,0)</f>
        <v>1</v>
      </c>
      <c r="P3962" s="1403"/>
      <c r="Q3962" s="1403" t="str">
        <f>LEFT(base[[#This Row],[Evento / Mercado]],FIND("vs",base[[#This Row],[Evento / Mercado]])-2)</f>
        <v>Bodø/Glimt</v>
      </c>
      <c r="R3962" s="140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962" s="1403" t="str">
        <f>LEFT(base[[#This Row],[Evento / Mercado]],FIND("/",base[[#This Row],[Evento / Mercado]])-2)</f>
        <v>Bod</v>
      </c>
      <c r="T3962" s="1404">
        <f>base[[#This Row],[Data de liquidação]]</f>
        <v>46264.474699074075</v>
      </c>
    </row>
    <row r="3963" spans="2:22" ht="15" customHeight="1">
      <c r="B3963" s="1398" t="s">
        <v>4652</v>
      </c>
      <c r="C3963" s="859" t="s">
        <v>3512</v>
      </c>
      <c r="D3963" s="1399">
        <v>46264.475810185184</v>
      </c>
      <c r="E3963" s="1400">
        <v>27.02</v>
      </c>
      <c r="F3963" s="583">
        <v>4.4999999999999998E-2</v>
      </c>
      <c r="G3963" s="1401">
        <f t="shared" si="157"/>
        <v>28.293193717277486</v>
      </c>
      <c r="H3963" s="1401" t="s">
        <v>3367</v>
      </c>
      <c r="I3963" s="1402" t="s">
        <v>391</v>
      </c>
      <c r="J3963" s="1401">
        <v>18.5</v>
      </c>
      <c r="K3963" s="1401">
        <v>495.08</v>
      </c>
      <c r="L3963" s="1399">
        <f>INT(base[[#This Row],[Data de liquidação]])</f>
        <v>46264</v>
      </c>
      <c r="M3963" s="1401">
        <f>base[[#This Row],[L/P Bruto]]-base[[#This Row],[L/P Líquido]]</f>
        <v>1.2731937172774863</v>
      </c>
      <c r="N3963" s="1401">
        <f>base[[#This Row],[L/P Líquido]]/base[[#This Row],[Stake/Responsabilidade]]</f>
        <v>5.4577038054455844E-2</v>
      </c>
      <c r="O3963" s="1403">
        <f>IF(base[[#This Row],[L/P Líquido]]&gt;0,1,0)</f>
        <v>1</v>
      </c>
      <c r="P3963" s="1403" t="s">
        <v>1204</v>
      </c>
      <c r="Q3963" s="1403" t="str">
        <f>LEFT(base[[#This Row],[Evento / Mercado]],FIND("vs",base[[#This Row],[Evento / Mercado]])-2)</f>
        <v>Feyenoord</v>
      </c>
      <c r="R396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3" s="1403" t="str">
        <f>LEFT(base[[#This Row],[Evento / Mercado]],FIND("/",base[[#This Row],[Evento / Mercado]])-2)</f>
        <v>Feyenoord vs ADO Den Haag</v>
      </c>
      <c r="T3963" s="1404">
        <f>base[[#This Row],[Data de liquidação]]</f>
        <v>46264.475810185184</v>
      </c>
    </row>
    <row r="3964" spans="2:22" ht="15" customHeight="1">
      <c r="B3964" s="1398" t="s">
        <v>4651</v>
      </c>
      <c r="C3964" s="859" t="s">
        <v>3512</v>
      </c>
      <c r="D3964" s="1399">
        <v>46264.475902777776</v>
      </c>
      <c r="E3964" s="1400">
        <v>19.49155</v>
      </c>
      <c r="F3964" s="583">
        <v>4.4999999999999998E-2</v>
      </c>
      <c r="G3964" s="1401">
        <f t="shared" si="157"/>
        <v>20.41</v>
      </c>
      <c r="H3964" s="1434" t="s">
        <v>4685</v>
      </c>
      <c r="I3964" s="1402" t="s">
        <v>693</v>
      </c>
      <c r="J3964" s="1401">
        <f>(15.5*100.05+8.4*99.97)/base[[#This Row],[Stake/Responsabilidade]]</f>
        <v>11.954408161224185</v>
      </c>
      <c r="K3964" s="1401">
        <v>199.97</v>
      </c>
      <c r="L3964" s="1399">
        <f>INT(base[[#This Row],[Data de liquidação]])</f>
        <v>46264</v>
      </c>
      <c r="M3964" s="1401">
        <f>base[[#This Row],[L/P Bruto]]-base[[#This Row],[L/P Líquido]]</f>
        <v>0.91844999999999999</v>
      </c>
      <c r="N3964" s="1401">
        <f>base[[#This Row],[L/P Líquido]]/base[[#This Row],[Stake/Responsabilidade]]</f>
        <v>9.7472370855628349E-2</v>
      </c>
      <c r="O3964" s="1403">
        <f>IF(base[[#This Row],[L/P Líquido]]&gt;0,1,0)</f>
        <v>1</v>
      </c>
      <c r="P3964" s="1403"/>
      <c r="Q3964" s="1403" t="str">
        <f>LEFT(base[[#This Row],[Evento / Mercado]],FIND("vs",base[[#This Row],[Evento / Mercado]])-2)</f>
        <v>Willem II</v>
      </c>
      <c r="R396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4" s="1403" t="str">
        <f>LEFT(base[[#This Row],[Evento / Mercado]],FIND("/",base[[#This Row],[Evento / Mercado]])-2)</f>
        <v>Willem II vs Heerenveen</v>
      </c>
      <c r="T3964" s="1404">
        <f>base[[#This Row],[Data de liquidação]]</f>
        <v>46264.475902777776</v>
      </c>
      <c r="U3964" s="9">
        <f>(6.9+13.51)</f>
        <v>20.41</v>
      </c>
      <c r="V3964" s="11">
        <f t="shared" ref="V3964:V3965" si="158">U3964*0.955</f>
        <v>19.49155</v>
      </c>
    </row>
    <row r="3965" spans="2:22" ht="15" customHeight="1">
      <c r="B3965" s="1398" t="s">
        <v>4651</v>
      </c>
      <c r="C3965" s="859" t="s">
        <v>3512</v>
      </c>
      <c r="D3965" s="1399">
        <v>46264.475902777776</v>
      </c>
      <c r="E3965" s="1400">
        <v>8.3562499999999993</v>
      </c>
      <c r="F3965" s="583">
        <v>4.4999999999999998E-2</v>
      </c>
      <c r="G3965" s="1401">
        <f t="shared" ref="G3965" si="159">IF(E3965&gt;0,E3965/(1-F3965),E3965)</f>
        <v>8.75</v>
      </c>
      <c r="H3965" s="1365" t="s">
        <v>1646</v>
      </c>
      <c r="I3965" s="1433" t="s">
        <v>4684</v>
      </c>
      <c r="J3965" s="1401">
        <v>9</v>
      </c>
      <c r="K3965" s="1401">
        <v>70</v>
      </c>
      <c r="L3965" s="1399">
        <f>INT(base[[#This Row],[Data de liquidação]])</f>
        <v>46264</v>
      </c>
      <c r="M3965" s="1401">
        <f>base[[#This Row],[L/P Bruto]]-base[[#This Row],[L/P Líquido]]</f>
        <v>0.39375000000000071</v>
      </c>
      <c r="N3965" s="1401">
        <f>base[[#This Row],[L/P Líquido]]/base[[#This Row],[Stake/Responsabilidade]]</f>
        <v>0.119375</v>
      </c>
      <c r="O3965" s="1403">
        <f>IF(base[[#This Row],[L/P Líquido]]&gt;0,1,0)</f>
        <v>1</v>
      </c>
      <c r="P3965" s="1403"/>
      <c r="Q3965" s="1403" t="str">
        <f>LEFT(base[[#This Row],[Evento / Mercado]],FIND("vs",base[[#This Row],[Evento / Mercado]])-2)</f>
        <v>Willem II</v>
      </c>
      <c r="R396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5" s="1403" t="str">
        <f>LEFT(base[[#This Row],[Evento / Mercado]],FIND("/",base[[#This Row],[Evento / Mercado]])-2)</f>
        <v>Willem II vs Heerenveen</v>
      </c>
      <c r="T3965" s="1404">
        <f>base[[#This Row],[Data de liquidação]]</f>
        <v>46264.475902777776</v>
      </c>
      <c r="U3965" s="9">
        <v>8.75</v>
      </c>
      <c r="V3965" s="11">
        <f t="shared" si="158"/>
        <v>8.3562499999999993</v>
      </c>
    </row>
    <row r="3966" spans="2:22" ht="15" customHeight="1">
      <c r="B3966" s="1398" t="s">
        <v>4650</v>
      </c>
      <c r="C3966" s="859" t="s">
        <v>3512</v>
      </c>
      <c r="D3966" s="1399">
        <v>46264.485509259262</v>
      </c>
      <c r="E3966" s="1400">
        <v>114.6</v>
      </c>
      <c r="F3966" s="583">
        <v>4.4999999999999998E-2</v>
      </c>
      <c r="G3966" s="1401">
        <f t="shared" si="157"/>
        <v>120</v>
      </c>
      <c r="H3966" s="1401" t="s">
        <v>314</v>
      </c>
      <c r="I3966" s="1402" t="s">
        <v>349</v>
      </c>
      <c r="J3966" s="1401">
        <v>2</v>
      </c>
      <c r="K3966" s="1401">
        <v>120</v>
      </c>
      <c r="L3966" s="1399">
        <f>INT(base[[#This Row],[Data de liquidação]])</f>
        <v>46264</v>
      </c>
      <c r="M3966" s="1401">
        <f>base[[#This Row],[L/P Bruto]]-base[[#This Row],[L/P Líquido]]</f>
        <v>5.4000000000000057</v>
      </c>
      <c r="N3966" s="1401">
        <f>base[[#This Row],[L/P Líquido]]/base[[#This Row],[Stake/Responsabilidade]]</f>
        <v>0.95499999999999996</v>
      </c>
      <c r="O3966" s="1403">
        <f>IF(base[[#This Row],[L/P Líquido]]&gt;0,1,0)</f>
        <v>1</v>
      </c>
      <c r="P3966" s="1403"/>
      <c r="Q3966" s="1403" t="str">
        <f>LEFT(base[[#This Row],[Evento / Mercado]],FIND("vs",base[[#This Row],[Evento / Mercado]])-2)</f>
        <v>Athlético Paranaense</v>
      </c>
      <c r="R396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3966" s="1403" t="str">
        <f>LEFT(base[[#This Row],[Evento / Mercado]],FIND("/",base[[#This Row],[Evento / Mercado]])-2)</f>
        <v>Athlético Paranaense vs Fluminense FC</v>
      </c>
      <c r="T3966" s="1404">
        <f>base[[#This Row],[Data de liquidação]]</f>
        <v>46264.485509259262</v>
      </c>
    </row>
    <row r="3967" spans="2:22" ht="15" customHeight="1">
      <c r="B3967" s="1398" t="s">
        <v>4649</v>
      </c>
      <c r="C3967" s="859" t="s">
        <v>3512</v>
      </c>
      <c r="D3967" s="1399">
        <v>46264.526574074072</v>
      </c>
      <c r="E3967" s="1400">
        <v>0.6</v>
      </c>
      <c r="F3967" s="583">
        <v>4.4999999999999998E-2</v>
      </c>
      <c r="G3967" s="1401">
        <f t="shared" si="157"/>
        <v>0.62827225130890052</v>
      </c>
      <c r="H3967" s="1365" t="s">
        <v>1646</v>
      </c>
      <c r="I3967" s="1387" t="s">
        <v>3293</v>
      </c>
      <c r="J3967" s="1401">
        <v>1.31</v>
      </c>
      <c r="K3967" s="1401">
        <v>2</v>
      </c>
      <c r="L3967" s="1399">
        <f>INT(base[[#This Row],[Data de liquidação]])</f>
        <v>46264</v>
      </c>
      <c r="M3967" s="1401">
        <f>base[[#This Row],[L/P Bruto]]-base[[#This Row],[L/P Líquido]]</f>
        <v>2.8272251308900542E-2</v>
      </c>
      <c r="N3967" s="1401">
        <f>base[[#This Row],[L/P Líquido]]/base[[#This Row],[Stake/Responsabilidade]]</f>
        <v>0.3</v>
      </c>
      <c r="O3967" s="1403">
        <f>IF(base[[#This Row],[L/P Líquido]]&gt;0,1,0)</f>
        <v>1</v>
      </c>
      <c r="P3967" s="1403"/>
      <c r="Q3967" s="1403" t="str">
        <f>LEFT(base[[#This Row],[Evento / Mercado]],FIND("vs",base[[#This Row],[Evento / Mercado]])-2)</f>
        <v>FC St. Gallen</v>
      </c>
      <c r="R396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3967" s="1403" t="str">
        <f>LEFT(base[[#This Row],[Evento / Mercado]],FIND("/",base[[#This Row],[Evento / Mercado]])-2)</f>
        <v>FC St. Gallen vs FC Thun</v>
      </c>
      <c r="T3967" s="1404">
        <f>base[[#This Row],[Data de liquidação]]</f>
        <v>46264.526574074072</v>
      </c>
    </row>
    <row r="3968" spans="2:22" ht="15" customHeight="1">
      <c r="B3968" s="1398" t="s">
        <v>4648</v>
      </c>
      <c r="C3968" s="859" t="s">
        <v>3512</v>
      </c>
      <c r="D3968" s="1399">
        <v>46264.535763888889</v>
      </c>
      <c r="E3968" s="1400">
        <v>7.59</v>
      </c>
      <c r="F3968" s="583">
        <v>4.4999999999999998E-2</v>
      </c>
      <c r="G3968" s="1401">
        <f t="shared" si="157"/>
        <v>7.9476439790575917</v>
      </c>
      <c r="H3968" s="1365" t="s">
        <v>1646</v>
      </c>
      <c r="I3968" s="1433" t="s">
        <v>4684</v>
      </c>
      <c r="J3968" s="1401">
        <v>9.8000000000000007</v>
      </c>
      <c r="K3968" s="1401">
        <v>69.959999999999994</v>
      </c>
      <c r="L3968" s="1399">
        <f>INT(base[[#This Row],[Data de liquidação]])</f>
        <v>46264</v>
      </c>
      <c r="M3968" s="1401">
        <f>base[[#This Row],[L/P Bruto]]-base[[#This Row],[L/P Líquido]]</f>
        <v>0.35764397905759182</v>
      </c>
      <c r="N3968" s="1401">
        <f>base[[#This Row],[L/P Líquido]]/base[[#This Row],[Stake/Responsabilidade]]</f>
        <v>0.10849056603773585</v>
      </c>
      <c r="O3968" s="1403">
        <f>IF(base[[#This Row],[L/P Líquido]]&gt;0,1,0)</f>
        <v>1</v>
      </c>
      <c r="P3968" s="1403"/>
      <c r="Q3968" s="1403" t="str">
        <f>LEFT(base[[#This Row],[Evento / Mercado]],FIND("vs",base[[#This Row],[Evento / Mercado]])-2)</f>
        <v>Tallinna FC Flora</v>
      </c>
      <c r="R396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3968" s="1403" t="str">
        <f>LEFT(base[[#This Row],[Evento / Mercado]],FIND("/",base[[#This Row],[Evento / Mercado]])-2)</f>
        <v>Tallinna FC Flora vs Paide Linnameeskond</v>
      </c>
      <c r="T3968" s="1404">
        <f>base[[#This Row],[Data de liquidação]]</f>
        <v>46264.535763888889</v>
      </c>
    </row>
    <row r="3969" spans="2:22" ht="15" customHeight="1">
      <c r="B3969" s="1398" t="s">
        <v>4647</v>
      </c>
      <c r="C3969" s="859" t="s">
        <v>3512</v>
      </c>
      <c r="D3969" s="1399">
        <v>46264.557569444441</v>
      </c>
      <c r="E3969" s="1400">
        <v>45.31</v>
      </c>
      <c r="F3969" s="583">
        <v>4.4999999999999998E-2</v>
      </c>
      <c r="G3969" s="1401">
        <f t="shared" si="157"/>
        <v>47.445026178010473</v>
      </c>
      <c r="H3969" s="1434" t="s">
        <v>4685</v>
      </c>
      <c r="I3969" s="1402" t="s">
        <v>626</v>
      </c>
      <c r="J3969" s="1401">
        <f>(15*99.96+16*100.05+12*370.04)/base[[#This Row],[Stake/Responsabilidade]]</f>
        <v>13.228102798000178</v>
      </c>
      <c r="K3969" s="1401">
        <f>99.96+100.05+370.04</f>
        <v>570.04999999999995</v>
      </c>
      <c r="L3969" s="1399">
        <f>INT(base[[#This Row],[Data de liquidação]])</f>
        <v>46264</v>
      </c>
      <c r="M3969" s="1401">
        <f>base[[#This Row],[L/P Bruto]]-base[[#This Row],[L/P Líquido]]</f>
        <v>2.1350261780104702</v>
      </c>
      <c r="N3969" s="1401">
        <f>base[[#This Row],[L/P Líquido]]/base[[#This Row],[Stake/Responsabilidade]]</f>
        <v>7.9484255767037992E-2</v>
      </c>
      <c r="O3969" s="1403">
        <f>IF(base[[#This Row],[L/P Líquido]]&gt;0,1,0)</f>
        <v>1</v>
      </c>
      <c r="P3969" s="1403"/>
      <c r="Q3969" s="1403" t="str">
        <f>LEFT(base[[#This Row],[Evento / Mercado]],FIND("vs",base[[#This Row],[Evento / Mercado]])-2)</f>
        <v>IFK Göteborg</v>
      </c>
      <c r="R396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969" s="1403" t="str">
        <f>LEFT(base[[#This Row],[Evento / Mercado]],FIND("/",base[[#This Row],[Evento / Mercado]])-2)</f>
        <v>IFK Göteborg vs Örgryte IS</v>
      </c>
      <c r="T3969" s="1404">
        <f>base[[#This Row],[Data de liquidação]]</f>
        <v>46264.557569444441</v>
      </c>
    </row>
    <row r="3970" spans="2:22" ht="15" customHeight="1">
      <c r="B3970" s="1398" t="s">
        <v>4646</v>
      </c>
      <c r="C3970" s="859" t="s">
        <v>3512</v>
      </c>
      <c r="D3970" s="1399">
        <v>46264.568368055552</v>
      </c>
      <c r="E3970" s="1400">
        <v>9.93</v>
      </c>
      <c r="F3970" s="583">
        <v>4.4999999999999998E-2</v>
      </c>
      <c r="G3970" s="1401">
        <f t="shared" si="157"/>
        <v>10.397905759162304</v>
      </c>
      <c r="H3970" s="1365" t="s">
        <v>1646</v>
      </c>
      <c r="I3970" s="1402" t="s">
        <v>2274</v>
      </c>
      <c r="J3970" s="1401">
        <v>1.52</v>
      </c>
      <c r="K3970" s="1401">
        <v>20</v>
      </c>
      <c r="L3970" s="1399">
        <f>INT(base[[#This Row],[Data de liquidação]])</f>
        <v>46264</v>
      </c>
      <c r="M3970" s="1401">
        <f>base[[#This Row],[L/P Bruto]]-base[[#This Row],[L/P Líquido]]</f>
        <v>0.46790575916230459</v>
      </c>
      <c r="N3970" s="1401">
        <f>base[[#This Row],[L/P Líquido]]/base[[#This Row],[Stake/Responsabilidade]]</f>
        <v>0.4965</v>
      </c>
      <c r="O3970" s="1403">
        <f>IF(base[[#This Row],[L/P Líquido]]&gt;0,1,0)</f>
        <v>1</v>
      </c>
      <c r="P3970" s="1403"/>
      <c r="Q3970" s="1403" t="str">
        <f>LEFT(base[[#This Row],[Evento / Mercado]],FIND("vs",base[[#This Row],[Evento / Mercado]])-2)</f>
        <v>FK Teplice</v>
      </c>
      <c r="R397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3970" s="1403" t="str">
        <f>LEFT(base[[#This Row],[Evento / Mercado]],FIND("/",base[[#This Row],[Evento / Mercado]])-2)</f>
        <v>FK Teplice vs FK Jablonec</v>
      </c>
      <c r="T3970" s="1404">
        <f>base[[#This Row],[Data de liquidação]]</f>
        <v>46264.568368055552</v>
      </c>
    </row>
    <row r="3971" spans="2:22" ht="15" customHeight="1">
      <c r="B3971" s="1398" t="s">
        <v>4645</v>
      </c>
      <c r="C3971" s="859" t="s">
        <v>3512</v>
      </c>
      <c r="D3971" s="1399">
        <v>46264.577314814815</v>
      </c>
      <c r="E3971" s="1400">
        <v>8.57</v>
      </c>
      <c r="F3971" s="583">
        <v>4.4999999999999998E-2</v>
      </c>
      <c r="G3971" s="1401">
        <f t="shared" si="157"/>
        <v>8.9738219895287958</v>
      </c>
      <c r="H3971" s="1365" t="s">
        <v>1646</v>
      </c>
      <c r="I3971" s="1433" t="s">
        <v>4684</v>
      </c>
      <c r="J3971" s="1401">
        <v>8.4</v>
      </c>
      <c r="K3971" s="1401">
        <v>66.38</v>
      </c>
      <c r="L3971" s="1399">
        <f>INT(base[[#This Row],[Data de liquidação]])</f>
        <v>46264</v>
      </c>
      <c r="M3971" s="1401">
        <f>base[[#This Row],[L/P Bruto]]-base[[#This Row],[L/P Líquido]]</f>
        <v>0.40382198952879556</v>
      </c>
      <c r="N3971" s="1401">
        <f>base[[#This Row],[L/P Líquido]]/base[[#This Row],[Stake/Responsabilidade]]</f>
        <v>0.12910515215426335</v>
      </c>
      <c r="O3971" s="1403">
        <f>IF(base[[#This Row],[L/P Líquido]]&gt;0,1,0)</f>
        <v>1</v>
      </c>
      <c r="P3971" s="1403"/>
      <c r="Q3971" s="1403" t="str">
        <f>LEFT(base[[#This Row],[Evento / Mercado]],FIND("vs",base[[#This Row],[Evento / Mercado]])-2)</f>
        <v>Sandefjord Fotball</v>
      </c>
      <c r="R397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971" s="1403" t="str">
        <f>LEFT(base[[#This Row],[Evento / Mercado]],FIND("/",base[[#This Row],[Evento / Mercado]])-2)</f>
        <v>Sandefjord Fotball vs Brann</v>
      </c>
      <c r="T3971" s="1404">
        <f>base[[#This Row],[Data de liquidação]]</f>
        <v>46264.577314814815</v>
      </c>
    </row>
    <row r="3972" spans="2:22" ht="15" customHeight="1">
      <c r="B3972" s="1398" t="s">
        <v>4644</v>
      </c>
      <c r="C3972" s="859" t="s">
        <v>3512</v>
      </c>
      <c r="D3972" s="1399">
        <v>46264.581354166665</v>
      </c>
      <c r="E3972" s="1400">
        <v>27.32</v>
      </c>
      <c r="F3972" s="583">
        <v>4.4999999999999998E-2</v>
      </c>
      <c r="G3972" s="1401">
        <f t="shared" si="157"/>
        <v>28.607329842931939</v>
      </c>
      <c r="H3972" s="1401" t="s">
        <v>150</v>
      </c>
      <c r="I3972" s="1402" t="s">
        <v>627</v>
      </c>
      <c r="J3972" s="1401">
        <v>19</v>
      </c>
      <c r="K3972" s="1401">
        <v>514.98</v>
      </c>
      <c r="L3972" s="1399">
        <f>INT(base[[#This Row],[Data de liquidação]])</f>
        <v>46264</v>
      </c>
      <c r="M3972" s="1401">
        <f>base[[#This Row],[L/P Bruto]]-base[[#This Row],[L/P Líquido]]</f>
        <v>1.2873298429319391</v>
      </c>
      <c r="N3972" s="1401">
        <f>base[[#This Row],[L/P Líquido]]/base[[#This Row],[Stake/Responsabilidade]]</f>
        <v>5.3050603906947838E-2</v>
      </c>
      <c r="O3972" s="1403">
        <f>IF(base[[#This Row],[L/P Líquido]]&gt;0,1,0)</f>
        <v>1</v>
      </c>
      <c r="P3972" s="1403"/>
      <c r="Q3972" s="1403" t="str">
        <f>LEFT(base[[#This Row],[Evento / Mercado]],FIND("vs",base[[#This Row],[Evento / Mercado]])-2)</f>
        <v>Real Madrid</v>
      </c>
      <c r="R397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2" s="1403" t="str">
        <f>LEFT(base[[#This Row],[Evento / Mercado]],FIND("/",base[[#This Row],[Evento / Mercado]])-2)</f>
        <v>Real Madrid vs Málaga</v>
      </c>
      <c r="T3972" s="1404">
        <f>base[[#This Row],[Data de liquidação]]</f>
        <v>46264.581354166665</v>
      </c>
    </row>
    <row r="3973" spans="2:22" ht="15" customHeight="1">
      <c r="B3973" s="1398" t="s">
        <v>4643</v>
      </c>
      <c r="C3973" s="859" t="s">
        <v>3512</v>
      </c>
      <c r="D3973" s="1399">
        <v>46264.581423611111</v>
      </c>
      <c r="E3973" s="1400">
        <v>6.2</v>
      </c>
      <c r="F3973" s="583">
        <v>4.4999999999999998E-2</v>
      </c>
      <c r="G3973" s="1401">
        <f t="shared" si="157"/>
        <v>6.4921465968586389</v>
      </c>
      <c r="H3973" s="1401" t="s">
        <v>3294</v>
      </c>
      <c r="I3973" s="1402" t="s">
        <v>626</v>
      </c>
      <c r="J3973" s="1401">
        <v>75</v>
      </c>
      <c r="K3973" s="1401">
        <v>480.26</v>
      </c>
      <c r="L3973" s="1399">
        <f>INT(base[[#This Row],[Data de liquidação]])</f>
        <v>46264</v>
      </c>
      <c r="M3973" s="1401">
        <f>base[[#This Row],[L/P Bruto]]-base[[#This Row],[L/P Líquido]]</f>
        <v>0.29214659685863875</v>
      </c>
      <c r="N3973" s="1401">
        <f>base[[#This Row],[L/P Líquido]]/base[[#This Row],[Stake/Responsabilidade]]</f>
        <v>1.290967392662308E-2</v>
      </c>
      <c r="O3973" s="1403">
        <f>IF(base[[#This Row],[L/P Líquido]]&gt;0,1,0)</f>
        <v>1</v>
      </c>
      <c r="P3973" s="1403"/>
      <c r="Q3973" s="1403" t="str">
        <f>LEFT(base[[#This Row],[Evento / Mercado]],FIND("vs",base[[#This Row],[Evento / Mercado]])-2)</f>
        <v>Viking FK</v>
      </c>
      <c r="R397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3" s="1403" t="str">
        <f>LEFT(base[[#This Row],[Evento / Mercado]],FIND("/",base[[#This Row],[Evento / Mercado]])-2)</f>
        <v>Viking FK vs Aalesunds FK</v>
      </c>
      <c r="T3973" s="1404">
        <f>base[[#This Row],[Data de liquidação]]</f>
        <v>46264.581423611111</v>
      </c>
    </row>
    <row r="3974" spans="2:22" ht="15" customHeight="1">
      <c r="B3974" s="1398" t="s">
        <v>4642</v>
      </c>
      <c r="C3974" s="859" t="s">
        <v>3512</v>
      </c>
      <c r="D3974" s="1399">
        <v>46264.581516203703</v>
      </c>
      <c r="E3974" s="1400">
        <v>21.554349999999999</v>
      </c>
      <c r="F3974" s="583">
        <v>4.4999999999999998E-2</v>
      </c>
      <c r="G3974" s="1401">
        <f t="shared" si="157"/>
        <v>22.57</v>
      </c>
      <c r="H3974" s="1401" t="s">
        <v>3294</v>
      </c>
      <c r="I3974" s="1402" t="s">
        <v>626</v>
      </c>
      <c r="J3974" s="1401">
        <v>22</v>
      </c>
      <c r="K3974" s="1401">
        <v>473.88</v>
      </c>
      <c r="L3974" s="1399">
        <f>INT(base[[#This Row],[Data de liquidação]])</f>
        <v>46264</v>
      </c>
      <c r="M3974" s="1401">
        <f>base[[#This Row],[L/P Bruto]]-base[[#This Row],[L/P Líquido]]</f>
        <v>1.0156500000000008</v>
      </c>
      <c r="N3974" s="1401">
        <f>base[[#This Row],[L/P Líquido]]/base[[#This Row],[Stake/Responsabilidade]]</f>
        <v>4.5484827382459694E-2</v>
      </c>
      <c r="O3974" s="1403">
        <f>IF(base[[#This Row],[L/P Líquido]]&gt;0,1,0)</f>
        <v>1</v>
      </c>
      <c r="P3974" s="1403"/>
      <c r="Q3974" s="1403" t="str">
        <f>LEFT(base[[#This Row],[Evento / Mercado]],FIND("vs",base[[#This Row],[Evento / Mercado]])-2)</f>
        <v>Tromsø</v>
      </c>
      <c r="R397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4" s="1403" t="str">
        <f>LEFT(base[[#This Row],[Evento / Mercado]],FIND("/",base[[#This Row],[Evento / Mercado]])-2)</f>
        <v>Tromsø vs Sarpsborg 08</v>
      </c>
      <c r="T3974" s="1404">
        <f>base[[#This Row],[Data de liquidação]]</f>
        <v>46264.581516203703</v>
      </c>
      <c r="U3974" s="9">
        <v>22.57</v>
      </c>
      <c r="V3974" s="11">
        <f t="shared" ref="V3974:V3975" si="160">U3974*0.955</f>
        <v>21.554349999999999</v>
      </c>
    </row>
    <row r="3975" spans="2:22" ht="15" customHeight="1">
      <c r="B3975" s="1398" t="s">
        <v>4642</v>
      </c>
      <c r="C3975" s="859" t="s">
        <v>3512</v>
      </c>
      <c r="D3975" s="1399">
        <v>46264.581516203703</v>
      </c>
      <c r="E3975" s="1400">
        <v>44.417049999999996</v>
      </c>
      <c r="F3975" s="583">
        <v>4.4999999999999998E-2</v>
      </c>
      <c r="G3975" s="1401">
        <f t="shared" ref="G3975" si="161">IF(E3975&gt;0,E3975/(1-F3975),E3975)</f>
        <v>46.51</v>
      </c>
      <c r="H3975" s="1434" t="s">
        <v>4685</v>
      </c>
      <c r="I3975" s="1402" t="s">
        <v>626</v>
      </c>
      <c r="J3975" s="1401">
        <v>9.6</v>
      </c>
      <c r="K3975" s="1401">
        <v>399.99</v>
      </c>
      <c r="L3975" s="1399">
        <f>INT(base[[#This Row],[Data de liquidação]])</f>
        <v>46264</v>
      </c>
      <c r="M3975" s="1401">
        <f>base[[#This Row],[L/P Bruto]]-base[[#This Row],[L/P Líquido]]</f>
        <v>2.0929500000000019</v>
      </c>
      <c r="N3975" s="1401">
        <f>base[[#This Row],[L/P Líquido]]/base[[#This Row],[Stake/Responsabilidade]]</f>
        <v>0.11104540113502837</v>
      </c>
      <c r="O3975" s="1403">
        <f>IF(base[[#This Row],[L/P Líquido]]&gt;0,1,0)</f>
        <v>1</v>
      </c>
      <c r="P3975" s="1403"/>
      <c r="Q3975" s="1403" t="str">
        <f>LEFT(base[[#This Row],[Evento / Mercado]],FIND("vs",base[[#This Row],[Evento / Mercado]])-2)</f>
        <v>Tromsø</v>
      </c>
      <c r="R397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5" s="1403" t="str">
        <f>LEFT(base[[#This Row],[Evento / Mercado]],FIND("/",base[[#This Row],[Evento / Mercado]])-2)</f>
        <v>Tromsø vs Sarpsborg 08</v>
      </c>
      <c r="T3975" s="1404">
        <f>base[[#This Row],[Data de liquidação]]</f>
        <v>46264.581516203703</v>
      </c>
      <c r="U3975" s="9">
        <v>46.51</v>
      </c>
      <c r="V3975" s="11">
        <f t="shared" si="160"/>
        <v>44.417049999999996</v>
      </c>
    </row>
    <row r="3976" spans="2:22" ht="15" customHeight="1">
      <c r="B3976" s="1398" t="s">
        <v>4641</v>
      </c>
      <c r="C3976" s="859" t="s">
        <v>3512</v>
      </c>
      <c r="D3976" s="1399">
        <v>46264.58153935185</v>
      </c>
      <c r="E3976" s="1400">
        <v>59.69</v>
      </c>
      <c r="F3976" s="583">
        <v>4.4999999999999998E-2</v>
      </c>
      <c r="G3976" s="1401">
        <f t="shared" si="157"/>
        <v>62.502617801047123</v>
      </c>
      <c r="H3976" s="1401" t="s">
        <v>3367</v>
      </c>
      <c r="I3976" s="1402" t="s">
        <v>391</v>
      </c>
      <c r="J3976" s="1401">
        <v>9.8000000000000007</v>
      </c>
      <c r="K3976" s="1401">
        <v>550</v>
      </c>
      <c r="L3976" s="1399">
        <f>INT(base[[#This Row],[Data de liquidação]])</f>
        <v>46264</v>
      </c>
      <c r="M3976" s="1401">
        <f>base[[#This Row],[L/P Bruto]]-base[[#This Row],[L/P Líquido]]</f>
        <v>2.812617801047125</v>
      </c>
      <c r="N3976" s="1401">
        <f>base[[#This Row],[L/P Líquido]]/base[[#This Row],[Stake/Responsabilidade]]</f>
        <v>0.10852727272727272</v>
      </c>
      <c r="O3976" s="1403">
        <f>IF(base[[#This Row],[L/P Líquido]]&gt;0,1,0)</f>
        <v>1</v>
      </c>
      <c r="P3976" s="1403" t="s">
        <v>2008</v>
      </c>
      <c r="Q3976" s="1403" t="str">
        <f>LEFT(base[[#This Row],[Evento / Mercado]],FIND("vs",base[[#This Row],[Evento / Mercado]])-2)</f>
        <v>Viking FK</v>
      </c>
      <c r="R397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6" s="1403" t="str">
        <f>LEFT(base[[#This Row],[Evento / Mercado]],FIND("/",base[[#This Row],[Evento / Mercado]])-2)</f>
        <v>Viking FK vs Aalesunds FK</v>
      </c>
      <c r="T3976" s="1404">
        <f>base[[#This Row],[Data de liquidação]]</f>
        <v>46264.58153935185</v>
      </c>
    </row>
    <row r="3977" spans="2:22" ht="15" customHeight="1">
      <c r="B3977" s="1398" t="s">
        <v>4640</v>
      </c>
      <c r="C3977" s="859" t="s">
        <v>3512</v>
      </c>
      <c r="D3977" s="1399">
        <v>46264.581550925926</v>
      </c>
      <c r="E3977" s="1400">
        <v>27.28</v>
      </c>
      <c r="F3977" s="583">
        <v>4.4999999999999998E-2</v>
      </c>
      <c r="G3977" s="1401">
        <f t="shared" si="157"/>
        <v>28.565445026178011</v>
      </c>
      <c r="H3977" s="1401" t="s">
        <v>3367</v>
      </c>
      <c r="I3977" s="1402" t="s">
        <v>4667</v>
      </c>
      <c r="J3977" s="1401">
        <v>15</v>
      </c>
      <c r="K3977" s="1401">
        <v>399.98</v>
      </c>
      <c r="L3977" s="1399">
        <f>INT(base[[#This Row],[Data de liquidação]])</f>
        <v>46264</v>
      </c>
      <c r="M3977" s="1401">
        <f>base[[#This Row],[L/P Bruto]]-base[[#This Row],[L/P Líquido]]</f>
        <v>1.2854450261780102</v>
      </c>
      <c r="N3977" s="1401">
        <f>base[[#This Row],[L/P Líquido]]/base[[#This Row],[Stake/Responsabilidade]]</f>
        <v>6.820341017050853E-2</v>
      </c>
      <c r="O3977" s="1403">
        <f>IF(base[[#This Row],[L/P Líquido]]&gt;0,1,0)</f>
        <v>1</v>
      </c>
      <c r="P3977" s="1403" t="s">
        <v>1201</v>
      </c>
      <c r="Q3977" s="1403" t="str">
        <f>LEFT(base[[#This Row],[Evento / Mercado]],FIND("vs",base[[#This Row],[Evento / Mercado]])-2)</f>
        <v>Real Madrid</v>
      </c>
      <c r="R397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7" s="1403" t="str">
        <f>LEFT(base[[#This Row],[Evento / Mercado]],FIND("/",base[[#This Row],[Evento / Mercado]])-2)</f>
        <v>Real Madrid vs Málaga</v>
      </c>
      <c r="T3977" s="1404">
        <f>base[[#This Row],[Data de liquidação]]</f>
        <v>46264.581550925926</v>
      </c>
    </row>
    <row r="3978" spans="2:22" ht="15" customHeight="1">
      <c r="B3978" s="1398" t="s">
        <v>4639</v>
      </c>
      <c r="C3978" s="859" t="s">
        <v>3512</v>
      </c>
      <c r="D3978" s="1399">
        <v>46264.661412037036</v>
      </c>
      <c r="E3978" s="1400">
        <v>8.09</v>
      </c>
      <c r="F3978" s="583">
        <v>4.4999999999999998E-2</v>
      </c>
      <c r="G3978" s="1401">
        <f t="shared" si="157"/>
        <v>8.4712041884816749</v>
      </c>
      <c r="H3978" s="1401" t="s">
        <v>3294</v>
      </c>
      <c r="I3978" s="1402" t="s">
        <v>626</v>
      </c>
      <c r="J3978" s="1401">
        <v>60</v>
      </c>
      <c r="K3978" s="1401">
        <v>499.73</v>
      </c>
      <c r="L3978" s="1399">
        <f>INT(base[[#This Row],[Data de liquidação]])</f>
        <v>46264</v>
      </c>
      <c r="M3978" s="1401">
        <f>base[[#This Row],[L/P Bruto]]-base[[#This Row],[L/P Líquido]]</f>
        <v>0.38120418848167503</v>
      </c>
      <c r="N3978" s="1401">
        <f>base[[#This Row],[L/P Líquido]]/base[[#This Row],[Stake/Responsabilidade]]</f>
        <v>1.6188741920637142E-2</v>
      </c>
      <c r="O3978" s="1403">
        <f>IF(base[[#This Row],[L/P Líquido]]&gt;0,1,0)</f>
        <v>1</v>
      </c>
      <c r="P3978" s="1403"/>
      <c r="Q3978" s="1403" t="str">
        <f>LEFT(base[[#This Row],[Evento / Mercado]],FIND("vs",base[[#This Row],[Evento / Mercado]])-2)</f>
        <v>Fram Reykjavik</v>
      </c>
      <c r="R397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978" s="1403" t="str">
        <f>LEFT(base[[#This Row],[Evento / Mercado]],FIND("/",base[[#This Row],[Evento / Mercado]])-2)</f>
        <v>Fram Reykjavik vs KA Akureyrar</v>
      </c>
      <c r="T3978" s="1404">
        <f>base[[#This Row],[Data de liquidação]]</f>
        <v>46264.661412037036</v>
      </c>
    </row>
    <row r="3979" spans="2:22" ht="15" customHeight="1">
      <c r="B3979" s="1398" t="s">
        <v>4638</v>
      </c>
      <c r="C3979" s="859" t="s">
        <v>3512</v>
      </c>
      <c r="D3979" s="1399">
        <v>46264.747384259259</v>
      </c>
      <c r="E3979" s="1400">
        <v>12.44</v>
      </c>
      <c r="F3979" s="583">
        <v>4.4999999999999998E-2</v>
      </c>
      <c r="G3979" s="1401">
        <f t="shared" si="157"/>
        <v>13.026178010471204</v>
      </c>
      <c r="H3979" s="1401" t="s">
        <v>3294</v>
      </c>
      <c r="I3979" s="1402" t="s">
        <v>626</v>
      </c>
      <c r="J3979" s="1401">
        <v>40</v>
      </c>
      <c r="K3979" s="1401">
        <v>508.17</v>
      </c>
      <c r="L3979" s="1399">
        <f>INT(base[[#This Row],[Data de liquidação]])</f>
        <v>46264</v>
      </c>
      <c r="M3979" s="1401">
        <f>base[[#This Row],[L/P Bruto]]-base[[#This Row],[L/P Líquido]]</f>
        <v>0.58617801047120466</v>
      </c>
      <c r="N3979" s="1401">
        <f>base[[#This Row],[L/P Líquido]]/base[[#This Row],[Stake/Responsabilidade]]</f>
        <v>2.4479996851447347E-2</v>
      </c>
      <c r="O3979" s="1403">
        <f>IF(base[[#This Row],[L/P Líquido]]&gt;0,1,0)</f>
        <v>1</v>
      </c>
      <c r="P3979" s="1403"/>
      <c r="Q3979" s="1403" t="str">
        <f>LEFT(base[[#This Row],[Evento / Mercado]],FIND("vs",base[[#This Row],[Evento / Mercado]])-2)</f>
        <v>Flamengo</v>
      </c>
      <c r="R397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979" s="1403" t="str">
        <f>LEFT(base[[#This Row],[Evento / Mercado]],FIND("/",base[[#This Row],[Evento / Mercado]])-2)</f>
        <v>Flamengo vs Botafogo FR</v>
      </c>
      <c r="T3979" s="1404">
        <f>base[[#This Row],[Data de liquidação]]</f>
        <v>46264.747384259259</v>
      </c>
    </row>
    <row r="3980" spans="2:22" ht="15" customHeight="1">
      <c r="B3980" s="1398" t="s">
        <v>4637</v>
      </c>
      <c r="C3980" s="859" t="s">
        <v>3512</v>
      </c>
      <c r="D3980" s="1399">
        <v>46264.763865740744</v>
      </c>
      <c r="E3980" s="1400">
        <v>-20</v>
      </c>
      <c r="F3980" s="583">
        <v>4.4999999999999998E-2</v>
      </c>
      <c r="G3980" s="1401">
        <f t="shared" si="157"/>
        <v>-20</v>
      </c>
      <c r="H3980" s="1365" t="s">
        <v>1646</v>
      </c>
      <c r="I3980" s="1402" t="s">
        <v>2274</v>
      </c>
      <c r="J3980" s="1401">
        <v>1.51</v>
      </c>
      <c r="K3980" s="1401">
        <v>20</v>
      </c>
      <c r="L3980" s="1399">
        <f>INT(base[[#This Row],[Data de liquidação]])</f>
        <v>46264</v>
      </c>
      <c r="M3980" s="1401">
        <f>base[[#This Row],[L/P Bruto]]-base[[#This Row],[L/P Líquido]]</f>
        <v>0</v>
      </c>
      <c r="N3980" s="1401">
        <f>base[[#This Row],[L/P Líquido]]/base[[#This Row],[Stake/Responsabilidade]]</f>
        <v>-1</v>
      </c>
      <c r="O3980" s="1403">
        <f>IF(base[[#This Row],[L/P Líquido]]&gt;0,1,0)</f>
        <v>0</v>
      </c>
      <c r="P3980" s="1403"/>
      <c r="Q3980" s="1403" t="str">
        <f>LEFT(base[[#This Row],[Evento / Mercado]],FIND("vs",base[[#This Row],[Evento / Mercado]])-2)</f>
        <v>Famalicão</v>
      </c>
      <c r="R398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3980" s="1403" t="str">
        <f>LEFT(base[[#This Row],[Evento / Mercado]],FIND("/",base[[#This Row],[Evento / Mercado]])-2)</f>
        <v>Famalicão vs Gil Vicente</v>
      </c>
      <c r="T3980" s="1404">
        <f>base[[#This Row],[Data de liquidação]]</f>
        <v>46264.763865740744</v>
      </c>
    </row>
    <row r="3981" spans="2:22" ht="15" customHeight="1">
      <c r="B3981" s="1398" t="s">
        <v>4636</v>
      </c>
      <c r="C3981" s="859" t="s">
        <v>3512</v>
      </c>
      <c r="D3981" s="1399">
        <v>46264.767187500001</v>
      </c>
      <c r="E3981" s="1400">
        <v>1.18</v>
      </c>
      <c r="F3981" s="583">
        <v>4.4999999999999998E-2</v>
      </c>
      <c r="G3981" s="1401">
        <f t="shared" si="157"/>
        <v>1.2356020942408377</v>
      </c>
      <c r="H3981" s="1365" t="s">
        <v>1646</v>
      </c>
      <c r="I3981" s="1387" t="s">
        <v>3293</v>
      </c>
      <c r="J3981" s="1401">
        <v>1.62</v>
      </c>
      <c r="K3981" s="1401">
        <v>2</v>
      </c>
      <c r="L3981" s="1399">
        <f>INT(base[[#This Row],[Data de liquidação]])</f>
        <v>46264</v>
      </c>
      <c r="M3981" s="1401">
        <f>base[[#This Row],[L/P Bruto]]-base[[#This Row],[L/P Líquido]]</f>
        <v>5.5602094240837729E-2</v>
      </c>
      <c r="N3981" s="1401">
        <f>base[[#This Row],[L/P Líquido]]/base[[#This Row],[Stake/Responsabilidade]]</f>
        <v>0.59</v>
      </c>
      <c r="O3981" s="1403">
        <f>IF(base[[#This Row],[L/P Líquido]]&gt;0,1,0)</f>
        <v>1</v>
      </c>
      <c r="P3981" s="1403"/>
      <c r="Q3981" s="1403" t="str">
        <f>LEFT(base[[#This Row],[Evento / Mercado]],FIND("vs",base[[#This Row],[Evento / Mercado]])-2)</f>
        <v>Argentinos Juniors</v>
      </c>
      <c r="R398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981" s="1403" t="str">
        <f>LEFT(base[[#This Row],[Evento / Mercado]],FIND("/",base[[#This Row],[Evento / Mercado]])-2)</f>
        <v>Argentinos Juniors vs Aldosivi</v>
      </c>
      <c r="T3981" s="1404">
        <f>base[[#This Row],[Data de liquidação]]</f>
        <v>46264.767187500001</v>
      </c>
    </row>
    <row r="3982" spans="2:22" ht="15" customHeight="1">
      <c r="B3982" s="1398" t="s">
        <v>4635</v>
      </c>
      <c r="C3982" s="859" t="s">
        <v>3512</v>
      </c>
      <c r="D3982" s="1399">
        <v>46264.849479166667</v>
      </c>
      <c r="E3982" s="1400">
        <v>-2</v>
      </c>
      <c r="F3982" s="583">
        <v>4.4999999999999998E-2</v>
      </c>
      <c r="G3982" s="1401">
        <f t="shared" si="157"/>
        <v>-2</v>
      </c>
      <c r="H3982" s="1365" t="s">
        <v>1646</v>
      </c>
      <c r="I3982" s="1387" t="s">
        <v>3293</v>
      </c>
      <c r="J3982" s="1401">
        <v>1.77</v>
      </c>
      <c r="K3982" s="1401">
        <v>2</v>
      </c>
      <c r="L3982" s="1399">
        <f>INT(base[[#This Row],[Data de liquidação]])</f>
        <v>46264</v>
      </c>
      <c r="M3982" s="1401">
        <f>base[[#This Row],[L/P Bruto]]-base[[#This Row],[L/P Líquido]]</f>
        <v>0</v>
      </c>
      <c r="N3982" s="1401">
        <f>base[[#This Row],[L/P Líquido]]/base[[#This Row],[Stake/Responsabilidade]]</f>
        <v>-1</v>
      </c>
      <c r="O3982" s="1403">
        <f>IF(base[[#This Row],[L/P Líquido]]&gt;0,1,0)</f>
        <v>0</v>
      </c>
      <c r="P3982" s="1403"/>
      <c r="Q3982" s="1403" t="str">
        <f>LEFT(base[[#This Row],[Evento / Mercado]],FIND("vs",base[[#This Row],[Evento / Mercado]])-2)</f>
        <v>Club Guaraní</v>
      </c>
      <c r="R398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982" s="1403" t="str">
        <f>LEFT(base[[#This Row],[Evento / Mercado]],FIND("/",base[[#This Row],[Evento / Mercado]])-2)</f>
        <v>Club Guaraní vs Club Sportivo Ameliano</v>
      </c>
      <c r="T3982" s="1404">
        <f>base[[#This Row],[Data de liquidação]]</f>
        <v>46264.849479166667</v>
      </c>
    </row>
    <row r="3983" spans="2:22" ht="15" customHeight="1">
      <c r="B3983" s="1398" t="s">
        <v>4634</v>
      </c>
      <c r="C3983" s="859" t="s">
        <v>3512</v>
      </c>
      <c r="D3983" s="1399">
        <v>46264.855532407404</v>
      </c>
      <c r="E3983" s="1400">
        <v>41.38</v>
      </c>
      <c r="F3983" s="583">
        <v>4.4999999999999998E-2</v>
      </c>
      <c r="G3983" s="1401">
        <f t="shared" si="157"/>
        <v>43.329842931937179</v>
      </c>
      <c r="H3983" s="1401" t="s">
        <v>3294</v>
      </c>
      <c r="I3983" s="1402" t="s">
        <v>626</v>
      </c>
      <c r="J3983" s="1401">
        <v>13</v>
      </c>
      <c r="K3983" s="1401">
        <v>519.96</v>
      </c>
      <c r="L3983" s="1399">
        <f>INT(base[[#This Row],[Data de liquidação]])</f>
        <v>46264</v>
      </c>
      <c r="M3983" s="1401">
        <f>base[[#This Row],[L/P Bruto]]-base[[#This Row],[L/P Líquido]]</f>
        <v>1.9498429319371766</v>
      </c>
      <c r="N3983" s="1401">
        <f>base[[#This Row],[L/P Líquido]]/base[[#This Row],[Stake/Responsabilidade]]</f>
        <v>7.958304484960381E-2</v>
      </c>
      <c r="O3983" s="1403">
        <f>IF(base[[#This Row],[L/P Líquido]]&gt;0,1,0)</f>
        <v>1</v>
      </c>
      <c r="P3983" s="1403"/>
      <c r="Q3983" s="1403" t="str">
        <f>LEFT(base[[#This Row],[Evento / Mercado]],FIND("vs",base[[#This Row],[Evento / Mercado]])-2)</f>
        <v>Mirassol FC</v>
      </c>
      <c r="R398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983" s="1403" t="str">
        <f>LEFT(base[[#This Row],[Evento / Mercado]],FIND("/",base[[#This Row],[Evento / Mercado]])-2)</f>
        <v>Mirassol FC vs Palmeiras</v>
      </c>
      <c r="T3983" s="1404">
        <f>base[[#This Row],[Data de liquidação]]</f>
        <v>46264.855532407404</v>
      </c>
    </row>
    <row r="3984" spans="2:22" ht="15" customHeight="1">
      <c r="B3984" s="1398" t="s">
        <v>4633</v>
      </c>
      <c r="C3984" s="859" t="s">
        <v>3512</v>
      </c>
      <c r="D3984" s="1399">
        <v>46264.958993055552</v>
      </c>
      <c r="E3984" s="1400">
        <v>1.47</v>
      </c>
      <c r="F3984" s="583">
        <v>4.4999999999999998E-2</v>
      </c>
      <c r="G3984" s="1401">
        <f t="shared" si="157"/>
        <v>1.5392670157068062</v>
      </c>
      <c r="H3984" s="1365" t="s">
        <v>1646</v>
      </c>
      <c r="I3984" s="1387" t="s">
        <v>3293</v>
      </c>
      <c r="J3984" s="1401">
        <v>1.77</v>
      </c>
      <c r="K3984" s="1401">
        <v>2</v>
      </c>
      <c r="L3984" s="1399">
        <f>INT(base[[#This Row],[Data de liquidação]])</f>
        <v>46264</v>
      </c>
      <c r="M3984" s="1401">
        <f>base[[#This Row],[L/P Bruto]]-base[[#This Row],[L/P Líquido]]</f>
        <v>6.9267015706806268E-2</v>
      </c>
      <c r="N3984" s="1401">
        <f>base[[#This Row],[L/P Líquido]]/base[[#This Row],[Stake/Responsabilidade]]</f>
        <v>0.73499999999999999</v>
      </c>
      <c r="O3984" s="1403">
        <f>IF(base[[#This Row],[L/P Líquido]]&gt;0,1,0)</f>
        <v>1</v>
      </c>
      <c r="P3984" s="1403"/>
      <c r="Q3984" s="1403" t="str">
        <f>LEFT(base[[#This Row],[Evento / Mercado]],FIND("vs",base[[#This Row],[Evento / Mercado]])-2)</f>
        <v>Independiente Rivadavia</v>
      </c>
      <c r="R398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Club</v>
      </c>
      <c r="S3984" s="1403" t="str">
        <f>LEFT(base[[#This Row],[Evento / Mercado]],FIND("/",base[[#This Row],[Evento / Mercado]])-2)</f>
        <v>Independiente Rivadavia vs Racing Club</v>
      </c>
      <c r="T3984" s="1404">
        <f>base[[#This Row],[Data de liquidação]]</f>
        <v>46264.958993055552</v>
      </c>
    </row>
    <row r="3985" spans="2:20" ht="15" customHeight="1">
      <c r="B3985" s="1405" t="s">
        <v>4675</v>
      </c>
      <c r="C3985" s="859" t="s">
        <v>3512</v>
      </c>
      <c r="D3985" s="1406">
        <v>46265.525567129633</v>
      </c>
      <c r="E3985" s="1407">
        <v>9.85</v>
      </c>
      <c r="F3985" s="583">
        <v>4.4999999999999998E-2</v>
      </c>
      <c r="G3985" s="1408">
        <f t="shared" ref="G3985:G3992" si="162">IF(E3985&gt;0,E3985/(1-F3985),E3985)</f>
        <v>10.31413612565445</v>
      </c>
      <c r="H3985" s="1365" t="s">
        <v>1646</v>
      </c>
      <c r="I3985" s="1402" t="s">
        <v>2274</v>
      </c>
      <c r="J3985" s="1408">
        <v>1.52</v>
      </c>
      <c r="K3985" s="1408">
        <v>20</v>
      </c>
      <c r="L3985" s="1406">
        <f>INT(base[[#This Row],[Data de liquidação]])</f>
        <v>46265</v>
      </c>
      <c r="M3985" s="1408">
        <f>base[[#This Row],[L/P Bruto]]-base[[#This Row],[L/P Líquido]]</f>
        <v>0.46413612565445028</v>
      </c>
      <c r="N3985" s="1408">
        <f>base[[#This Row],[L/P Líquido]]/base[[#This Row],[Stake/Responsabilidade]]</f>
        <v>0.49249999999999999</v>
      </c>
      <c r="O3985" s="1410">
        <f>IF(base[[#This Row],[L/P Líquido]]&gt;0,1,0)</f>
        <v>1</v>
      </c>
      <c r="P3985" s="1410"/>
      <c r="Q3985" s="1410" t="str">
        <f>LEFT(base[[#This Row],[Evento / Mercado]],FIND("vs",base[[#This Row],[Evento / Mercado]])-2)</f>
        <v>Asyut Petroleum</v>
      </c>
      <c r="R3985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National Bank</v>
      </c>
      <c r="S3985" s="1410" t="str">
        <f>LEFT(base[[#This Row],[Evento / Mercado]],FIND("/",base[[#This Row],[Evento / Mercado]])-2)</f>
        <v>Asyut Petroleum vs National Bank</v>
      </c>
      <c r="T3985" s="1411">
        <f>base[[#This Row],[Data de liquidação]]</f>
        <v>46265.525567129633</v>
      </c>
    </row>
    <row r="3986" spans="2:20" ht="15" customHeight="1">
      <c r="B3986" s="1405" t="s">
        <v>4674</v>
      </c>
      <c r="C3986" s="859" t="s">
        <v>3512</v>
      </c>
      <c r="D3986" s="1406">
        <v>46265.560925925929</v>
      </c>
      <c r="E3986" s="1407">
        <v>15.2</v>
      </c>
      <c r="F3986" s="583">
        <v>4.4999999999999998E-2</v>
      </c>
      <c r="G3986" s="1408">
        <f t="shared" si="162"/>
        <v>15.916230366492147</v>
      </c>
      <c r="H3986" s="1408" t="s">
        <v>3294</v>
      </c>
      <c r="I3986" s="1409" t="s">
        <v>693</v>
      </c>
      <c r="J3986" s="1408">
        <v>36</v>
      </c>
      <c r="K3986" s="1408">
        <v>557.17999999999995</v>
      </c>
      <c r="L3986" s="1406">
        <f>INT(base[[#This Row],[Data de liquidação]])</f>
        <v>46265</v>
      </c>
      <c r="M3986" s="1408">
        <f>base[[#This Row],[L/P Bruto]]-base[[#This Row],[L/P Líquido]]</f>
        <v>0.71623036649214811</v>
      </c>
      <c r="N3986" s="1408">
        <f>base[[#This Row],[L/P Líquido]]/base[[#This Row],[Stake/Responsabilidade]]</f>
        <v>2.7280232599877958E-2</v>
      </c>
      <c r="O3986" s="1410">
        <f>IF(base[[#This Row],[L/P Líquido]]&gt;0,1,0)</f>
        <v>1</v>
      </c>
      <c r="P3986" s="1410"/>
      <c r="Q3986" s="1410" t="str">
        <f>LEFT(base[[#This Row],[Evento / Mercado]],FIND("vs",base[[#This Row],[Evento / Mercado]])-2)</f>
        <v>FK Liepaja</v>
      </c>
      <c r="R3986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986" s="1410" t="str">
        <f>LEFT(base[[#This Row],[Evento / Mercado]],FIND("/",base[[#This Row],[Evento / Mercado]])-2)</f>
        <v>FK Liepaja vs Riga FC</v>
      </c>
      <c r="T3986" s="1411">
        <f>base[[#This Row],[Data de liquidação]]</f>
        <v>46265.560925925929</v>
      </c>
    </row>
    <row r="3987" spans="2:20" ht="15" customHeight="1">
      <c r="B3987" s="1405" t="s">
        <v>4673</v>
      </c>
      <c r="C3987" s="859" t="s">
        <v>3512</v>
      </c>
      <c r="D3987" s="1406">
        <v>46265.660856481481</v>
      </c>
      <c r="E3987" s="1407">
        <v>-570</v>
      </c>
      <c r="F3987" s="583">
        <v>4.4999999999999998E-2</v>
      </c>
      <c r="G3987" s="1408">
        <f t="shared" si="162"/>
        <v>-570</v>
      </c>
      <c r="H3987" s="1408" t="s">
        <v>3294</v>
      </c>
      <c r="I3987" s="1409" t="s">
        <v>626</v>
      </c>
      <c r="J3987" s="1408">
        <v>25</v>
      </c>
      <c r="K3987" s="1408">
        <v>570</v>
      </c>
      <c r="L3987" s="1406">
        <f>INT(base[[#This Row],[Data de liquidação]])</f>
        <v>46265</v>
      </c>
      <c r="M3987" s="1408">
        <f>base[[#This Row],[L/P Bruto]]-base[[#This Row],[L/P Líquido]]</f>
        <v>0</v>
      </c>
      <c r="N3987" s="1408">
        <f>base[[#This Row],[L/P Líquido]]/base[[#This Row],[Stake/Responsabilidade]]</f>
        <v>-1</v>
      </c>
      <c r="O3987" s="1410">
        <f>IF(base[[#This Row],[L/P Líquido]]&gt;0,1,0)</f>
        <v>0</v>
      </c>
      <c r="P3987" s="1410"/>
      <c r="Q3987" s="1410" t="str">
        <f>LEFT(base[[#This Row],[Evento / Mercado]],FIND("vs",base[[#This Row],[Evento / Mercado]])-2)</f>
        <v>IK Sirius</v>
      </c>
      <c r="R398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7" s="1410" t="str">
        <f>LEFT(base[[#This Row],[Evento / Mercado]],FIND("/",base[[#This Row],[Evento / Mercado]])-2)</f>
        <v>IK Sirius vs Malmö FF</v>
      </c>
      <c r="T3987" s="1411">
        <f>base[[#This Row],[Data de liquidação]]</f>
        <v>46265.660856481481</v>
      </c>
    </row>
    <row r="3988" spans="2:20" ht="15" customHeight="1">
      <c r="B3988" s="1405" t="s">
        <v>4672</v>
      </c>
      <c r="C3988" s="859" t="s">
        <v>3512</v>
      </c>
      <c r="D3988" s="1406">
        <v>46265.66097222222</v>
      </c>
      <c r="E3988" s="1407">
        <v>-5</v>
      </c>
      <c r="F3988" s="583">
        <v>4.4999999999999998E-2</v>
      </c>
      <c r="G3988" s="1408">
        <f t="shared" si="162"/>
        <v>-5</v>
      </c>
      <c r="H3988" s="1365" t="s">
        <v>1646</v>
      </c>
      <c r="I3988" s="1387" t="s">
        <v>3293</v>
      </c>
      <c r="J3988" s="1408">
        <v>1.96</v>
      </c>
      <c r="K3988" s="1408">
        <v>5</v>
      </c>
      <c r="L3988" s="1406">
        <f>INT(base[[#This Row],[Data de liquidação]])</f>
        <v>46265</v>
      </c>
      <c r="M3988" s="1408">
        <f>base[[#This Row],[L/P Bruto]]-base[[#This Row],[L/P Líquido]]</f>
        <v>0</v>
      </c>
      <c r="N3988" s="1408">
        <f>base[[#This Row],[L/P Líquido]]/base[[#This Row],[Stake/Responsabilidade]]</f>
        <v>-1</v>
      </c>
      <c r="O3988" s="1410">
        <f>IF(base[[#This Row],[L/P Líquido]]&gt;0,1,0)</f>
        <v>0</v>
      </c>
      <c r="P3988" s="1410"/>
      <c r="Q3988" s="1410" t="str">
        <f>LEFT(base[[#This Row],[Evento / Mercado]],FIND("vs",base[[#This Row],[Evento / Mercado]])-2)</f>
        <v>IK Sirius</v>
      </c>
      <c r="R398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8" s="1410" t="str">
        <f>LEFT(base[[#This Row],[Evento / Mercado]],FIND("/",base[[#This Row],[Evento / Mercado]])-2)</f>
        <v>IK Sirius vs Malmö FF</v>
      </c>
      <c r="T3988" s="1411">
        <f>base[[#This Row],[Data de liquidação]]</f>
        <v>46265.66097222222</v>
      </c>
    </row>
    <row r="3989" spans="2:20" ht="15" customHeight="1">
      <c r="B3989" s="1405" t="s">
        <v>4671</v>
      </c>
      <c r="C3989" s="859" t="s">
        <v>3512</v>
      </c>
      <c r="D3989" s="1406">
        <v>46265.756932870368</v>
      </c>
      <c r="E3989" s="1407">
        <v>17.11</v>
      </c>
      <c r="F3989" s="583">
        <v>4.4999999999999998E-2</v>
      </c>
      <c r="G3989" s="1408">
        <f t="shared" si="162"/>
        <v>17.916230366492147</v>
      </c>
      <c r="H3989" s="1401" t="s">
        <v>3367</v>
      </c>
      <c r="I3989" s="1402" t="s">
        <v>391</v>
      </c>
      <c r="J3989" s="1408">
        <v>25</v>
      </c>
      <c r="K3989" s="1408">
        <v>430.08</v>
      </c>
      <c r="L3989" s="1406">
        <f>INT(base[[#This Row],[Data de liquidação]])</f>
        <v>46265</v>
      </c>
      <c r="M3989" s="1408">
        <f>base[[#This Row],[L/P Bruto]]-base[[#This Row],[L/P Líquido]]</f>
        <v>0.80623036649214797</v>
      </c>
      <c r="N3989" s="1408">
        <f>base[[#This Row],[L/P Líquido]]/base[[#This Row],[Stake/Responsabilidade]]</f>
        <v>3.9783296130952384E-2</v>
      </c>
      <c r="O3989" s="1410">
        <f>IF(base[[#This Row],[L/P Líquido]]&gt;0,1,0)</f>
        <v>1</v>
      </c>
      <c r="P3989" s="1412" t="s">
        <v>1202</v>
      </c>
      <c r="Q3989" s="1410" t="str">
        <f>LEFT(base[[#This Row],[Evento / Mercado]],FIND("vs",base[[#This Row],[Evento / Mercado]])-2)</f>
        <v>Benfica</v>
      </c>
      <c r="R3989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3989" s="1410" t="str">
        <f>LEFT(base[[#This Row],[Evento / Mercado]],FIND("/",base[[#This Row],[Evento / Mercado]])-2)</f>
        <v>Benfica vs Estoril-Praia</v>
      </c>
      <c r="T3989" s="1411">
        <f>base[[#This Row],[Data de liquidação]]</f>
        <v>46265.756932870368</v>
      </c>
    </row>
    <row r="3990" spans="2:20" ht="15" customHeight="1">
      <c r="B3990" s="1405" t="s">
        <v>4670</v>
      </c>
      <c r="C3990" s="859" t="s">
        <v>3512</v>
      </c>
      <c r="D3990" s="1406">
        <v>46265.771087962959</v>
      </c>
      <c r="E3990" s="1407">
        <v>14.67</v>
      </c>
      <c r="F3990" s="583">
        <v>4.4999999999999998E-2</v>
      </c>
      <c r="G3990" s="1408">
        <f t="shared" si="162"/>
        <v>15.361256544502618</v>
      </c>
      <c r="H3990" s="1401" t="s">
        <v>3367</v>
      </c>
      <c r="I3990" s="1402" t="s">
        <v>391</v>
      </c>
      <c r="J3990" s="1408">
        <v>29</v>
      </c>
      <c r="K3990" s="1408">
        <v>430.08</v>
      </c>
      <c r="L3990" s="1406">
        <f>INT(base[[#This Row],[Data de liquidação]])</f>
        <v>46265</v>
      </c>
      <c r="M3990" s="1408">
        <f>base[[#This Row],[L/P Bruto]]-base[[#This Row],[L/P Líquido]]</f>
        <v>0.6912565445026182</v>
      </c>
      <c r="N3990" s="1408">
        <f>base[[#This Row],[L/P Líquido]]/base[[#This Row],[Stake/Responsabilidade]]</f>
        <v>3.4109933035714288E-2</v>
      </c>
      <c r="O3990" s="1410">
        <f>IF(base[[#This Row],[L/P Líquido]]&gt;0,1,0)</f>
        <v>1</v>
      </c>
      <c r="P3990" s="1412" t="s">
        <v>1201</v>
      </c>
      <c r="Q3990" s="1410" t="str">
        <f>LEFT(base[[#This Row],[Evento / Mercado]],FIND("vs",base[[#This Row],[Evento / Mercado]])-2)</f>
        <v>FC Barcelona</v>
      </c>
      <c r="R3990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3990" s="1410" t="str">
        <f>LEFT(base[[#This Row],[Evento / Mercado]],FIND("/",base[[#This Row],[Evento / Mercado]])-2)</f>
        <v>FC Barcelona vs Rayo Vallecano</v>
      </c>
      <c r="T3990" s="1411">
        <f>base[[#This Row],[Data de liquidação]]</f>
        <v>46265.771087962959</v>
      </c>
    </row>
    <row r="3991" spans="2:20" ht="15" customHeight="1">
      <c r="B3991" s="1405" t="s">
        <v>4669</v>
      </c>
      <c r="C3991" s="859" t="s">
        <v>3512</v>
      </c>
      <c r="D3991" s="1406">
        <v>46265.883287037039</v>
      </c>
      <c r="E3991" s="1407">
        <v>-5</v>
      </c>
      <c r="F3991" s="583">
        <v>4.4999999999999998E-2</v>
      </c>
      <c r="G3991" s="1408">
        <f t="shared" si="162"/>
        <v>-5</v>
      </c>
      <c r="H3991" s="1365" t="s">
        <v>1646</v>
      </c>
      <c r="I3991" s="1387" t="s">
        <v>3293</v>
      </c>
      <c r="J3991" s="1408">
        <v>2.08</v>
      </c>
      <c r="K3991" s="1408">
        <v>5</v>
      </c>
      <c r="L3991" s="1406">
        <f>INT(base[[#This Row],[Data de liquidação]])</f>
        <v>46265</v>
      </c>
      <c r="M3991" s="1408">
        <f>base[[#This Row],[L/P Bruto]]-base[[#This Row],[L/P Líquido]]</f>
        <v>0</v>
      </c>
      <c r="N3991" s="1408">
        <f>base[[#This Row],[L/P Líquido]]/base[[#This Row],[Stake/Responsabilidade]]</f>
        <v>-1</v>
      </c>
      <c r="O3991" s="1410">
        <f>IF(base[[#This Row],[L/P Líquido]]&gt;0,1,0)</f>
        <v>0</v>
      </c>
      <c r="P3991" s="1410"/>
      <c r="Q3991" s="1410" t="str">
        <f>LEFT(base[[#This Row],[Evento / Mercado]],FIND("vs",base[[#This Row],[Evento / Mercado]])-2)</f>
        <v>Unión La Calera</v>
      </c>
      <c r="R3991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991" s="1410" t="str">
        <f>LEFT(base[[#This Row],[Evento / Mercado]],FIND("/",base[[#This Row],[Evento / Mercado]])-2)</f>
        <v>Unión La Calera vs La Serena</v>
      </c>
      <c r="T3991" s="1411">
        <f>base[[#This Row],[Data de liquidação]]</f>
        <v>46265.883287037039</v>
      </c>
    </row>
    <row r="3992" spans="2:20" ht="15" customHeight="1">
      <c r="B3992" s="1405" t="s">
        <v>4668</v>
      </c>
      <c r="C3992" s="859" t="s">
        <v>3512</v>
      </c>
      <c r="D3992" s="1406">
        <v>46265.895648148151</v>
      </c>
      <c r="E3992" s="1407">
        <v>7.64</v>
      </c>
      <c r="F3992" s="583">
        <v>4.4999999999999998E-2</v>
      </c>
      <c r="G3992" s="1408">
        <f t="shared" si="162"/>
        <v>8</v>
      </c>
      <c r="H3992" s="1434" t="s">
        <v>4685</v>
      </c>
      <c r="I3992" s="1409" t="s">
        <v>626</v>
      </c>
      <c r="J3992" s="1408">
        <v>13.5</v>
      </c>
      <c r="K3992" s="1408">
        <v>100</v>
      </c>
      <c r="L3992" s="1406">
        <f>INT(base[[#This Row],[Data de liquidação]])</f>
        <v>46265</v>
      </c>
      <c r="M3992" s="1408">
        <f>base[[#This Row],[L/P Bruto]]-base[[#This Row],[L/P Líquido]]</f>
        <v>0.36000000000000032</v>
      </c>
      <c r="N3992" s="1408">
        <f>base[[#This Row],[L/P Líquido]]/base[[#This Row],[Stake/Responsabilidade]]</f>
        <v>7.6399999999999996E-2</v>
      </c>
      <c r="O3992" s="1410">
        <f>IF(base[[#This Row],[L/P Líquido]]&gt;0,1,0)</f>
        <v>1</v>
      </c>
      <c r="P3992" s="1410"/>
      <c r="Q3992" s="1410" t="str">
        <f>LEFT(base[[#This Row],[Evento / Mercado]],FIND("vs",base[[#This Row],[Evento / Mercado]])-2)</f>
        <v>Fortaleza EC</v>
      </c>
      <c r="R3992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3992" s="1410" t="str">
        <f>LEFT(base[[#This Row],[Evento / Mercado]],FIND("/",base[[#This Row],[Evento / Mercado]])-2)</f>
        <v>Fortaleza EC vs Operário Ferroviário</v>
      </c>
      <c r="T3992" s="1411">
        <f>base[[#This Row],[Data de liquidação]]</f>
        <v>46265.895648148151</v>
      </c>
    </row>
    <row r="3993" spans="2:20" ht="15" customHeight="1">
      <c r="B3993" s="1413" t="s">
        <v>4681</v>
      </c>
      <c r="C3993" s="859" t="s">
        <v>3512</v>
      </c>
      <c r="D3993" s="1414">
        <v>46266.681944444441</v>
      </c>
      <c r="E3993" s="1415">
        <v>-20</v>
      </c>
      <c r="F3993" s="583">
        <v>4.4999999999999998E-2</v>
      </c>
      <c r="G3993" s="1416">
        <f t="shared" ref="G3993:G3998" si="163">IF(E3993&gt;0,E3993/(1-F3993),E3993)</f>
        <v>-20</v>
      </c>
      <c r="H3993" s="1365" t="s">
        <v>1646</v>
      </c>
      <c r="I3993" s="1402" t="s">
        <v>2274</v>
      </c>
      <c r="J3993" s="1416">
        <v>1.56</v>
      </c>
      <c r="K3993" s="1416">
        <v>20</v>
      </c>
      <c r="L3993" s="1414">
        <f>INT(base[[#This Row],[Data de liquidação]])</f>
        <v>46266</v>
      </c>
      <c r="M3993" s="1416">
        <f>base[[#This Row],[L/P Bruto]]-base[[#This Row],[L/P Líquido]]</f>
        <v>0</v>
      </c>
      <c r="N3993" s="1416">
        <f>base[[#This Row],[L/P Líquido]]/base[[#This Row],[Stake/Responsabilidade]]</f>
        <v>-1</v>
      </c>
      <c r="O3993" s="1417">
        <f>IF(base[[#This Row],[L/P Líquido]]&gt;0,1,0)</f>
        <v>0</v>
      </c>
      <c r="P3993" s="1417"/>
      <c r="Q3993" s="1417" t="str">
        <f>LEFT(base[[#This Row],[Evento / Mercado]],FIND("vs",base[[#This Row],[Evento / Mercado]])-2)</f>
        <v>Durban City FC</v>
      </c>
      <c r="R3993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Stellenbosch FC</v>
      </c>
      <c r="S3993" s="1417" t="str">
        <f>LEFT(base[[#This Row],[Evento / Mercado]],FIND("/",base[[#This Row],[Evento / Mercado]])-2)</f>
        <v>Durban City FC vs Stellenbosch FC</v>
      </c>
      <c r="T3993" s="1418">
        <f>base[[#This Row],[Data de liquidação]]</f>
        <v>46266.681944444441</v>
      </c>
    </row>
    <row r="3994" spans="2:20" ht="15" customHeight="1">
      <c r="B3994" s="1413" t="s">
        <v>4680</v>
      </c>
      <c r="C3994" s="859" t="s">
        <v>3512</v>
      </c>
      <c r="D3994" s="1414">
        <v>46266.710312499999</v>
      </c>
      <c r="E3994" s="1415">
        <v>9.9499999999999993</v>
      </c>
      <c r="F3994" s="583">
        <v>4.4999999999999998E-2</v>
      </c>
      <c r="G3994" s="1416">
        <f t="shared" si="163"/>
        <v>10.418848167539267</v>
      </c>
      <c r="H3994" s="1365" t="s">
        <v>1646</v>
      </c>
      <c r="I3994" s="1402" t="s">
        <v>2274</v>
      </c>
      <c r="J3994" s="1416">
        <v>1.52</v>
      </c>
      <c r="K3994" s="1416">
        <v>20</v>
      </c>
      <c r="L3994" s="1414">
        <f>INT(base[[#This Row],[Data de liquidação]])</f>
        <v>46266</v>
      </c>
      <c r="M3994" s="1416">
        <f>base[[#This Row],[L/P Bruto]]-base[[#This Row],[L/P Líquido]]</f>
        <v>0.46884816753926728</v>
      </c>
      <c r="N3994" s="1416">
        <f>base[[#This Row],[L/P Líquido]]/base[[#This Row],[Stake/Responsabilidade]]</f>
        <v>0.49749999999999994</v>
      </c>
      <c r="O3994" s="1417">
        <f>IF(base[[#This Row],[L/P Líquido]]&gt;0,1,0)</f>
        <v>1</v>
      </c>
      <c r="P3994" s="1417"/>
      <c r="Q3994" s="1417" t="str">
        <f>LEFT(base[[#This Row],[Evento / Mercado]],FIND("vs",base[[#This Row],[Evento / Mercado]])-2)</f>
        <v>Bradford City</v>
      </c>
      <c r="R3994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3994" s="1417" t="str">
        <f>LEFT(base[[#This Row],[Evento / Mercado]],FIND("/",base[[#This Row],[Evento / Mercado]])-2)</f>
        <v>Bradford City vs Cambridge United</v>
      </c>
      <c r="T3994" s="1418">
        <f>base[[#This Row],[Data de liquidação]]</f>
        <v>46266.710312499999</v>
      </c>
    </row>
    <row r="3995" spans="2:20" ht="15" customHeight="1">
      <c r="B3995" s="1413" t="s">
        <v>4679</v>
      </c>
      <c r="C3995" s="859" t="s">
        <v>3512</v>
      </c>
      <c r="D3995" s="1414">
        <v>46266.718935185185</v>
      </c>
      <c r="E3995" s="1415">
        <v>76.81</v>
      </c>
      <c r="F3995" s="583">
        <v>4.4999999999999998E-2</v>
      </c>
      <c r="G3995" s="1416">
        <f t="shared" si="163"/>
        <v>80.429319371727757</v>
      </c>
      <c r="H3995" s="1401" t="s">
        <v>314</v>
      </c>
      <c r="I3995" s="1402" t="s">
        <v>349</v>
      </c>
      <c r="J3995" s="1416">
        <v>1.67</v>
      </c>
      <c r="K3995" s="1416">
        <v>120</v>
      </c>
      <c r="L3995" s="1414">
        <f>INT(base[[#This Row],[Data de liquidação]])</f>
        <v>46266</v>
      </c>
      <c r="M3995" s="1416">
        <f>base[[#This Row],[L/P Bruto]]-base[[#This Row],[L/P Líquido]]</f>
        <v>3.6193193717277552</v>
      </c>
      <c r="N3995" s="1416">
        <f>base[[#This Row],[L/P Líquido]]/base[[#This Row],[Stake/Responsabilidade]]</f>
        <v>0.64008333333333334</v>
      </c>
      <c r="O3995" s="1417">
        <f>IF(base[[#This Row],[L/P Líquido]]&gt;0,1,0)</f>
        <v>1</v>
      </c>
      <c r="P3995" s="1417"/>
      <c r="Q3995" s="1417" t="str">
        <f>LEFT(base[[#This Row],[Evento / Mercado]],FIND("vs",base[[#This Row],[Evento / Mercado]])-2)</f>
        <v>Birmingham City</v>
      </c>
      <c r="R3995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995" s="1417" t="str">
        <f>LEFT(base[[#This Row],[Evento / Mercado]],FIND("/",base[[#This Row],[Evento / Mercado]])-2)</f>
        <v>Birmingham City vs Southampton</v>
      </c>
      <c r="T3995" s="1418">
        <f>base[[#This Row],[Data de liquidação]]</f>
        <v>46266.718935185185</v>
      </c>
    </row>
    <row r="3996" spans="2:20" ht="15" customHeight="1">
      <c r="B3996" s="1413" t="s">
        <v>4678</v>
      </c>
      <c r="C3996" s="859" t="s">
        <v>3512</v>
      </c>
      <c r="D3996" s="1414">
        <v>46266.73641203704</v>
      </c>
      <c r="E3996" s="1415">
        <v>-5</v>
      </c>
      <c r="F3996" s="583">
        <v>4.4999999999999998E-2</v>
      </c>
      <c r="G3996" s="1416">
        <f t="shared" si="163"/>
        <v>-5</v>
      </c>
      <c r="H3996" s="1365" t="s">
        <v>1646</v>
      </c>
      <c r="I3996" s="1387" t="s">
        <v>3293</v>
      </c>
      <c r="J3996" s="1416">
        <v>1.72</v>
      </c>
      <c r="K3996" s="1416">
        <v>5</v>
      </c>
      <c r="L3996" s="1414">
        <f>INT(base[[#This Row],[Data de liquidação]])</f>
        <v>46266</v>
      </c>
      <c r="M3996" s="1416">
        <f>base[[#This Row],[L/P Bruto]]-base[[#This Row],[L/P Líquido]]</f>
        <v>0</v>
      </c>
      <c r="N3996" s="1416">
        <f>base[[#This Row],[L/P Líquido]]/base[[#This Row],[Stake/Responsabilidade]]</f>
        <v>-1</v>
      </c>
      <c r="O3996" s="1417">
        <f>IF(base[[#This Row],[L/P Líquido]]&gt;0,1,0)</f>
        <v>0</v>
      </c>
      <c r="P3996" s="1417"/>
      <c r="Q3996" s="1417" t="str">
        <f>LEFT(base[[#This Row],[Evento / Mercado]],FIND("vs",base[[#This Row],[Evento / Mercado]])-2)</f>
        <v>Portsmouth</v>
      </c>
      <c r="R3996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3996" s="1417" t="str">
        <f>LEFT(base[[#This Row],[Evento / Mercado]],FIND("/",base[[#This Row],[Evento / Mercado]])-2)</f>
        <v>Portsmouth vs Derby County</v>
      </c>
      <c r="T3996" s="1418">
        <f>base[[#This Row],[Data de liquidação]]</f>
        <v>46266.73641203704</v>
      </c>
    </row>
    <row r="3997" spans="2:20" ht="15" customHeight="1">
      <c r="B3997" s="1413" t="s">
        <v>4677</v>
      </c>
      <c r="C3997" s="859" t="s">
        <v>3512</v>
      </c>
      <c r="D3997" s="1414">
        <v>46266.890335648146</v>
      </c>
      <c r="E3997" s="1415">
        <v>12.57</v>
      </c>
      <c r="F3997" s="583">
        <v>4.4999999999999998E-2</v>
      </c>
      <c r="G3997" s="1416">
        <f t="shared" si="163"/>
        <v>13.162303664921467</v>
      </c>
      <c r="H3997" s="1365" t="s">
        <v>1646</v>
      </c>
      <c r="I3997" s="1433" t="s">
        <v>4684</v>
      </c>
      <c r="J3997" s="1416">
        <v>8.6</v>
      </c>
      <c r="K3997" s="1416">
        <v>100.02</v>
      </c>
      <c r="L3997" s="1414">
        <f>INT(base[[#This Row],[Data de liquidação]])</f>
        <v>46266</v>
      </c>
      <c r="M3997" s="1416">
        <f>base[[#This Row],[L/P Bruto]]-base[[#This Row],[L/P Líquido]]</f>
        <v>0.59230366492146658</v>
      </c>
      <c r="N3997" s="1416">
        <f>base[[#This Row],[L/P Líquido]]/base[[#This Row],[Stake/Responsabilidade]]</f>
        <v>0.1256748650269946</v>
      </c>
      <c r="O3997" s="1417">
        <f>IF(base[[#This Row],[L/P Líquido]]&gt;0,1,0)</f>
        <v>1</v>
      </c>
      <c r="P3997" s="1417"/>
      <c r="Q3997" s="1417" t="str">
        <f>LEFT(base[[#This Row],[Evento / Mercado]],FIND("vs",base[[#This Row],[Evento / Mercado]])-2)</f>
        <v>Londrina</v>
      </c>
      <c r="R3997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7" s="1417" t="str">
        <f>LEFT(base[[#This Row],[Evento / Mercado]],FIND("/",base[[#This Row],[Evento / Mercado]])-2)</f>
        <v>Londrina vs EC Juventude</v>
      </c>
      <c r="T3997" s="1418">
        <f>base[[#This Row],[Data de liquidação]]</f>
        <v>46266.890335648146</v>
      </c>
    </row>
    <row r="3998" spans="2:20" ht="15" customHeight="1">
      <c r="B3998" s="1413" t="s">
        <v>4676</v>
      </c>
      <c r="C3998" s="859" t="s">
        <v>3512</v>
      </c>
      <c r="D3998" s="1414">
        <v>46266.890474537038</v>
      </c>
      <c r="E3998" s="1415">
        <v>-20</v>
      </c>
      <c r="F3998" s="583">
        <v>4.4999999999999998E-2</v>
      </c>
      <c r="G3998" s="1416">
        <f t="shared" si="163"/>
        <v>-20</v>
      </c>
      <c r="H3998" s="1365" t="s">
        <v>1646</v>
      </c>
      <c r="I3998" s="1402" t="s">
        <v>2274</v>
      </c>
      <c r="J3998" s="1416">
        <v>1.51</v>
      </c>
      <c r="K3998" s="1416">
        <v>20</v>
      </c>
      <c r="L3998" s="1414">
        <f>INT(base[[#This Row],[Data de liquidação]])</f>
        <v>46266</v>
      </c>
      <c r="M3998" s="1416">
        <f>base[[#This Row],[L/P Bruto]]-base[[#This Row],[L/P Líquido]]</f>
        <v>0</v>
      </c>
      <c r="N3998" s="1416">
        <f>base[[#This Row],[L/P Líquido]]/base[[#This Row],[Stake/Responsabilidade]]</f>
        <v>-1</v>
      </c>
      <c r="O3998" s="1417">
        <f>IF(base[[#This Row],[L/P Líquido]]&gt;0,1,0)</f>
        <v>0</v>
      </c>
      <c r="P3998" s="1417"/>
      <c r="Q3998" s="1417" t="str">
        <f>LEFT(base[[#This Row],[Evento / Mercado]],FIND("vs",base[[#This Row],[Evento / Mercado]])-2)</f>
        <v>Londrina</v>
      </c>
      <c r="R3998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8" s="1417" t="str">
        <f>LEFT(base[[#This Row],[Evento / Mercado]],FIND("/",base[[#This Row],[Evento / Mercado]])-2)</f>
        <v>Londrina vs EC Juventude</v>
      </c>
      <c r="T3998" s="1418">
        <f>base[[#This Row],[Data de liquidação]]</f>
        <v>46266.890474537038</v>
      </c>
    </row>
    <row r="3999" spans="2:20" ht="15" customHeight="1">
      <c r="B3999" s="1435" t="s">
        <v>4695</v>
      </c>
      <c r="C3999" s="859" t="s">
        <v>3512</v>
      </c>
      <c r="D3999" s="1436">
        <v>46267.372291666667</v>
      </c>
      <c r="E3999" s="1437">
        <v>11.65</v>
      </c>
      <c r="F3999" s="583">
        <v>4.4999999999999998E-2</v>
      </c>
      <c r="G3999" s="1438">
        <f t="shared" ref="G3999:G4008" si="164">IF(E3999&gt;0,E3999/(1-F3999),E3999)</f>
        <v>12.198952879581153</v>
      </c>
      <c r="H3999" s="1365" t="s">
        <v>1646</v>
      </c>
      <c r="I3999" s="1433" t="s">
        <v>4684</v>
      </c>
      <c r="J3999" s="1438">
        <v>9.1999999999999993</v>
      </c>
      <c r="K3999" s="1438">
        <v>100.04</v>
      </c>
      <c r="L3999" s="1436">
        <f>INT(base[[#This Row],[Data de liquidação]])</f>
        <v>46267</v>
      </c>
      <c r="M3999" s="1438">
        <f>base[[#This Row],[L/P Bruto]]-base[[#This Row],[L/P Líquido]]</f>
        <v>0.54895287958115269</v>
      </c>
      <c r="N3999" s="1438">
        <f>base[[#This Row],[L/P Líquido]]/base[[#This Row],[Stake/Responsabilidade]]</f>
        <v>0.11645341863254698</v>
      </c>
      <c r="O3999" s="1440">
        <f>IF(base[[#This Row],[L/P Líquido]]&gt;0,1,0)</f>
        <v>1</v>
      </c>
      <c r="P3999" s="1440"/>
      <c r="Q3999" s="1440" t="str">
        <f>LEFT(base[[#This Row],[Evento / Mercado]],FIND("vs",base[[#This Row],[Evento / Mercado]])-2)</f>
        <v>Shimizu S-Pulse</v>
      </c>
      <c r="R3999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3999" s="1440" t="str">
        <f>LEFT(base[[#This Row],[Evento / Mercado]],FIND("/",base[[#This Row],[Evento / Mercado]])-2)</f>
        <v>Shimizu S-Pulse vs FC Tokyo</v>
      </c>
      <c r="T3999" s="1441">
        <f>base[[#This Row],[Data de liquidação]]</f>
        <v>46267.372291666667</v>
      </c>
    </row>
    <row r="4000" spans="2:20" ht="15" customHeight="1">
      <c r="B4000" s="1435" t="s">
        <v>4694</v>
      </c>
      <c r="C4000" s="859" t="s">
        <v>3512</v>
      </c>
      <c r="D4000" s="1436">
        <v>46267.537766203706</v>
      </c>
      <c r="E4000" s="1437">
        <v>10.06</v>
      </c>
      <c r="F4000" s="583">
        <v>4.4999999999999998E-2</v>
      </c>
      <c r="G4000" s="1438">
        <f t="shared" si="164"/>
        <v>10.534031413612567</v>
      </c>
      <c r="H4000" s="1365" t="s">
        <v>1646</v>
      </c>
      <c r="I4000" s="1433" t="s">
        <v>4684</v>
      </c>
      <c r="J4000" s="1438">
        <v>10.5</v>
      </c>
      <c r="K4000" s="1438">
        <v>100.04</v>
      </c>
      <c r="L4000" s="1436">
        <f>INT(base[[#This Row],[Data de liquidação]])</f>
        <v>46267</v>
      </c>
      <c r="M4000" s="1438">
        <f>base[[#This Row],[L/P Bruto]]-base[[#This Row],[L/P Líquido]]</f>
        <v>0.47403141361256651</v>
      </c>
      <c r="N4000" s="1438">
        <f>base[[#This Row],[L/P Líquido]]/base[[#This Row],[Stake/Responsabilidade]]</f>
        <v>0.10055977608956418</v>
      </c>
      <c r="O4000" s="1440">
        <f>IF(base[[#This Row],[L/P Líquido]]&gt;0,1,0)</f>
        <v>1</v>
      </c>
      <c r="P4000" s="1440"/>
      <c r="Q4000" s="1440" t="str">
        <f>LEFT(base[[#This Row],[Evento / Mercado]],FIND("vs",base[[#This Row],[Evento / Mercado]])-2)</f>
        <v>Vanspor FK</v>
      </c>
      <c r="R4000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Batman Petrolspor</v>
      </c>
      <c r="S4000" s="1440" t="str">
        <f>LEFT(base[[#This Row],[Evento / Mercado]],FIND("/",base[[#This Row],[Evento / Mercado]])-2)</f>
        <v>Vanspor FK vs Batman Petrolspor</v>
      </c>
      <c r="T4000" s="1441">
        <f>base[[#This Row],[Data de liquidação]]</f>
        <v>46267.537766203706</v>
      </c>
    </row>
    <row r="4001" spans="2:20" ht="15" customHeight="1">
      <c r="B4001" s="1435" t="s">
        <v>4693</v>
      </c>
      <c r="C4001" s="859" t="s">
        <v>3512</v>
      </c>
      <c r="D4001" s="1436">
        <v>46267.594768518517</v>
      </c>
      <c r="E4001" s="1437">
        <v>9.5500000000000007</v>
      </c>
      <c r="F4001" s="583">
        <v>4.4999999999999998E-2</v>
      </c>
      <c r="G4001" s="1438">
        <f t="shared" si="164"/>
        <v>10.000000000000002</v>
      </c>
      <c r="H4001" s="1365" t="s">
        <v>1646</v>
      </c>
      <c r="I4001" s="1402" t="s">
        <v>2274</v>
      </c>
      <c r="J4001" s="1438">
        <v>1.5</v>
      </c>
      <c r="K4001" s="1438">
        <v>20</v>
      </c>
      <c r="L4001" s="1436">
        <f>INT(base[[#This Row],[Data de liquidação]])</f>
        <v>46267</v>
      </c>
      <c r="M4001" s="1438">
        <f>base[[#This Row],[L/P Bruto]]-base[[#This Row],[L/P Líquido]]</f>
        <v>0.45000000000000107</v>
      </c>
      <c r="N4001" s="1438">
        <f>base[[#This Row],[L/P Líquido]]/base[[#This Row],[Stake/Responsabilidade]]</f>
        <v>0.47750000000000004</v>
      </c>
      <c r="O4001" s="1440">
        <f>IF(base[[#This Row],[L/P Líquido]]&gt;0,1,0)</f>
        <v>1</v>
      </c>
      <c r="P4001" s="1440"/>
      <c r="Q4001" s="1440" t="str">
        <f>LEFT(base[[#This Row],[Evento / Mercado]],FIND("vs",base[[#This Row],[Evento / Mercado]])-2)</f>
        <v>FC Zbrojovka Brno</v>
      </c>
      <c r="R4001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Hradec Králové</v>
      </c>
      <c r="S4001" s="1440" t="str">
        <f>LEFT(base[[#This Row],[Evento / Mercado]],FIND("/",base[[#This Row],[Evento / Mercado]])-2)</f>
        <v>FC Zbrojovka Brno vs FC Hradec Králové</v>
      </c>
      <c r="T4001" s="1441">
        <f>base[[#This Row],[Data de liquidação]]</f>
        <v>46267.594768518517</v>
      </c>
    </row>
    <row r="4002" spans="2:20" ht="15" customHeight="1">
      <c r="B4002" s="1435" t="s">
        <v>4692</v>
      </c>
      <c r="C4002" s="859" t="s">
        <v>3512</v>
      </c>
      <c r="D4002" s="1436">
        <v>46267.718587962961</v>
      </c>
      <c r="E4002" s="1437">
        <v>5.35</v>
      </c>
      <c r="F4002" s="583">
        <v>4.4999999999999998E-2</v>
      </c>
      <c r="G4002" s="1438">
        <f t="shared" si="164"/>
        <v>5.6020942408376966</v>
      </c>
      <c r="H4002" s="1365" t="s">
        <v>1646</v>
      </c>
      <c r="I4002" s="1387" t="s">
        <v>3293</v>
      </c>
      <c r="J4002" s="1438">
        <v>2.12</v>
      </c>
      <c r="K4002" s="1438">
        <v>5</v>
      </c>
      <c r="L4002" s="1436">
        <f>INT(base[[#This Row],[Data de liquidação]])</f>
        <v>46267</v>
      </c>
      <c r="M4002" s="1438">
        <f>base[[#This Row],[L/P Bruto]]-base[[#This Row],[L/P Líquido]]</f>
        <v>0.25209424083769694</v>
      </c>
      <c r="N4002" s="1438">
        <f>base[[#This Row],[L/P Líquido]]/base[[#This Row],[Stake/Responsabilidade]]</f>
        <v>1.0699999999999998</v>
      </c>
      <c r="O4002" s="1440">
        <f>IF(base[[#This Row],[L/P Líquido]]&gt;0,1,0)</f>
        <v>1</v>
      </c>
      <c r="P4002" s="1440"/>
      <c r="Q4002" s="1440" t="str">
        <f>LEFT(base[[#This Row],[Evento / Mercado]],FIND("vs",base[[#This Row],[Evento / Mercado]])-2)</f>
        <v>Millwall</v>
      </c>
      <c r="R4002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02" s="1440" t="str">
        <f>LEFT(base[[#This Row],[Evento / Mercado]],FIND("/",base[[#This Row],[Evento / Mercado]])-2)</f>
        <v>Millwall vs Wrexham</v>
      </c>
      <c r="T4002" s="1441">
        <f>base[[#This Row],[Data de liquidação]]</f>
        <v>46267.718587962961</v>
      </c>
    </row>
    <row r="4003" spans="2:20" ht="15" customHeight="1">
      <c r="B4003" s="1435" t="s">
        <v>4691</v>
      </c>
      <c r="C4003" s="859" t="s">
        <v>3512</v>
      </c>
      <c r="D4003" s="1436">
        <v>46267.721979166665</v>
      </c>
      <c r="E4003" s="1437">
        <v>23.88</v>
      </c>
      <c r="F4003" s="583">
        <v>4.4999999999999998E-2</v>
      </c>
      <c r="G4003" s="1438">
        <f t="shared" si="164"/>
        <v>25.005235602094242</v>
      </c>
      <c r="H4003" s="1434" t="s">
        <v>4685</v>
      </c>
      <c r="I4003" s="1439" t="s">
        <v>693</v>
      </c>
      <c r="J4003" s="1438">
        <v>17</v>
      </c>
      <c r="K4003" s="1438">
        <v>400</v>
      </c>
      <c r="L4003" s="1436">
        <f>INT(base[[#This Row],[Data de liquidação]])</f>
        <v>46267</v>
      </c>
      <c r="M4003" s="1438">
        <f>base[[#This Row],[L/P Bruto]]-base[[#This Row],[L/P Líquido]]</f>
        <v>1.1252356020942429</v>
      </c>
      <c r="N4003" s="1438">
        <f>base[[#This Row],[L/P Líquido]]/base[[#This Row],[Stake/Responsabilidade]]</f>
        <v>5.9699999999999996E-2</v>
      </c>
      <c r="O4003" s="1440">
        <f>IF(base[[#This Row],[L/P Líquido]]&gt;0,1,0)</f>
        <v>1</v>
      </c>
      <c r="P4003" s="1440"/>
      <c r="Q4003" s="1440" t="str">
        <f>LEFT(base[[#This Row],[Evento / Mercado]],FIND("vs",base[[#This Row],[Evento / Mercado]])-2)</f>
        <v>Grasshopper Club Zürich</v>
      </c>
      <c r="R4003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4003" s="1440" t="str">
        <f>LEFT(base[[#This Row],[Evento / Mercado]],FIND("/",base[[#This Row],[Evento / Mercado]])-2)</f>
        <v>Grasshopper Club Zürich vs FC St. Gallen</v>
      </c>
      <c r="T4003" s="1441">
        <f>base[[#This Row],[Data de liquidação]]</f>
        <v>46267.721979166665</v>
      </c>
    </row>
    <row r="4004" spans="2:20" ht="15" customHeight="1">
      <c r="B4004" s="1435" t="s">
        <v>4690</v>
      </c>
      <c r="C4004" s="859" t="s">
        <v>3512</v>
      </c>
      <c r="D4004" s="1436">
        <v>46267.72452546296</v>
      </c>
      <c r="E4004" s="1437">
        <v>21.22</v>
      </c>
      <c r="F4004" s="583">
        <v>4.4999999999999998E-2</v>
      </c>
      <c r="G4004" s="1438">
        <f t="shared" si="164"/>
        <v>22.219895287958114</v>
      </c>
      <c r="H4004" s="1434" t="s">
        <v>4685</v>
      </c>
      <c r="I4004" s="1409" t="s">
        <v>626</v>
      </c>
      <c r="J4004" s="1438">
        <v>19</v>
      </c>
      <c r="K4004" s="1438">
        <v>399.96</v>
      </c>
      <c r="L4004" s="1436">
        <f>INT(base[[#This Row],[Data de liquidação]])</f>
        <v>46267</v>
      </c>
      <c r="M4004" s="1438">
        <f>base[[#This Row],[L/P Bruto]]-base[[#This Row],[L/P Líquido]]</f>
        <v>0.99989528795811466</v>
      </c>
      <c r="N4004" s="1438">
        <f>base[[#This Row],[L/P Líquido]]/base[[#This Row],[Stake/Responsabilidade]]</f>
        <v>5.3055305530553057E-2</v>
      </c>
      <c r="O4004" s="1440">
        <f>IF(base[[#This Row],[L/P Líquido]]&gt;0,1,0)</f>
        <v>1</v>
      </c>
      <c r="P4004" s="1440"/>
      <c r="Q4004" s="1440" t="str">
        <f>LEFT(base[[#This Row],[Evento / Mercado]],FIND("vs",base[[#This Row],[Evento / Mercado]])-2)</f>
        <v>FC Luzern</v>
      </c>
      <c r="R4004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Vaduz</v>
      </c>
      <c r="S4004" s="1440" t="str">
        <f>LEFT(base[[#This Row],[Evento / Mercado]],FIND("/",base[[#This Row],[Evento / Mercado]])-2)</f>
        <v>FC Luzern vs FC Vaduz</v>
      </c>
      <c r="T4004" s="1441">
        <f>base[[#This Row],[Data de liquidação]]</f>
        <v>46267.72452546296</v>
      </c>
    </row>
    <row r="4005" spans="2:20" ht="15" customHeight="1">
      <c r="B4005" s="1435" t="s">
        <v>4689</v>
      </c>
      <c r="C4005" s="859" t="s">
        <v>3512</v>
      </c>
      <c r="D4005" s="1436">
        <v>46267.734930555554</v>
      </c>
      <c r="E4005" s="1437">
        <v>33.79</v>
      </c>
      <c r="F4005" s="583">
        <v>4.4999999999999998E-2</v>
      </c>
      <c r="G4005" s="1438">
        <f t="shared" si="164"/>
        <v>35.382198952879584</v>
      </c>
      <c r="H4005" s="1401" t="s">
        <v>3367</v>
      </c>
      <c r="I4005" s="1402" t="s">
        <v>391</v>
      </c>
      <c r="J4005" s="1438">
        <v>14</v>
      </c>
      <c r="K4005" s="1438">
        <f>209.95+249.99</f>
        <v>459.94</v>
      </c>
      <c r="L4005" s="1436">
        <f>INT(base[[#This Row],[Data de liquidação]])</f>
        <v>46267</v>
      </c>
      <c r="M4005" s="1438">
        <f>base[[#This Row],[L/P Bruto]]-base[[#This Row],[L/P Líquido]]</f>
        <v>1.5921989528795848</v>
      </c>
      <c r="N4005" s="1438">
        <f>base[[#This Row],[L/P Líquido]]/base[[#This Row],[Stake/Responsabilidade]]</f>
        <v>7.3466104274470576E-2</v>
      </c>
      <c r="O4005" s="1440">
        <f>IF(base[[#This Row],[L/P Líquido]]&gt;0,1,0)</f>
        <v>1</v>
      </c>
      <c r="P4005" s="1448" t="s">
        <v>1217</v>
      </c>
      <c r="Q4005" s="1440" t="str">
        <f>LEFT(base[[#This Row],[Evento / Mercado]],FIND("vs",base[[#This Row],[Evento / Mercado]])-2)</f>
        <v>Celtic</v>
      </c>
      <c r="R4005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4005" s="1440" t="str">
        <f>LEFT(base[[#This Row],[Evento / Mercado]],FIND("/",base[[#This Row],[Evento / Mercado]])-2)</f>
        <v>Celtic vs Aberdeen</v>
      </c>
      <c r="T4005" s="1441">
        <f>base[[#This Row],[Data de liquidação]]</f>
        <v>46267.734930555554</v>
      </c>
    </row>
    <row r="4006" spans="2:20" ht="15" customHeight="1">
      <c r="B4006" s="1435" t="s">
        <v>4688</v>
      </c>
      <c r="C4006" s="859" t="s">
        <v>3512</v>
      </c>
      <c r="D4006" s="1436">
        <v>46267.849386574075</v>
      </c>
      <c r="E4006" s="1437">
        <v>-5</v>
      </c>
      <c r="F4006" s="583">
        <v>4.4999999999999998E-2</v>
      </c>
      <c r="G4006" s="1438">
        <f t="shared" si="164"/>
        <v>-5</v>
      </c>
      <c r="H4006" s="1365" t="s">
        <v>1646</v>
      </c>
      <c r="I4006" s="1387" t="s">
        <v>3293</v>
      </c>
      <c r="J4006" s="1438">
        <v>2.16</v>
      </c>
      <c r="K4006" s="1438">
        <v>5</v>
      </c>
      <c r="L4006" s="1436">
        <f>INT(base[[#This Row],[Data de liquidação]])</f>
        <v>46267</v>
      </c>
      <c r="M4006" s="1438">
        <f>base[[#This Row],[L/P Bruto]]-base[[#This Row],[L/P Líquido]]</f>
        <v>0</v>
      </c>
      <c r="N4006" s="1438">
        <f>base[[#This Row],[L/P Líquido]]/base[[#This Row],[Stake/Responsabilidade]]</f>
        <v>-1</v>
      </c>
      <c r="O4006" s="1440">
        <f>IF(base[[#This Row],[L/P Líquido]]&gt;0,1,0)</f>
        <v>0</v>
      </c>
      <c r="P4006" s="1440"/>
      <c r="Q4006" s="1440" t="str">
        <f>LEFT(base[[#This Row],[Evento / Mercado]],FIND("vs",base[[#This Row],[Evento / Mercado]])-2)</f>
        <v>Club Olimpia</v>
      </c>
      <c r="R4006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Guaraní</v>
      </c>
      <c r="S4006" s="1440" t="str">
        <f>LEFT(base[[#This Row],[Evento / Mercado]],FIND("/",base[[#This Row],[Evento / Mercado]])-2)</f>
        <v>Club Olimpia vs Club Guaraní</v>
      </c>
      <c r="T4006" s="1441">
        <f>base[[#This Row],[Data de liquidação]]</f>
        <v>46267.849386574075</v>
      </c>
    </row>
    <row r="4007" spans="2:20" ht="15" customHeight="1">
      <c r="B4007" s="1435" t="s">
        <v>4687</v>
      </c>
      <c r="C4007" s="859" t="s">
        <v>3512</v>
      </c>
      <c r="D4007" s="1436">
        <v>46267.894120370373</v>
      </c>
      <c r="E4007" s="1437">
        <v>29.83</v>
      </c>
      <c r="F4007" s="583">
        <v>4.4999999999999998E-2</v>
      </c>
      <c r="G4007" s="1438">
        <f t="shared" si="164"/>
        <v>31.235602094240836</v>
      </c>
      <c r="H4007" s="1401" t="s">
        <v>3367</v>
      </c>
      <c r="I4007" s="1402" t="s">
        <v>391</v>
      </c>
      <c r="J4007" s="1438">
        <f>(16*210+15.5*249.98)/base[[#This Row],[Stake/Responsabilidade]]</f>
        <v>15.728270794382365</v>
      </c>
      <c r="K4007" s="1438">
        <f>210+249.98</f>
        <v>459.98</v>
      </c>
      <c r="L4007" s="1436">
        <f>INT(base[[#This Row],[Data de liquidação]])</f>
        <v>46267</v>
      </c>
      <c r="M4007" s="1438">
        <f>base[[#This Row],[L/P Bruto]]-base[[#This Row],[L/P Líquido]]</f>
        <v>1.4056020942408374</v>
      </c>
      <c r="N4007" s="1438">
        <f>base[[#This Row],[L/P Líquido]]/base[[#This Row],[Stake/Responsabilidade]]</f>
        <v>6.4850645680246954E-2</v>
      </c>
      <c r="O4007" s="1440">
        <f>IF(base[[#This Row],[L/P Líquido]]&gt;0,1,0)</f>
        <v>1</v>
      </c>
      <c r="P4007" s="1448" t="s">
        <v>1359</v>
      </c>
      <c r="Q4007" s="1440" t="str">
        <f>LEFT(base[[#This Row],[Evento / Mercado]],FIND("vs",base[[#This Row],[Evento / Mercado]])-2)</f>
        <v>Flamengo</v>
      </c>
      <c r="R4007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4007" s="1440" t="str">
        <f>LEFT(base[[#This Row],[Evento / Mercado]],FIND("/",base[[#This Row],[Evento / Mercado]])-2)</f>
        <v>Flamengo vs Mirassol FC</v>
      </c>
      <c r="T4007" s="1441">
        <f>base[[#This Row],[Data de liquidação]]</f>
        <v>46267.894120370373</v>
      </c>
    </row>
    <row r="4008" spans="2:20" ht="15" customHeight="1">
      <c r="B4008" s="1435" t="s">
        <v>4686</v>
      </c>
      <c r="C4008" s="859" t="s">
        <v>3512</v>
      </c>
      <c r="D4008" s="1436">
        <v>46267.964803240742</v>
      </c>
      <c r="E4008" s="1437">
        <v>10.85</v>
      </c>
      <c r="F4008" s="583">
        <v>4.4999999999999998E-2</v>
      </c>
      <c r="G4008" s="1438">
        <f t="shared" si="164"/>
        <v>11.361256544502618</v>
      </c>
      <c r="H4008" s="1365" t="s">
        <v>1646</v>
      </c>
      <c r="I4008" s="1433" t="s">
        <v>4684</v>
      </c>
      <c r="J4008" s="1438">
        <v>9.8000000000000007</v>
      </c>
      <c r="K4008" s="1438">
        <v>99.97</v>
      </c>
      <c r="L4008" s="1436">
        <f>INT(base[[#This Row],[Data de liquidação]])</f>
        <v>46267</v>
      </c>
      <c r="M4008" s="1438">
        <f>base[[#This Row],[L/P Bruto]]-base[[#This Row],[L/P Líquido]]</f>
        <v>0.51125654450261848</v>
      </c>
      <c r="N4008" s="1438">
        <f>base[[#This Row],[L/P Líquido]]/base[[#This Row],[Stake/Responsabilidade]]</f>
        <v>0.10853255976793037</v>
      </c>
      <c r="O4008" s="1440">
        <f>IF(base[[#This Row],[L/P Líquido]]&gt;0,1,0)</f>
        <v>1</v>
      </c>
      <c r="P4008" s="1440"/>
      <c r="Q4008" s="1440" t="str">
        <f>LEFT(base[[#This Row],[Evento / Mercado]],FIND("vs",base[[#This Row],[Evento / Mercado]])-2)</f>
        <v>Vélez Sársfield</v>
      </c>
      <c r="R4008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4008" s="1440" t="str">
        <f>LEFT(base[[#This Row],[Evento / Mercado]],FIND("/",base[[#This Row],[Evento / Mercado]])-2)</f>
        <v>Vélez Sársfield vs Boca Juniors</v>
      </c>
      <c r="T4008" s="1441">
        <f>base[[#This Row],[Data de liquidação]]</f>
        <v>46267.964803240742</v>
      </c>
    </row>
    <row r="4009" spans="2:20" ht="15" customHeight="1">
      <c r="B4009" s="1442" t="s">
        <v>4700</v>
      </c>
      <c r="C4009" s="859" t="s">
        <v>3512</v>
      </c>
      <c r="D4009" s="1443">
        <v>46268.662465277775</v>
      </c>
      <c r="E4009" s="1444">
        <v>10.61</v>
      </c>
      <c r="F4009" s="583">
        <v>4.4999999999999998E-2</v>
      </c>
      <c r="G4009" s="1445">
        <f t="shared" ref="G4009:G4013" si="165">IF(E4009&gt;0,E4009/(1-F4009),E4009)</f>
        <v>11.109947643979057</v>
      </c>
      <c r="H4009" s="1365" t="s">
        <v>1646</v>
      </c>
      <c r="I4009" s="1402" t="s">
        <v>2274</v>
      </c>
      <c r="J4009" s="1445">
        <v>1.56</v>
      </c>
      <c r="K4009" s="1445">
        <v>20</v>
      </c>
      <c r="L4009" s="1443">
        <f>INT(base[[#This Row],[Data de liquidação]])</f>
        <v>46268</v>
      </c>
      <c r="M4009" s="1445">
        <f>base[[#This Row],[L/P Bruto]]-base[[#This Row],[L/P Líquido]]</f>
        <v>0.49994764397905733</v>
      </c>
      <c r="N4009" s="1445">
        <f>base[[#This Row],[L/P Líquido]]/base[[#This Row],[Stake/Responsabilidade]]</f>
        <v>0.53049999999999997</v>
      </c>
      <c r="O4009" s="1446">
        <f>IF(base[[#This Row],[L/P Líquido]]&gt;0,1,0)</f>
        <v>1</v>
      </c>
      <c r="P4009" s="1446"/>
      <c r="Q4009" s="1446" t="str">
        <f>LEFT(base[[#This Row],[Evento / Mercado]],FIND("vs",base[[#This Row],[Evento / Mercado]])-2)</f>
        <v>Al Ahly</v>
      </c>
      <c r="R4009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Smouha SC</v>
      </c>
      <c r="S4009" s="1446" t="str">
        <f>LEFT(base[[#This Row],[Evento / Mercado]],FIND("/",base[[#This Row],[Evento / Mercado]])-2)</f>
        <v>Al Ahly vs Smouha SC</v>
      </c>
      <c r="T4009" s="1447">
        <f>base[[#This Row],[Data de liquidação]]</f>
        <v>46268.662465277775</v>
      </c>
    </row>
    <row r="4010" spans="2:20" ht="15" customHeight="1">
      <c r="B4010" s="1442" t="s">
        <v>4699</v>
      </c>
      <c r="C4010" s="859" t="s">
        <v>3512</v>
      </c>
      <c r="D4010" s="1443">
        <v>46268.707083333335</v>
      </c>
      <c r="E4010" s="1444">
        <v>75.64</v>
      </c>
      <c r="F4010" s="583">
        <v>4.4999999999999998E-2</v>
      </c>
      <c r="G4010" s="1445">
        <f t="shared" si="165"/>
        <v>79.204188481675402</v>
      </c>
      <c r="H4010" s="1401" t="s">
        <v>314</v>
      </c>
      <c r="I4010" s="1402" t="s">
        <v>349</v>
      </c>
      <c r="J4010" s="1445">
        <v>1.66</v>
      </c>
      <c r="K4010" s="1445">
        <v>120</v>
      </c>
      <c r="L4010" s="1443">
        <f>INT(base[[#This Row],[Data de liquidação]])</f>
        <v>46268</v>
      </c>
      <c r="M4010" s="1445">
        <f>base[[#This Row],[L/P Bruto]]-base[[#This Row],[L/P Líquido]]</f>
        <v>3.5641884816754015</v>
      </c>
      <c r="N4010" s="1445">
        <f>base[[#This Row],[L/P Líquido]]/base[[#This Row],[Stake/Responsabilidade]]</f>
        <v>0.6303333333333333</v>
      </c>
      <c r="O4010" s="1446">
        <f>IF(base[[#This Row],[L/P Líquido]]&gt;0,1,0)</f>
        <v>1</v>
      </c>
      <c r="P4010" s="1446"/>
      <c r="Q4010" s="1446" t="str">
        <f>LEFT(base[[#This Row],[Evento / Mercado]],FIND("vs",base[[#This Row],[Evento / Mercado]])-2)</f>
        <v>Hibernian</v>
      </c>
      <c r="R4010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4010" s="1446" t="str">
        <f>LEFT(base[[#This Row],[Evento / Mercado]],FIND("/",base[[#This Row],[Evento / Mercado]])-2)</f>
        <v>Hibernian vs Hearts</v>
      </c>
      <c r="T4010" s="1447">
        <f>base[[#This Row],[Data de liquidação]]</f>
        <v>46268.707083333335</v>
      </c>
    </row>
    <row r="4011" spans="2:20" ht="15" customHeight="1">
      <c r="B4011" s="1442" t="s">
        <v>4698</v>
      </c>
      <c r="C4011" s="859" t="s">
        <v>3512</v>
      </c>
      <c r="D4011" s="1443">
        <v>46268.707731481481</v>
      </c>
      <c r="E4011" s="1444">
        <v>42.61</v>
      </c>
      <c r="F4011" s="583">
        <v>4.4999999999999998E-2</v>
      </c>
      <c r="G4011" s="1445">
        <f t="shared" si="165"/>
        <v>44.617801047120423</v>
      </c>
      <c r="H4011" s="1434" t="s">
        <v>4685</v>
      </c>
      <c r="I4011" s="1439" t="s">
        <v>693</v>
      </c>
      <c r="J4011" s="1445">
        <f>(9.4*197.99+14*147.74+16.5*150.04)/base[[#This Row],[Stake/Responsabilidade]]</f>
        <v>12.919551404885331</v>
      </c>
      <c r="K4011" s="1445">
        <f>197.99+147.74+150.04</f>
        <v>495.77</v>
      </c>
      <c r="L4011" s="1443">
        <f>INT(base[[#This Row],[Data de liquidação]])</f>
        <v>46268</v>
      </c>
      <c r="M4011" s="1445">
        <f>base[[#This Row],[L/P Bruto]]-base[[#This Row],[L/P Líquido]]</f>
        <v>2.0078010471204237</v>
      </c>
      <c r="N4011" s="1445">
        <f>base[[#This Row],[L/P Líquido]]/base[[#This Row],[Stake/Responsabilidade]]</f>
        <v>8.5947112572362191E-2</v>
      </c>
      <c r="O4011" s="1446">
        <f>IF(base[[#This Row],[L/P Líquido]]&gt;0,1,0)</f>
        <v>1</v>
      </c>
      <c r="P4011" s="1446"/>
      <c r="Q4011" s="1446" t="str">
        <f>LEFT(base[[#This Row],[Evento / Mercado]],FIND("vs",base[[#This Row],[Evento / Mercado]])-2)</f>
        <v>Al Diriyah</v>
      </c>
      <c r="R4011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4011" s="1446" t="str">
        <f>LEFT(base[[#This Row],[Evento / Mercado]],FIND("/",base[[#This Row],[Evento / Mercado]])-2)</f>
        <v>Al Diriyah vs Al-Qadisiyah</v>
      </c>
      <c r="T4011" s="1447">
        <f>base[[#This Row],[Data de liquidação]]</f>
        <v>46268.707731481481</v>
      </c>
    </row>
    <row r="4012" spans="2:20" ht="15" customHeight="1">
      <c r="B4012" s="1442" t="s">
        <v>4697</v>
      </c>
      <c r="C4012" s="859" t="s">
        <v>3512</v>
      </c>
      <c r="D4012" s="1443">
        <v>46268.723298611112</v>
      </c>
      <c r="E4012" s="1444">
        <v>19.7</v>
      </c>
      <c r="F4012" s="583">
        <v>4.4999999999999998E-2</v>
      </c>
      <c r="G4012" s="1445">
        <f t="shared" si="165"/>
        <v>20.6282722513089</v>
      </c>
      <c r="H4012" s="1434" t="s">
        <v>4685</v>
      </c>
      <c r="I4012" s="1409" t="s">
        <v>626</v>
      </c>
      <c r="J4012" s="1445">
        <v>25</v>
      </c>
      <c r="K4012" s="1445">
        <v>495.12</v>
      </c>
      <c r="L4012" s="1443">
        <f>INT(base[[#This Row],[Data de liquidação]])</f>
        <v>46268</v>
      </c>
      <c r="M4012" s="1445">
        <f>base[[#This Row],[L/P Bruto]]-base[[#This Row],[L/P Líquido]]</f>
        <v>0.92827225130890056</v>
      </c>
      <c r="N4012" s="1445">
        <f>base[[#This Row],[L/P Líquido]]/base[[#This Row],[Stake/Responsabilidade]]</f>
        <v>3.9788334141218289E-2</v>
      </c>
      <c r="O4012" s="1446">
        <f>IF(base[[#This Row],[L/P Líquido]]&gt;0,1,0)</f>
        <v>1</v>
      </c>
      <c r="P4012" s="1446"/>
      <c r="Q4012" s="1446" t="str">
        <f>LEFT(base[[#This Row],[Evento / Mercado]],FIND("vs",base[[#This Row],[Evento / Mercado]])-2)</f>
        <v>Anderlecht</v>
      </c>
      <c r="R4012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Kortrijk</v>
      </c>
      <c r="S4012" s="1446" t="str">
        <f>LEFT(base[[#This Row],[Evento / Mercado]],FIND("/",base[[#This Row],[Evento / Mercado]])-2)</f>
        <v>Anderlecht vs Kortrijk</v>
      </c>
      <c r="T4012" s="1447">
        <f>base[[#This Row],[Data de liquidação]]</f>
        <v>46268.723298611112</v>
      </c>
    </row>
    <row r="4013" spans="2:20" ht="15" customHeight="1">
      <c r="B4013" s="1442" t="s">
        <v>4696</v>
      </c>
      <c r="C4013" s="859" t="s">
        <v>3512</v>
      </c>
      <c r="D4013" s="1443">
        <v>46268.72928240741</v>
      </c>
      <c r="E4013" s="1444">
        <v>27.02</v>
      </c>
      <c r="F4013" s="583">
        <v>4.4999999999999998E-2</v>
      </c>
      <c r="G4013" s="1445">
        <f t="shared" si="165"/>
        <v>28.293193717277486</v>
      </c>
      <c r="H4013" s="1434" t="s">
        <v>4685</v>
      </c>
      <c r="I4013" s="1409" t="s">
        <v>626</v>
      </c>
      <c r="J4013" s="1445">
        <v>18.5</v>
      </c>
      <c r="K4013" s="1445">
        <v>495.08</v>
      </c>
      <c r="L4013" s="1443">
        <f>INT(base[[#This Row],[Data de liquidação]])</f>
        <v>46268</v>
      </c>
      <c r="M4013" s="1445">
        <f>base[[#This Row],[L/P Bruto]]-base[[#This Row],[L/P Líquido]]</f>
        <v>1.2731937172774863</v>
      </c>
      <c r="N4013" s="1445">
        <f>base[[#This Row],[L/P Líquido]]/base[[#This Row],[Stake/Responsabilidade]]</f>
        <v>5.4577038054455844E-2</v>
      </c>
      <c r="O4013" s="1446">
        <f>IF(base[[#This Row],[L/P Líquido]]&gt;0,1,0)</f>
        <v>1</v>
      </c>
      <c r="P4013" s="1446"/>
      <c r="Q4013" s="1446" t="str">
        <f>LEFT(base[[#This Row],[Evento / Mercado]],FIND("vs",base[[#This Row],[Evento / Mercado]])-2)</f>
        <v>KAA Gent</v>
      </c>
      <c r="R4013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4013" s="1446" t="str">
        <f>LEFT(base[[#This Row],[Evento / Mercado]],FIND("/",base[[#This Row],[Evento / Mercado]])-2)</f>
        <v>KAA Gent vs Oud-Heverlee Leuven</v>
      </c>
      <c r="T4013" s="1447">
        <f>base[[#This Row],[Data de liquidação]]</f>
        <v>46268.72928240741</v>
      </c>
    </row>
    <row r="4014" spans="2:20" ht="15" customHeight="1">
      <c r="B4014" s="1450" t="s">
        <v>4713</v>
      </c>
      <c r="C4014" s="859" t="s">
        <v>3512</v>
      </c>
      <c r="D4014" s="1451">
        <v>46269.653749999998</v>
      </c>
      <c r="E4014" s="1452">
        <v>10.119999999999999</v>
      </c>
      <c r="F4014" s="583">
        <v>4.4999999999999998E-2</v>
      </c>
      <c r="G4014" s="1453">
        <f t="shared" ref="G4014:G4027" si="166">IF(E4014&gt;0,E4014/(1-F4014),E4014)</f>
        <v>10.596858638743456</v>
      </c>
      <c r="H4014" s="1365" t="s">
        <v>1646</v>
      </c>
      <c r="I4014" s="1402" t="s">
        <v>2274</v>
      </c>
      <c r="J4014" s="1453">
        <v>1.53</v>
      </c>
      <c r="K4014" s="1453">
        <v>20</v>
      </c>
      <c r="L4014" s="1451">
        <f>INT(base[[#This Row],[Data de liquidação]])</f>
        <v>46269</v>
      </c>
      <c r="M4014" s="1453">
        <f>base[[#This Row],[L/P Bruto]]-base[[#This Row],[L/P Líquido]]</f>
        <v>0.47685863874345635</v>
      </c>
      <c r="N4014" s="1453">
        <f>base[[#This Row],[L/P Líquido]]/base[[#This Row],[Stake/Responsabilidade]]</f>
        <v>0.50600000000000001</v>
      </c>
      <c r="O4014" s="1455">
        <f>IF(base[[#This Row],[L/P Líquido]]&gt;0,1,0)</f>
        <v>1</v>
      </c>
      <c r="P4014" s="1455"/>
      <c r="Q4014" s="1455" t="str">
        <f>LEFT(base[[#This Row],[Evento / Mercado]],FIND("vs",base[[#This Row],[Evento / Mercado]])-2)</f>
        <v>Richards Bay FC</v>
      </c>
      <c r="R4014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AmaZulu</v>
      </c>
      <c r="S4014" s="1455" t="str">
        <f>LEFT(base[[#This Row],[Evento / Mercado]],FIND("/",base[[#This Row],[Evento / Mercado]])-2)</f>
        <v>Richards Bay FC vs AmaZulu</v>
      </c>
      <c r="T4014" s="1456">
        <f>base[[#This Row],[Data de liquidação]]</f>
        <v>46269.653749999998</v>
      </c>
    </row>
    <row r="4015" spans="2:20" ht="15" customHeight="1">
      <c r="B4015" s="1450" t="s">
        <v>4712</v>
      </c>
      <c r="C4015" s="859" t="s">
        <v>3512</v>
      </c>
      <c r="D4015" s="1451">
        <v>46269.661215277774</v>
      </c>
      <c r="E4015" s="1452">
        <v>17.36</v>
      </c>
      <c r="F4015" s="583">
        <v>4.4999999999999998E-2</v>
      </c>
      <c r="G4015" s="1453">
        <f t="shared" si="166"/>
        <v>18.178010471204189</v>
      </c>
      <c r="H4015" s="1434" t="s">
        <v>4685</v>
      </c>
      <c r="I4015" s="1409" t="s">
        <v>626</v>
      </c>
      <c r="J4015" s="1453">
        <v>23</v>
      </c>
      <c r="K4015" s="1453">
        <v>399.96</v>
      </c>
      <c r="L4015" s="1451">
        <f>INT(base[[#This Row],[Data de liquidação]])</f>
        <v>46269</v>
      </c>
      <c r="M4015" s="1453">
        <f>base[[#This Row],[L/P Bruto]]-base[[#This Row],[L/P Líquido]]</f>
        <v>0.81801047120418957</v>
      </c>
      <c r="N4015" s="1453">
        <f>base[[#This Row],[L/P Líquido]]/base[[#This Row],[Stake/Responsabilidade]]</f>
        <v>4.3404340434043405E-2</v>
      </c>
      <c r="O4015" s="1455">
        <f>IF(base[[#This Row],[L/P Líquido]]&gt;0,1,0)</f>
        <v>1</v>
      </c>
      <c r="P4015" s="1455"/>
      <c r="Q4015" s="1455" t="str">
        <f>LEFT(base[[#This Row],[Evento / Mercado]],FIND("vs",base[[#This Row],[Evento / Mercado]])-2)</f>
        <v>Viborg FF</v>
      </c>
      <c r="R4015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Lyngby BK</v>
      </c>
      <c r="S4015" s="1455" t="str">
        <f>LEFT(base[[#This Row],[Evento / Mercado]],FIND("/",base[[#This Row],[Evento / Mercado]])-2)</f>
        <v>Viborg FF vs Lyngby BK</v>
      </c>
      <c r="T4015" s="1456">
        <f>base[[#This Row],[Data de liquidação]]</f>
        <v>46269.661215277774</v>
      </c>
    </row>
    <row r="4016" spans="2:20" ht="15" customHeight="1">
      <c r="B4016" s="1450" t="s">
        <v>4711</v>
      </c>
      <c r="C4016" s="859" t="s">
        <v>3512</v>
      </c>
      <c r="D4016" s="1451">
        <v>46269.681250000001</v>
      </c>
      <c r="E4016" s="1452">
        <v>-20</v>
      </c>
      <c r="F4016" s="583">
        <v>4.4999999999999998E-2</v>
      </c>
      <c r="G4016" s="1453">
        <f t="shared" si="166"/>
        <v>-20</v>
      </c>
      <c r="H4016" s="1365" t="s">
        <v>1646</v>
      </c>
      <c r="I4016" s="1402" t="s">
        <v>2274</v>
      </c>
      <c r="J4016" s="1453">
        <v>1.52</v>
      </c>
      <c r="K4016" s="1453">
        <v>20</v>
      </c>
      <c r="L4016" s="1451">
        <f>INT(base[[#This Row],[Data de liquidação]])</f>
        <v>46269</v>
      </c>
      <c r="M4016" s="1453">
        <f>base[[#This Row],[L/P Bruto]]-base[[#This Row],[L/P Líquido]]</f>
        <v>0</v>
      </c>
      <c r="N4016" s="1453">
        <f>base[[#This Row],[L/P Líquido]]/base[[#This Row],[Stake/Responsabilidade]]</f>
        <v>-1</v>
      </c>
      <c r="O4016" s="1455">
        <f>IF(base[[#This Row],[L/P Líquido]]&gt;0,1,0)</f>
        <v>0</v>
      </c>
      <c r="P4016" s="1455"/>
      <c r="Q4016" s="1455" t="str">
        <f>LEFT(base[[#This Row],[Evento / Mercado]],FIND("vs",base[[#This Row],[Evento / Mercado]])-2)</f>
        <v>CFR Cluj</v>
      </c>
      <c r="R4016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Farul Constanta</v>
      </c>
      <c r="S4016" s="1455" t="str">
        <f>LEFT(base[[#This Row],[Evento / Mercado]],FIND("/",base[[#This Row],[Evento / Mercado]])-2)</f>
        <v>CFR Cluj vs FC Farul Constanta</v>
      </c>
      <c r="T4016" s="1456">
        <f>base[[#This Row],[Data de liquidação]]</f>
        <v>46269.681250000001</v>
      </c>
    </row>
    <row r="4017" spans="2:20" ht="15" customHeight="1">
      <c r="B4017" s="1450" t="s">
        <v>4710</v>
      </c>
      <c r="C4017" s="859" t="s">
        <v>3512</v>
      </c>
      <c r="D4017" s="1451">
        <v>46269.704884259256</v>
      </c>
      <c r="E4017" s="1452">
        <v>23.88</v>
      </c>
      <c r="F4017" s="583">
        <v>4.4999999999999998E-2</v>
      </c>
      <c r="G4017" s="1453">
        <f t="shared" si="166"/>
        <v>25.005235602094242</v>
      </c>
      <c r="H4017" s="1434" t="s">
        <v>4685</v>
      </c>
      <c r="I4017" s="1409" t="s">
        <v>626</v>
      </c>
      <c r="J4017" s="1453">
        <v>17</v>
      </c>
      <c r="K4017" s="1453">
        <v>400</v>
      </c>
      <c r="L4017" s="1451">
        <f>INT(base[[#This Row],[Data de liquidação]])</f>
        <v>46269</v>
      </c>
      <c r="M4017" s="1453">
        <f>base[[#This Row],[L/P Bruto]]-base[[#This Row],[L/P Líquido]]</f>
        <v>1.1252356020942429</v>
      </c>
      <c r="N4017" s="1453">
        <f>base[[#This Row],[L/P Líquido]]/base[[#This Row],[Stake/Responsabilidade]]</f>
        <v>5.9699999999999996E-2</v>
      </c>
      <c r="O4017" s="1455">
        <f>IF(base[[#This Row],[L/P Líquido]]&gt;0,1,0)</f>
        <v>1</v>
      </c>
      <c r="P4017" s="1455"/>
      <c r="Q4017" s="1455" t="str">
        <f>LEFT(base[[#This Row],[Evento / Mercado]],FIND("vs",base[[#This Row],[Evento / Mercado]])-2)</f>
        <v>NK Varaždin</v>
      </c>
      <c r="R4017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4017" s="1455" t="str">
        <f>LEFT(base[[#This Row],[Evento / Mercado]],FIND("/",base[[#This Row],[Evento / Mercado]])-2)</f>
        <v>NK Varaždin vs Istra 1961</v>
      </c>
      <c r="T4017" s="1456">
        <f>base[[#This Row],[Data de liquidação]]</f>
        <v>46269.704884259256</v>
      </c>
    </row>
    <row r="4018" spans="2:20" ht="15" customHeight="1">
      <c r="B4018" s="1450" t="s">
        <v>4709</v>
      </c>
      <c r="C4018" s="859" t="s">
        <v>3512</v>
      </c>
      <c r="D4018" s="1451">
        <v>46269.706307870372</v>
      </c>
      <c r="E4018" s="1452">
        <v>41.19</v>
      </c>
      <c r="F4018" s="583">
        <v>4.4999999999999998E-2</v>
      </c>
      <c r="G4018" s="1453">
        <f t="shared" si="166"/>
        <v>43.130890052356023</v>
      </c>
      <c r="H4018" s="1401" t="s">
        <v>3367</v>
      </c>
      <c r="I4018" s="1402" t="s">
        <v>391</v>
      </c>
      <c r="J4018" s="1453">
        <f>(16*271.95+11*250)/base[[#This Row],[Stake/Responsabilidade]]</f>
        <v>13.605134591435959</v>
      </c>
      <c r="K4018" s="1453">
        <f>271.95+250</f>
        <v>521.95000000000005</v>
      </c>
      <c r="L4018" s="1451">
        <f>INT(base[[#This Row],[Data de liquidação]])</f>
        <v>46269</v>
      </c>
      <c r="M4018" s="1453">
        <f>base[[#This Row],[L/P Bruto]]-base[[#This Row],[L/P Líquido]]</f>
        <v>1.9408900523560249</v>
      </c>
      <c r="N4018" s="1453">
        <f>base[[#This Row],[L/P Líquido]]/base[[#This Row],[Stake/Responsabilidade]]</f>
        <v>7.8915604943002191E-2</v>
      </c>
      <c r="O4018" s="1455">
        <f>IF(base[[#This Row],[L/P Líquido]]&gt;0,1,0)</f>
        <v>1</v>
      </c>
      <c r="P4018" s="1471" t="s">
        <v>1209</v>
      </c>
      <c r="Q4018" s="1455" t="str">
        <f>LEFT(base[[#This Row],[Evento / Mercado]],FIND("vs",base[[#This Row],[Evento / Mercado]])-2)</f>
        <v>Al Ahli Jeddah</v>
      </c>
      <c r="R4018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18" s="1455" t="str">
        <f>LEFT(base[[#This Row],[Evento / Mercado]],FIND("/",base[[#This Row],[Evento / Mercado]])-2)</f>
        <v>Al Ahli Jeddah vs Al-Riyadh</v>
      </c>
      <c r="T4018" s="1456">
        <f>base[[#This Row],[Data de liquidação]]</f>
        <v>46269.706307870372</v>
      </c>
    </row>
    <row r="4019" spans="2:20" ht="15" customHeight="1">
      <c r="B4019" s="1450" t="s">
        <v>143</v>
      </c>
      <c r="C4019" s="859" t="s">
        <v>3512</v>
      </c>
      <c r="D4019" s="1451">
        <v>46269.707094907404</v>
      </c>
      <c r="E4019" s="1452">
        <v>-400.05</v>
      </c>
      <c r="F4019" s="583">
        <v>4.4999999999999998E-2</v>
      </c>
      <c r="G4019" s="1453">
        <f t="shared" si="166"/>
        <v>-400.05</v>
      </c>
      <c r="H4019" s="1434" t="s">
        <v>4685</v>
      </c>
      <c r="I4019" s="1409" t="s">
        <v>626</v>
      </c>
      <c r="J4019" s="1453">
        <v>22</v>
      </c>
      <c r="K4019" s="1453">
        <v>400.05</v>
      </c>
      <c r="L4019" s="1451">
        <f>INT(base[[#This Row],[Data de liquidação]])</f>
        <v>46269</v>
      </c>
      <c r="M4019" s="1453">
        <f>base[[#This Row],[L/P Bruto]]-base[[#This Row],[L/P Líquido]]</f>
        <v>0</v>
      </c>
      <c r="N4019" s="1453">
        <f>base[[#This Row],[L/P Líquido]]/base[[#This Row],[Stake/Responsabilidade]]</f>
        <v>-1</v>
      </c>
      <c r="O4019" s="1455">
        <f>IF(base[[#This Row],[L/P Líquido]]&gt;0,1,0)</f>
        <v>0</v>
      </c>
      <c r="P4019" s="1455"/>
      <c r="Q4019" s="1455" t="str">
        <f>LEFT(base[[#This Row],[Evento / Mercado]],FIND("vs",base[[#This Row],[Evento / Mercado]])-2)</f>
        <v>Almere City</v>
      </c>
      <c r="R4019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19" s="1455" t="str">
        <f>LEFT(base[[#This Row],[Evento / Mercado]],FIND("/",base[[#This Row],[Evento / Mercado]])-2)</f>
        <v>Almere City vs Jong Ajax</v>
      </c>
      <c r="T4019" s="1456">
        <f>base[[#This Row],[Data de liquidação]]</f>
        <v>46269.707094907404</v>
      </c>
    </row>
    <row r="4020" spans="2:20" ht="15" customHeight="1">
      <c r="B4020" s="1450" t="s">
        <v>4708</v>
      </c>
      <c r="C4020" s="859" t="s">
        <v>3512</v>
      </c>
      <c r="D4020" s="1451">
        <v>46269.708564814813</v>
      </c>
      <c r="E4020" s="1452">
        <v>36.83</v>
      </c>
      <c r="F4020" s="583">
        <v>4.4999999999999998E-2</v>
      </c>
      <c r="G4020" s="1453">
        <f t="shared" si="166"/>
        <v>38.565445026178011</v>
      </c>
      <c r="H4020" s="1453" t="s">
        <v>150</v>
      </c>
      <c r="I4020" s="1454" t="s">
        <v>692</v>
      </c>
      <c r="J4020" s="1453">
        <v>15</v>
      </c>
      <c r="K4020" s="1453">
        <v>539.88</v>
      </c>
      <c r="L4020" s="1451">
        <f>INT(base[[#This Row],[Data de liquidação]])</f>
        <v>46269</v>
      </c>
      <c r="M4020" s="1453">
        <f>base[[#This Row],[L/P Bruto]]-base[[#This Row],[L/P Líquido]]</f>
        <v>1.735445026178013</v>
      </c>
      <c r="N4020" s="1453">
        <f>base[[#This Row],[L/P Líquido]]/base[[#This Row],[Stake/Responsabilidade]]</f>
        <v>6.8218863451137285E-2</v>
      </c>
      <c r="O4020" s="1455">
        <f>IF(base[[#This Row],[L/P Líquido]]&gt;0,1,0)</f>
        <v>1</v>
      </c>
      <c r="P4020" s="1455"/>
      <c r="Q4020" s="1455" t="str">
        <f>LEFT(base[[#This Row],[Evento / Mercado]],FIND("vs",base[[#This Row],[Evento / Mercado]])-2)</f>
        <v>Al-Shabab Riyadh</v>
      </c>
      <c r="R4020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4020" s="1455" t="str">
        <f>LEFT(base[[#This Row],[Evento / Mercado]],FIND("/",base[[#This Row],[Evento / Mercado]])-2)</f>
        <v>Al-Shabab Riyadh vs Al-Hilal Riyadh</v>
      </c>
      <c r="T4020" s="1456">
        <f>base[[#This Row],[Data de liquidação]]</f>
        <v>46269.708564814813</v>
      </c>
    </row>
    <row r="4021" spans="2:20" ht="15" customHeight="1">
      <c r="B4021" s="1450" t="s">
        <v>4707</v>
      </c>
      <c r="C4021" s="859" t="s">
        <v>3512</v>
      </c>
      <c r="D4021" s="1451">
        <v>46269.708668981482</v>
      </c>
      <c r="E4021" s="1452">
        <v>52.42</v>
      </c>
      <c r="F4021" s="583">
        <v>4.4999999999999998E-2</v>
      </c>
      <c r="G4021" s="1453">
        <f t="shared" si="166"/>
        <v>54.890052356020945</v>
      </c>
      <c r="H4021" s="1401" t="s">
        <v>3367</v>
      </c>
      <c r="I4021" s="1454" t="s">
        <v>390</v>
      </c>
      <c r="J4021" s="1453">
        <f>(10.5*300.01+11*122+10*99.99)/base[[#This Row],[Stake/Responsabilidade]]</f>
        <v>10.521082375478926</v>
      </c>
      <c r="K4021" s="1453">
        <f>300.01+122+99.99</f>
        <v>522</v>
      </c>
      <c r="L4021" s="1451">
        <f>INT(base[[#This Row],[Data de liquidação]])</f>
        <v>46269</v>
      </c>
      <c r="M4021" s="1453">
        <f>base[[#This Row],[L/P Bruto]]-base[[#This Row],[L/P Líquido]]</f>
        <v>2.4700523560209433</v>
      </c>
      <c r="N4021" s="1453">
        <f>base[[#This Row],[L/P Líquido]]/base[[#This Row],[Stake/Responsabilidade]]</f>
        <v>0.10042145593869732</v>
      </c>
      <c r="O4021" s="1455">
        <f>IF(base[[#This Row],[L/P Líquido]]&gt;0,1,0)</f>
        <v>1</v>
      </c>
      <c r="P4021" s="1471" t="s">
        <v>1209</v>
      </c>
      <c r="Q4021" s="1455" t="str">
        <f>LEFT(base[[#This Row],[Evento / Mercado]],FIND("vs",base[[#This Row],[Evento / Mercado]])-2)</f>
        <v>Al-Shabab Riyadh</v>
      </c>
      <c r="R4021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4021" s="1455" t="str">
        <f>LEFT(base[[#This Row],[Evento / Mercado]],FIND("/",base[[#This Row],[Evento / Mercado]])-2)</f>
        <v>Al-Shabab Riyadh vs Al-Hilal Riyadh</v>
      </c>
      <c r="T4021" s="1456">
        <f>base[[#This Row],[Data de liquidação]]</f>
        <v>46269.708668981482</v>
      </c>
    </row>
    <row r="4022" spans="2:20" ht="15" customHeight="1">
      <c r="B4022" s="1450" t="s">
        <v>4706</v>
      </c>
      <c r="C4022" s="859" t="s">
        <v>3512</v>
      </c>
      <c r="D4022" s="1451">
        <v>46269.722893518519</v>
      </c>
      <c r="E4022" s="1452">
        <v>-20</v>
      </c>
      <c r="F4022" s="583">
        <v>4.4999999999999998E-2</v>
      </c>
      <c r="G4022" s="1453">
        <f t="shared" si="166"/>
        <v>-20</v>
      </c>
      <c r="H4022" s="1365" t="s">
        <v>1646</v>
      </c>
      <c r="I4022" s="1402" t="s">
        <v>2274</v>
      </c>
      <c r="J4022" s="1453">
        <v>1.52</v>
      </c>
      <c r="K4022" s="1453">
        <v>20</v>
      </c>
      <c r="L4022" s="1451">
        <f>INT(base[[#This Row],[Data de liquidação]])</f>
        <v>46269</v>
      </c>
      <c r="M4022" s="1453">
        <f>base[[#This Row],[L/P Bruto]]-base[[#This Row],[L/P Líquido]]</f>
        <v>0</v>
      </c>
      <c r="N4022" s="1453">
        <f>base[[#This Row],[L/P Líquido]]/base[[#This Row],[Stake/Responsabilidade]]</f>
        <v>-1</v>
      </c>
      <c r="O4022" s="1455">
        <f>IF(base[[#This Row],[L/P Líquido]]&gt;0,1,0)</f>
        <v>0</v>
      </c>
      <c r="P4022" s="1455"/>
      <c r="Q4022" s="1455" t="str">
        <f>LEFT(base[[#This Row],[Evento / Mercado]],FIND("vs",base[[#This Row],[Evento / Mercado]])-2)</f>
        <v>UD Las Palmas</v>
      </c>
      <c r="R4022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022" s="1455" t="str">
        <f>LEFT(base[[#This Row],[Evento / Mercado]],FIND("/",base[[#This Row],[Evento / Mercado]])-2)</f>
        <v>UD Las Palmas vs Leganés</v>
      </c>
      <c r="T4022" s="1456">
        <f>base[[#This Row],[Data de liquidação]]</f>
        <v>46269.722893518519</v>
      </c>
    </row>
    <row r="4023" spans="2:20" ht="15" customHeight="1">
      <c r="B4023" s="1450" t="s">
        <v>4705</v>
      </c>
      <c r="C4023" s="859" t="s">
        <v>3512</v>
      </c>
      <c r="D4023" s="1451">
        <v>46269.724409722221</v>
      </c>
      <c r="E4023" s="1452">
        <v>75.64</v>
      </c>
      <c r="F4023" s="583">
        <v>4.4999999999999998E-2</v>
      </c>
      <c r="G4023" s="1453">
        <f t="shared" si="166"/>
        <v>79.204188481675402</v>
      </c>
      <c r="H4023" s="1453" t="s">
        <v>314</v>
      </c>
      <c r="I4023" s="1454" t="s">
        <v>349</v>
      </c>
      <c r="J4023" s="1453">
        <v>1.66</v>
      </c>
      <c r="K4023" s="1453">
        <v>120</v>
      </c>
      <c r="L4023" s="1451">
        <f>INT(base[[#This Row],[Data de liquidação]])</f>
        <v>46269</v>
      </c>
      <c r="M4023" s="1453">
        <f>base[[#This Row],[L/P Bruto]]-base[[#This Row],[L/P Líquido]]</f>
        <v>3.5641884816754015</v>
      </c>
      <c r="N4023" s="1453">
        <f>base[[#This Row],[L/P Líquido]]/base[[#This Row],[Stake/Responsabilidade]]</f>
        <v>0.6303333333333333</v>
      </c>
      <c r="O4023" s="1455">
        <f>IF(base[[#This Row],[L/P Líquido]]&gt;0,1,0)</f>
        <v>1</v>
      </c>
      <c r="P4023" s="1455"/>
      <c r="Q4023" s="1455" t="str">
        <f>LEFT(base[[#This Row],[Evento / Mercado]],FIND("vs",base[[#This Row],[Evento / Mercado]])-2)</f>
        <v>Paris Saint-Germain</v>
      </c>
      <c r="R4023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4023" s="1455" t="str">
        <f>LEFT(base[[#This Row],[Evento / Mercado]],FIND("/",base[[#This Row],[Evento / Mercado]])-2)</f>
        <v>Paris Saint-Germain vs AS Monaco</v>
      </c>
      <c r="T4023" s="1456">
        <f>base[[#This Row],[Data de liquidação]]</f>
        <v>46269.724409722221</v>
      </c>
    </row>
    <row r="4024" spans="2:20" ht="15" customHeight="1">
      <c r="B4024" s="1450" t="s">
        <v>4704</v>
      </c>
      <c r="C4024" s="859" t="s">
        <v>3512</v>
      </c>
      <c r="D4024" s="1451">
        <v>46269.746944444443</v>
      </c>
      <c r="E4024" s="1452">
        <v>11.36</v>
      </c>
      <c r="F4024" s="583">
        <v>4.4999999999999998E-2</v>
      </c>
      <c r="G4024" s="1453">
        <f t="shared" si="166"/>
        <v>11.895287958115183</v>
      </c>
      <c r="H4024" s="1365" t="s">
        <v>1646</v>
      </c>
      <c r="I4024" s="1433" t="s">
        <v>4684</v>
      </c>
      <c r="J4024" s="1453">
        <v>9.6</v>
      </c>
      <c r="K4024" s="1453">
        <v>102.34</v>
      </c>
      <c r="L4024" s="1451">
        <f>INT(base[[#This Row],[Data de liquidação]])</f>
        <v>46269</v>
      </c>
      <c r="M4024" s="1453">
        <f>base[[#This Row],[L/P Bruto]]-base[[#This Row],[L/P Líquido]]</f>
        <v>0.53528795811518393</v>
      </c>
      <c r="N4024" s="1453">
        <f>base[[#This Row],[L/P Líquido]]/base[[#This Row],[Stake/Responsabilidade]]</f>
        <v>0.11100254055110416</v>
      </c>
      <c r="O4024" s="1455">
        <f>IF(base[[#This Row],[L/P Líquido]]&gt;0,1,0)</f>
        <v>1</v>
      </c>
      <c r="P4024" s="1455"/>
      <c r="Q4024" s="1455" t="str">
        <f>LEFT(base[[#This Row],[Evento / Mercado]],FIND("vs",base[[#This Row],[Evento / Mercado]])-2)</f>
        <v>Sandefjord Fotball</v>
      </c>
      <c r="R4024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4024" s="1455" t="str">
        <f>LEFT(base[[#This Row],[Evento / Mercado]],FIND("/",base[[#This Row],[Evento / Mercado]])-2)</f>
        <v>Sandefjord Fotball vs Viking FK</v>
      </c>
      <c r="T4024" s="1456">
        <f>base[[#This Row],[Data de liquidação]]</f>
        <v>46269.746944444443</v>
      </c>
    </row>
    <row r="4025" spans="2:20" ht="15" customHeight="1">
      <c r="B4025" s="1450" t="s">
        <v>4703</v>
      </c>
      <c r="C4025" s="859" t="s">
        <v>3512</v>
      </c>
      <c r="D4025" s="1451">
        <v>46269.761111111111</v>
      </c>
      <c r="E4025" s="1452">
        <v>20.34</v>
      </c>
      <c r="F4025" s="583">
        <v>4.4999999999999998E-2</v>
      </c>
      <c r="G4025" s="1453">
        <f t="shared" si="166"/>
        <v>21.298429319371728</v>
      </c>
      <c r="H4025" s="1401" t="s">
        <v>3367</v>
      </c>
      <c r="I4025" s="1402" t="s">
        <v>391</v>
      </c>
      <c r="J4025" s="1453">
        <f>(30*222.14+23*300.08)/base[[#This Row],[Stake/Responsabilidade]]</f>
        <v>25.977633947378497</v>
      </c>
      <c r="K4025" s="1453">
        <f>222.14+300.08</f>
        <v>522.22</v>
      </c>
      <c r="L4025" s="1451">
        <f>INT(base[[#This Row],[Data de liquidação]])</f>
        <v>46269</v>
      </c>
      <c r="M4025" s="1453">
        <f>base[[#This Row],[L/P Bruto]]-base[[#This Row],[L/P Líquido]]</f>
        <v>0.95842931937172793</v>
      </c>
      <c r="N4025" s="1453">
        <f>base[[#This Row],[L/P Líquido]]/base[[#This Row],[Stake/Responsabilidade]]</f>
        <v>3.8949101911071961E-2</v>
      </c>
      <c r="O4025" s="1455">
        <f>IF(base[[#This Row],[L/P Líquido]]&gt;0,1,0)</f>
        <v>1</v>
      </c>
      <c r="P4025" s="1471" t="s">
        <v>1202</v>
      </c>
      <c r="Q4025" s="1455" t="str">
        <f>LEFT(base[[#This Row],[Evento / Mercado]],FIND("vs",base[[#This Row],[Evento / Mercado]])-2)</f>
        <v>FC Porto</v>
      </c>
      <c r="R4025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4025" s="1455" t="str">
        <f>LEFT(base[[#This Row],[Evento / Mercado]],FIND("/",base[[#This Row],[Evento / Mercado]])-2)</f>
        <v>FC Porto vs Moreirense FC</v>
      </c>
      <c r="T4025" s="1456">
        <f>base[[#This Row],[Data de liquidação]]</f>
        <v>46269.761111111111</v>
      </c>
    </row>
    <row r="4026" spans="2:20" ht="15" customHeight="1">
      <c r="B4026" s="1450" t="s">
        <v>4702</v>
      </c>
      <c r="C4026" s="859" t="s">
        <v>3512</v>
      </c>
      <c r="D4026" s="1451">
        <v>46269.937719907408</v>
      </c>
      <c r="E4026" s="1452">
        <v>13.26</v>
      </c>
      <c r="F4026" s="583">
        <v>4.4999999999999998E-2</v>
      </c>
      <c r="G4026" s="1453">
        <f t="shared" si="166"/>
        <v>13.884816753926701</v>
      </c>
      <c r="H4026" s="1365" t="s">
        <v>1646</v>
      </c>
      <c r="I4026" s="1433" t="s">
        <v>4684</v>
      </c>
      <c r="J4026" s="1453">
        <v>8</v>
      </c>
      <c r="K4026" s="1453">
        <v>97.23</v>
      </c>
      <c r="L4026" s="1451">
        <f>INT(base[[#This Row],[Data de liquidação]])</f>
        <v>46269</v>
      </c>
      <c r="M4026" s="1453">
        <f>base[[#This Row],[L/P Bruto]]-base[[#This Row],[L/P Líquido]]</f>
        <v>0.62481675392670155</v>
      </c>
      <c r="N4026" s="1453">
        <f>base[[#This Row],[L/P Líquido]]/base[[#This Row],[Stake/Responsabilidade]]</f>
        <v>0.13637766121567416</v>
      </c>
      <c r="O4026" s="1455">
        <f>IF(base[[#This Row],[L/P Líquido]]&gt;0,1,0)</f>
        <v>1</v>
      </c>
      <c r="P4026" s="1455"/>
      <c r="Q4026" s="1455" t="str">
        <f>LEFT(base[[#This Row],[Evento / Mercado]],FIND("vs",base[[#This Row],[Evento / Mercado]])-2)</f>
        <v>New York City FC</v>
      </c>
      <c r="R4026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4026" s="1455" t="str">
        <f>LEFT(base[[#This Row],[Evento / Mercado]],FIND("/",base[[#This Row],[Evento / Mercado]])-2)</f>
        <v>New York City FC vs Nashville Soccer Club</v>
      </c>
      <c r="T4026" s="1456">
        <f>base[[#This Row],[Data de liquidação]]</f>
        <v>46269.937719907408</v>
      </c>
    </row>
    <row r="4027" spans="2:20" ht="15" customHeight="1">
      <c r="B4027" s="1450" t="s">
        <v>4701</v>
      </c>
      <c r="C4027" s="859" t="s">
        <v>3512</v>
      </c>
      <c r="D4027" s="1451">
        <v>46269.977835648147</v>
      </c>
      <c r="E4027" s="1452">
        <v>58.49</v>
      </c>
      <c r="F4027" s="583">
        <v>4.4999999999999998E-2</v>
      </c>
      <c r="G4027" s="1453">
        <f t="shared" si="166"/>
        <v>61.246073298429323</v>
      </c>
      <c r="H4027" s="1401" t="s">
        <v>3367</v>
      </c>
      <c r="I4027" s="1402" t="s">
        <v>391</v>
      </c>
      <c r="J4027" s="1453">
        <f>(8.2*300.02+7*19.98+7.2*49.97)/base[[#This Row],[Stake/Responsabilidade]]</f>
        <v>8.0001297402492089</v>
      </c>
      <c r="K4027" s="1453">
        <f>300.02+49.97+19.98</f>
        <v>369.97</v>
      </c>
      <c r="L4027" s="1451">
        <f>INT(base[[#This Row],[Data de liquidação]])</f>
        <v>46269</v>
      </c>
      <c r="M4027" s="1453">
        <f>base[[#This Row],[L/P Bruto]]-base[[#This Row],[L/P Líquido]]</f>
        <v>2.756073298429321</v>
      </c>
      <c r="N4027" s="1453">
        <f>base[[#This Row],[L/P Líquido]]/base[[#This Row],[Stake/Responsabilidade]]</f>
        <v>0.15809389950536529</v>
      </c>
      <c r="O4027" s="1455">
        <f>IF(base[[#This Row],[L/P Líquido]]&gt;0,1,0)</f>
        <v>1</v>
      </c>
      <c r="P4027" s="1471" t="s">
        <v>2921</v>
      </c>
      <c r="Q4027" s="1455" t="str">
        <f>LEFT(base[[#This Row],[Evento / Mercado]],FIND("vs",base[[#This Row],[Evento / Mercado]])-2)</f>
        <v>CRB</v>
      </c>
      <c r="R4027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4027" s="1455" t="str">
        <f>LEFT(base[[#This Row],[Evento / Mercado]],FIND("/",base[[#This Row],[Evento / Mercado]])-2)</f>
        <v>CRB vs América-MG</v>
      </c>
      <c r="T4027" s="1456">
        <f>base[[#This Row],[Data de liquidação]]</f>
        <v>46269.977835648147</v>
      </c>
    </row>
    <row r="4028" spans="2:20" ht="15" customHeight="1">
      <c r="B4028" s="1457" t="s">
        <v>4742</v>
      </c>
      <c r="C4028" s="859" t="s">
        <v>3512</v>
      </c>
      <c r="D4028" s="1458">
        <v>46270.421956018516</v>
      </c>
      <c r="E4028" s="1459">
        <v>2.77</v>
      </c>
      <c r="F4028" s="583">
        <v>4.4999999999999998E-2</v>
      </c>
      <c r="G4028" s="1460">
        <f t="shared" ref="G4028:G4056" si="167">IF(E4028&gt;0,E4028/(1-F4028),E4028)</f>
        <v>2.9005235602094244</v>
      </c>
      <c r="H4028" s="1365" t="s">
        <v>1646</v>
      </c>
      <c r="I4028" s="1387" t="s">
        <v>3293</v>
      </c>
      <c r="J4028" s="1460">
        <v>1.58</v>
      </c>
      <c r="K4028" s="1460">
        <v>5</v>
      </c>
      <c r="L4028" s="1458">
        <f>INT(base[[#This Row],[Data de liquidação]])</f>
        <v>46270</v>
      </c>
      <c r="M4028" s="1460">
        <f>base[[#This Row],[L/P Bruto]]-base[[#This Row],[L/P Líquido]]</f>
        <v>0.13052356020942435</v>
      </c>
      <c r="N4028" s="1460">
        <f>base[[#This Row],[L/P Líquido]]/base[[#This Row],[Stake/Responsabilidade]]</f>
        <v>0.55400000000000005</v>
      </c>
      <c r="O4028" s="1462">
        <f>IF(base[[#This Row],[L/P Líquido]]&gt;0,1,0)</f>
        <v>1</v>
      </c>
      <c r="P4028" s="1462"/>
      <c r="Q4028" s="1462" t="str">
        <f>LEFT(base[[#This Row],[Evento / Mercado]],FIND("vs",base[[#This Row],[Evento / Mercado]])-2)</f>
        <v>Stade Reims</v>
      </c>
      <c r="R402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4028" s="1462" t="str">
        <f>LEFT(base[[#This Row],[Evento / Mercado]],FIND("/",base[[#This Row],[Evento / Mercado]])-2)</f>
        <v>Stade Reims vs En Avant Guingamp</v>
      </c>
      <c r="T4028" s="1463">
        <f>base[[#This Row],[Data de liquidação]]</f>
        <v>46270.421956018516</v>
      </c>
    </row>
    <row r="4029" spans="2:20" ht="15" customHeight="1">
      <c r="B4029" s="1457" t="s">
        <v>4741</v>
      </c>
      <c r="C4029" s="859" t="s">
        <v>3512</v>
      </c>
      <c r="D4029" s="1458">
        <v>46270.43167824074</v>
      </c>
      <c r="E4029" s="1459">
        <v>10.51</v>
      </c>
      <c r="F4029" s="583">
        <v>4.4999999999999998E-2</v>
      </c>
      <c r="G4029" s="1460">
        <f t="shared" si="167"/>
        <v>11.005235602094242</v>
      </c>
      <c r="H4029" s="1365" t="s">
        <v>1646</v>
      </c>
      <c r="I4029" s="1402" t="s">
        <v>2274</v>
      </c>
      <c r="J4029" s="1460">
        <v>1.55</v>
      </c>
      <c r="K4029" s="1460">
        <v>20</v>
      </c>
      <c r="L4029" s="1458">
        <f>INT(base[[#This Row],[Data de liquidação]])</f>
        <v>46270</v>
      </c>
      <c r="M4029" s="1460">
        <f>base[[#This Row],[L/P Bruto]]-base[[#This Row],[L/P Líquido]]</f>
        <v>0.49523560209424211</v>
      </c>
      <c r="N4029" s="1460">
        <f>base[[#This Row],[L/P Líquido]]/base[[#This Row],[Stake/Responsabilidade]]</f>
        <v>0.52549999999999997</v>
      </c>
      <c r="O4029" s="1462">
        <f>IF(base[[#This Row],[L/P Líquido]]&gt;0,1,0)</f>
        <v>1</v>
      </c>
      <c r="P4029" s="1462"/>
      <c r="Q4029" s="1462" t="str">
        <f>LEFT(base[[#This Row],[Evento / Mercado]],FIND("vs",base[[#This Row],[Evento / Mercado]])-2)</f>
        <v>Real Sociedad B</v>
      </c>
      <c r="R402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Tenerife</v>
      </c>
      <c r="S4029" s="1462" t="str">
        <f>LEFT(base[[#This Row],[Evento / Mercado]],FIND("/",base[[#This Row],[Evento / Mercado]])-2)</f>
        <v>Real Sociedad B vs CD Tenerife</v>
      </c>
      <c r="T4029" s="1463">
        <f>base[[#This Row],[Data de liquidação]]</f>
        <v>46270.43167824074</v>
      </c>
    </row>
    <row r="4030" spans="2:20" ht="15" customHeight="1">
      <c r="B4030" s="1457" t="s">
        <v>4740</v>
      </c>
      <c r="C4030" s="859" t="s">
        <v>3512</v>
      </c>
      <c r="D4030" s="1458">
        <v>46270.452789351853</v>
      </c>
      <c r="E4030" s="1459">
        <v>22.47</v>
      </c>
      <c r="F4030" s="583">
        <v>4.4999999999999998E-2</v>
      </c>
      <c r="G4030" s="1460">
        <f t="shared" si="167"/>
        <v>23.528795811518325</v>
      </c>
      <c r="H4030" s="1434" t="s">
        <v>4685</v>
      </c>
      <c r="I4030" s="1409" t="s">
        <v>626</v>
      </c>
      <c r="J4030" s="1460">
        <v>18</v>
      </c>
      <c r="K4030" s="1460">
        <v>400.01</v>
      </c>
      <c r="L4030" s="1458">
        <f>INT(base[[#This Row],[Data de liquidação]])</f>
        <v>46270</v>
      </c>
      <c r="M4030" s="1460">
        <f>base[[#This Row],[L/P Bruto]]-base[[#This Row],[L/P Líquido]]</f>
        <v>1.0587958115183262</v>
      </c>
      <c r="N4030" s="1460">
        <f>base[[#This Row],[L/P Líquido]]/base[[#This Row],[Stake/Responsabilidade]]</f>
        <v>5.6173595660108495E-2</v>
      </c>
      <c r="O4030" s="1462">
        <f>IF(base[[#This Row],[L/P Líquido]]&gt;0,1,0)</f>
        <v>1</v>
      </c>
      <c r="P4030" s="1462"/>
      <c r="Q4030" s="1462" t="str">
        <f>LEFT(base[[#This Row],[Evento / Mercado]],FIND("vs",base[[#This Row],[Evento / Mercado]])-2)</f>
        <v>Stade Reims</v>
      </c>
      <c r="R403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4030" s="1462" t="str">
        <f>LEFT(base[[#This Row],[Evento / Mercado]],FIND("/",base[[#This Row],[Evento / Mercado]])-2)</f>
        <v>Stade Reims vs En Avant Guingamp</v>
      </c>
      <c r="T4030" s="1463">
        <f>base[[#This Row],[Data de liquidação]]</f>
        <v>46270.452789351853</v>
      </c>
    </row>
    <row r="4031" spans="2:20" ht="15" customHeight="1">
      <c r="B4031" s="1457" t="s">
        <v>4739</v>
      </c>
      <c r="C4031" s="859" t="s">
        <v>3512</v>
      </c>
      <c r="D4031" s="1458">
        <v>46270.454687500001</v>
      </c>
      <c r="E4031" s="1459">
        <v>26.35</v>
      </c>
      <c r="F4031" s="583">
        <v>4.4999999999999998E-2</v>
      </c>
      <c r="G4031" s="1460">
        <f t="shared" si="167"/>
        <v>27.591623036649217</v>
      </c>
      <c r="H4031" s="1434" t="s">
        <v>4685</v>
      </c>
      <c r="I4031" s="1409" t="s">
        <v>626</v>
      </c>
      <c r="J4031" s="1460">
        <v>15.5</v>
      </c>
      <c r="K4031" s="1460">
        <v>400.06</v>
      </c>
      <c r="L4031" s="1458">
        <f>INT(base[[#This Row],[Data de liquidação]])</f>
        <v>46270</v>
      </c>
      <c r="M4031" s="1460">
        <f>base[[#This Row],[L/P Bruto]]-base[[#This Row],[L/P Líquido]]</f>
        <v>1.2416230366492158</v>
      </c>
      <c r="N4031" s="1460">
        <f>base[[#This Row],[L/P Líquido]]/base[[#This Row],[Stake/Responsabilidade]]</f>
        <v>6.586512023196521E-2</v>
      </c>
      <c r="O4031" s="1462">
        <f>IF(base[[#This Row],[L/P Líquido]]&gt;0,1,0)</f>
        <v>1</v>
      </c>
      <c r="P4031" s="1462"/>
      <c r="Q4031" s="1462" t="str">
        <f>LEFT(base[[#This Row],[Evento / Mercado]],FIND("vs",base[[#This Row],[Evento / Mercado]])-2)</f>
        <v>Hansa Rostock</v>
      </c>
      <c r="R403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4031" s="1462" t="str">
        <f>LEFT(base[[#This Row],[Evento / Mercado]],FIND("/",base[[#This Row],[Evento / Mercado]])-2)</f>
        <v>Hansa Rostock vs SV Wehen Wiesbaden</v>
      </c>
      <c r="T4031" s="1463">
        <f>base[[#This Row],[Data de liquidação]]</f>
        <v>46270.454687500001</v>
      </c>
    </row>
    <row r="4032" spans="2:20" ht="15" customHeight="1">
      <c r="B4032" s="1457" t="s">
        <v>4738</v>
      </c>
      <c r="C4032" s="859" t="s">
        <v>3512</v>
      </c>
      <c r="D4032" s="1458">
        <v>46270.494062500002</v>
      </c>
      <c r="E4032" s="1459">
        <v>55.28</v>
      </c>
      <c r="F4032" s="583">
        <v>4.4999999999999998E-2</v>
      </c>
      <c r="G4032" s="1460">
        <f t="shared" si="167"/>
        <v>57.884816753926707</v>
      </c>
      <c r="H4032" s="1434" t="s">
        <v>4685</v>
      </c>
      <c r="I4032" s="1409" t="s">
        <v>626</v>
      </c>
      <c r="J4032" s="1460">
        <v>8.6</v>
      </c>
      <c r="K4032" s="1460">
        <v>439.96</v>
      </c>
      <c r="L4032" s="1458">
        <f>INT(base[[#This Row],[Data de liquidação]])</f>
        <v>46270</v>
      </c>
      <c r="M4032" s="1460">
        <f>base[[#This Row],[L/P Bruto]]-base[[#This Row],[L/P Líquido]]</f>
        <v>2.6048167539267055</v>
      </c>
      <c r="N4032" s="1460">
        <f>base[[#This Row],[L/P Líquido]]/base[[#This Row],[Stake/Responsabilidade]]</f>
        <v>0.1256477861623784</v>
      </c>
      <c r="O4032" s="1462">
        <f>IF(base[[#This Row],[L/P Líquido]]&gt;0,1,0)</f>
        <v>1</v>
      </c>
      <c r="P4032" s="1462"/>
      <c r="Q4032" s="1462" t="str">
        <f>LEFT(base[[#This Row],[Evento / Mercado]],FIND("vs",base[[#This Row],[Evento / Mercado]])-2)</f>
        <v>Degerfors IF</v>
      </c>
      <c r="R403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4032" s="1462" t="str">
        <f>LEFT(base[[#This Row],[Evento / Mercado]],FIND("/",base[[#This Row],[Evento / Mercado]])-2)</f>
        <v>Degerfors IF vs Halmstads BK</v>
      </c>
      <c r="T4032" s="1463">
        <f>base[[#This Row],[Data de liquidação]]</f>
        <v>46270.494062500002</v>
      </c>
    </row>
    <row r="4033" spans="2:20" ht="15" customHeight="1">
      <c r="B4033" s="1457" t="s">
        <v>4737</v>
      </c>
      <c r="C4033" s="859" t="s">
        <v>3512</v>
      </c>
      <c r="D4033" s="1458">
        <v>46270.515972222223</v>
      </c>
      <c r="E4033" s="1459">
        <v>-120</v>
      </c>
      <c r="F4033" s="583">
        <v>4.4999999999999998E-2</v>
      </c>
      <c r="G4033" s="1460">
        <f t="shared" si="167"/>
        <v>-120</v>
      </c>
      <c r="H4033" s="1453" t="s">
        <v>314</v>
      </c>
      <c r="I4033" s="1454" t="s">
        <v>349</v>
      </c>
      <c r="J4033" s="1460">
        <v>1.65</v>
      </c>
      <c r="K4033" s="1460">
        <v>120</v>
      </c>
      <c r="L4033" s="1458">
        <f>INT(base[[#This Row],[Data de liquidação]])</f>
        <v>46270</v>
      </c>
      <c r="M4033" s="1460">
        <f>base[[#This Row],[L/P Bruto]]-base[[#This Row],[L/P Líquido]]</f>
        <v>0</v>
      </c>
      <c r="N4033" s="1460">
        <f>base[[#This Row],[L/P Líquido]]/base[[#This Row],[Stake/Responsabilidade]]</f>
        <v>-1</v>
      </c>
      <c r="O4033" s="1462">
        <f>IF(base[[#This Row],[L/P Líquido]]&gt;0,1,0)</f>
        <v>0</v>
      </c>
      <c r="P4033" s="1462"/>
      <c r="Q4033" s="1462" t="str">
        <f>LEFT(base[[#This Row],[Evento / Mercado]],FIND("vs",base[[#This Row],[Evento / Mercado]])-2)</f>
        <v>SC Paderborn 07</v>
      </c>
      <c r="R403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033" s="1462" t="str">
        <f>LEFT(base[[#This Row],[Evento / Mercado]],FIND("/",base[[#This Row],[Evento / Mercado]])-2)</f>
        <v>SC Paderborn 07 vs SC Freiburg</v>
      </c>
      <c r="T4033" s="1463">
        <f>base[[#This Row],[Data de liquidação]]</f>
        <v>46270.515972222223</v>
      </c>
    </row>
    <row r="4034" spans="2:20" ht="15" customHeight="1">
      <c r="B4034" s="1457" t="s">
        <v>4736</v>
      </c>
      <c r="C4034" s="859" t="s">
        <v>3512</v>
      </c>
      <c r="D4034" s="1458">
        <v>46270.534872685188</v>
      </c>
      <c r="E4034" s="1459">
        <v>55.09</v>
      </c>
      <c r="F4034" s="583">
        <v>4.4999999999999998E-2</v>
      </c>
      <c r="G4034" s="1460">
        <f t="shared" si="167"/>
        <v>57.685863874345557</v>
      </c>
      <c r="H4034" s="1434" t="s">
        <v>4685</v>
      </c>
      <c r="I4034" s="1409" t="s">
        <v>626</v>
      </c>
      <c r="J4034" s="1460">
        <v>8.8000000000000007</v>
      </c>
      <c r="K4034" s="1460">
        <v>449.98</v>
      </c>
      <c r="L4034" s="1458">
        <f>INT(base[[#This Row],[Data de liquidação]])</f>
        <v>46270</v>
      </c>
      <c r="M4034" s="1460">
        <f>base[[#This Row],[L/P Bruto]]-base[[#This Row],[L/P Líquido]]</f>
        <v>2.5958638743455538</v>
      </c>
      <c r="N4034" s="1460">
        <f>base[[#This Row],[L/P Líquido]]/base[[#This Row],[Stake/Responsabilidade]]</f>
        <v>0.12242766345170897</v>
      </c>
      <c r="O4034" s="1462">
        <f>IF(base[[#This Row],[L/P Líquido]]&gt;0,1,0)</f>
        <v>1</v>
      </c>
      <c r="P4034" s="1462"/>
      <c r="Q4034" s="1462" t="str">
        <f>LEFT(base[[#This Row],[Evento / Mercado]],FIND("vs",base[[#This Row],[Evento / Mercado]])-2)</f>
        <v>Aberdeen</v>
      </c>
      <c r="R403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4034" s="1462" t="str">
        <f>LEFT(base[[#This Row],[Evento / Mercado]],FIND("/",base[[#This Row],[Evento / Mercado]])-2)</f>
        <v>Aberdeen vs Kilmarnock</v>
      </c>
      <c r="T4034" s="1463">
        <f>base[[#This Row],[Data de liquidação]]</f>
        <v>46270.534872685188</v>
      </c>
    </row>
    <row r="4035" spans="2:20" ht="15" customHeight="1">
      <c r="B4035" s="1457" t="s">
        <v>4735</v>
      </c>
      <c r="C4035" s="859" t="s">
        <v>3512</v>
      </c>
      <c r="D4035" s="1458">
        <v>46270.536828703705</v>
      </c>
      <c r="E4035" s="1459">
        <v>29.63</v>
      </c>
      <c r="F4035" s="583">
        <v>4.4999999999999998E-2</v>
      </c>
      <c r="G4035" s="1460">
        <f t="shared" si="167"/>
        <v>31.026178010471206</v>
      </c>
      <c r="H4035" s="1434" t="s">
        <v>4685</v>
      </c>
      <c r="I4035" s="1409" t="s">
        <v>626</v>
      </c>
      <c r="J4035" s="1460">
        <v>15.5</v>
      </c>
      <c r="K4035" s="1460">
        <v>449.94</v>
      </c>
      <c r="L4035" s="1458">
        <f>INT(base[[#This Row],[Data de liquidação]])</f>
        <v>46270</v>
      </c>
      <c r="M4035" s="1460">
        <f>base[[#This Row],[L/P Bruto]]-base[[#This Row],[L/P Líquido]]</f>
        <v>1.3961780104712069</v>
      </c>
      <c r="N4035" s="1460">
        <f>base[[#This Row],[L/P Líquido]]/base[[#This Row],[Stake/Responsabilidade]]</f>
        <v>6.5853224874427699E-2</v>
      </c>
      <c r="O4035" s="1462">
        <f>IF(base[[#This Row],[L/P Líquido]]&gt;0,1,0)</f>
        <v>1</v>
      </c>
      <c r="P4035" s="1462"/>
      <c r="Q4035" s="1462" t="str">
        <f>LEFT(base[[#This Row],[Evento / Mercado]],FIND("vs",base[[#This Row],[Evento / Mercado]])-2)</f>
        <v>Millwall</v>
      </c>
      <c r="R403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Bolton Wanderers</v>
      </c>
      <c r="S4035" s="1462" t="str">
        <f>LEFT(base[[#This Row],[Evento / Mercado]],FIND("/",base[[#This Row],[Evento / Mercado]])-2)</f>
        <v>Millwall vs Bolton Wanderers</v>
      </c>
      <c r="T4035" s="1463">
        <f>base[[#This Row],[Data de liquidação]]</f>
        <v>46270.536828703705</v>
      </c>
    </row>
    <row r="4036" spans="2:20" ht="15" customHeight="1">
      <c r="B4036" s="1457" t="s">
        <v>4734</v>
      </c>
      <c r="C4036" s="859" t="s">
        <v>3512</v>
      </c>
      <c r="D4036" s="1458">
        <v>46270.537141203706</v>
      </c>
      <c r="E4036" s="1459">
        <v>-579.96</v>
      </c>
      <c r="F4036" s="583">
        <v>4.4999999999999998E-2</v>
      </c>
      <c r="G4036" s="1460">
        <f t="shared" si="167"/>
        <v>-579.96</v>
      </c>
      <c r="H4036" s="1460" t="s">
        <v>150</v>
      </c>
      <c r="I4036" s="1461" t="s">
        <v>627</v>
      </c>
      <c r="J4036" s="1460">
        <v>13</v>
      </c>
      <c r="K4036" s="1460">
        <v>579.96</v>
      </c>
      <c r="L4036" s="1458">
        <f>INT(base[[#This Row],[Data de liquidação]])</f>
        <v>46270</v>
      </c>
      <c r="M4036" s="1460">
        <f>base[[#This Row],[L/P Bruto]]-base[[#This Row],[L/P Líquido]]</f>
        <v>0</v>
      </c>
      <c r="N4036" s="1460">
        <f>base[[#This Row],[L/P Líquido]]/base[[#This Row],[Stake/Responsabilidade]]</f>
        <v>-1</v>
      </c>
      <c r="O4036" s="1462">
        <f>IF(base[[#This Row],[L/P Líquido]]&gt;0,1,0)</f>
        <v>0</v>
      </c>
      <c r="P4036" s="1462"/>
      <c r="Q4036" s="1462" t="str">
        <f>LEFT(base[[#This Row],[Evento / Mercado]],FIND("vs",base[[#This Row],[Evento / Mercado]])-2)</f>
        <v>Manchester City</v>
      </c>
      <c r="R403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4036" s="1462" t="str">
        <f>LEFT(base[[#This Row],[Evento / Mercado]],FIND("/",base[[#This Row],[Evento / Mercado]])-2)</f>
        <v>Manchester City vs Coventry City</v>
      </c>
      <c r="T4036" s="1463">
        <f>base[[#This Row],[Data de liquidação]]</f>
        <v>46270.537141203706</v>
      </c>
    </row>
    <row r="4037" spans="2:20" ht="15" customHeight="1">
      <c r="B4037" s="1457" t="s">
        <v>4733</v>
      </c>
      <c r="C4037" s="859" t="s">
        <v>3512</v>
      </c>
      <c r="D4037" s="1458">
        <v>46270.537430555552</v>
      </c>
      <c r="E4037" s="1459">
        <v>22.16</v>
      </c>
      <c r="F4037" s="583">
        <v>4.4999999999999998E-2</v>
      </c>
      <c r="G4037" s="1460">
        <f t="shared" si="167"/>
        <v>23.204188481675395</v>
      </c>
      <c r="H4037" s="1401" t="s">
        <v>3367</v>
      </c>
      <c r="I4037" s="1402" t="s">
        <v>391</v>
      </c>
      <c r="J4037" s="1460">
        <f>(17.5*99.99+18.5*299.95)/base[[#This Row],[Stake/Responsabilidade]]</f>
        <v>18.249987498124717</v>
      </c>
      <c r="K4037" s="1460">
        <f>99.99+299.95</f>
        <v>399.94</v>
      </c>
      <c r="L4037" s="1458">
        <f>INT(base[[#This Row],[Data de liquidação]])</f>
        <v>46270</v>
      </c>
      <c r="M4037" s="1460">
        <f>base[[#This Row],[L/P Bruto]]-base[[#This Row],[L/P Líquido]]</f>
        <v>1.0441884816753948</v>
      </c>
      <c r="N4037" s="1460">
        <f>base[[#This Row],[L/P Líquido]]/base[[#This Row],[Stake/Responsabilidade]]</f>
        <v>5.5408311246687006E-2</v>
      </c>
      <c r="O4037" s="1462">
        <f>IF(base[[#This Row],[L/P Líquido]]&gt;0,1,0)</f>
        <v>1</v>
      </c>
      <c r="P4037" s="1471" t="s">
        <v>1200</v>
      </c>
      <c r="Q4037" s="1462" t="str">
        <f>LEFT(base[[#This Row],[Evento / Mercado]],FIND("vs",base[[#This Row],[Evento / Mercado]])-2)</f>
        <v>Manchester City</v>
      </c>
      <c r="R4037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4037" s="1462" t="str">
        <f>LEFT(base[[#This Row],[Evento / Mercado]],FIND("/",base[[#This Row],[Evento / Mercado]])-2)</f>
        <v>Manchester City vs Coventry City</v>
      </c>
      <c r="T4037" s="1463">
        <f>base[[#This Row],[Data de liquidação]]</f>
        <v>46270.537430555552</v>
      </c>
    </row>
    <row r="4038" spans="2:20" ht="15" customHeight="1">
      <c r="B4038" s="1457" t="s">
        <v>4732</v>
      </c>
      <c r="C4038" s="859" t="s">
        <v>3512</v>
      </c>
      <c r="D4038" s="1458">
        <v>46270.538611111115</v>
      </c>
      <c r="E4038" s="1459">
        <v>27.86</v>
      </c>
      <c r="F4038" s="583">
        <v>4.4999999999999998E-2</v>
      </c>
      <c r="G4038" s="1460">
        <f t="shared" si="167"/>
        <v>29.172774869109947</v>
      </c>
      <c r="H4038" s="1434" t="s">
        <v>4685</v>
      </c>
      <c r="I4038" s="1409" t="s">
        <v>626</v>
      </c>
      <c r="J4038" s="1460">
        <f>(17*200+13*200.04)/base[[#This Row],[Stake/Responsabilidade]]</f>
        <v>14.999800019998002</v>
      </c>
      <c r="K4038" s="1460">
        <f>200+200.04</f>
        <v>400.03999999999996</v>
      </c>
      <c r="L4038" s="1458">
        <f>INT(base[[#This Row],[Data de liquidação]])</f>
        <v>46270</v>
      </c>
      <c r="M4038" s="1460">
        <f>base[[#This Row],[L/P Bruto]]-base[[#This Row],[L/P Líquido]]</f>
        <v>1.3127748691099477</v>
      </c>
      <c r="N4038" s="1460">
        <f>base[[#This Row],[L/P Líquido]]/base[[#This Row],[Stake/Responsabilidade]]</f>
        <v>6.9643035696430364E-2</v>
      </c>
      <c r="O4038" s="1462">
        <f>IF(base[[#This Row],[L/P Líquido]]&gt;0,1,0)</f>
        <v>1</v>
      </c>
      <c r="P4038" s="1462"/>
      <c r="Q4038" s="1462" t="str">
        <f>LEFT(base[[#This Row],[Evento / Mercado]],FIND("vs",base[[#This Row],[Evento / Mercado]])-2)</f>
        <v>West Bromwich Albion</v>
      </c>
      <c r="R403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4038" s="1462" t="str">
        <f>LEFT(base[[#This Row],[Evento / Mercado]],FIND("/",base[[#This Row],[Evento / Mercado]])-2)</f>
        <v>West Bromwich Albion vs Watford</v>
      </c>
      <c r="T4038" s="1463">
        <f>base[[#This Row],[Data de liquidação]]</f>
        <v>46270.538611111115</v>
      </c>
    </row>
    <row r="4039" spans="2:20" ht="15" customHeight="1">
      <c r="B4039" s="1457" t="s">
        <v>4731</v>
      </c>
      <c r="C4039" s="859" t="s">
        <v>3512</v>
      </c>
      <c r="D4039" s="1458">
        <v>46270.538946759261</v>
      </c>
      <c r="E4039" s="1459">
        <v>-120</v>
      </c>
      <c r="F4039" s="583">
        <v>4.4999999999999998E-2</v>
      </c>
      <c r="G4039" s="1460">
        <f t="shared" si="167"/>
        <v>-120</v>
      </c>
      <c r="H4039" s="1453" t="s">
        <v>314</v>
      </c>
      <c r="I4039" s="1454" t="s">
        <v>349</v>
      </c>
      <c r="J4039" s="1460">
        <v>1.7</v>
      </c>
      <c r="K4039" s="1460">
        <v>120</v>
      </c>
      <c r="L4039" s="1458">
        <f>INT(base[[#This Row],[Data de liquidação]])</f>
        <v>46270</v>
      </c>
      <c r="M4039" s="1460">
        <f>base[[#This Row],[L/P Bruto]]-base[[#This Row],[L/P Líquido]]</f>
        <v>0</v>
      </c>
      <c r="N4039" s="1460">
        <f>base[[#This Row],[L/P Líquido]]/base[[#This Row],[Stake/Responsabilidade]]</f>
        <v>-1</v>
      </c>
      <c r="O4039" s="1462">
        <f>IF(base[[#This Row],[L/P Líquido]]&gt;0,1,0)</f>
        <v>0</v>
      </c>
      <c r="P4039" s="1462"/>
      <c r="Q4039" s="1462" t="str">
        <f>LEFT(base[[#This Row],[Evento / Mercado]],FIND("vs",base[[#This Row],[Evento / Mercado]])-2)</f>
        <v>Rangers</v>
      </c>
      <c r="R403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4039" s="1462" t="str">
        <f>LEFT(base[[#This Row],[Evento / Mercado]],FIND("/",base[[#This Row],[Evento / Mercado]])-2)</f>
        <v>Rangers vs Motherwell</v>
      </c>
      <c r="T4039" s="1463">
        <f>base[[#This Row],[Data de liquidação]]</f>
        <v>46270.538946759261</v>
      </c>
    </row>
    <row r="4040" spans="2:20" ht="15" customHeight="1">
      <c r="B4040" s="1457" t="s">
        <v>4730</v>
      </c>
      <c r="C4040" s="859" t="s">
        <v>3512</v>
      </c>
      <c r="D4040" s="1458">
        <v>46270.540034722224</v>
      </c>
      <c r="E4040" s="1459">
        <v>-120</v>
      </c>
      <c r="F4040" s="583">
        <v>4.4999999999999998E-2</v>
      </c>
      <c r="G4040" s="1460">
        <f t="shared" si="167"/>
        <v>-120</v>
      </c>
      <c r="H4040" s="1453" t="s">
        <v>314</v>
      </c>
      <c r="I4040" s="1454" t="s">
        <v>349</v>
      </c>
      <c r="J4040" s="1460">
        <v>1.66</v>
      </c>
      <c r="K4040" s="1460">
        <v>120</v>
      </c>
      <c r="L4040" s="1458">
        <f>INT(base[[#This Row],[Data de liquidação]])</f>
        <v>46270</v>
      </c>
      <c r="M4040" s="1460">
        <f>base[[#This Row],[L/P Bruto]]-base[[#This Row],[L/P Líquido]]</f>
        <v>0</v>
      </c>
      <c r="N4040" s="1460">
        <f>base[[#This Row],[L/P Líquido]]/base[[#This Row],[Stake/Responsabilidade]]</f>
        <v>-1</v>
      </c>
      <c r="O4040" s="1462">
        <f>IF(base[[#This Row],[L/P Líquido]]&gt;0,1,0)</f>
        <v>0</v>
      </c>
      <c r="P4040" s="1462"/>
      <c r="Q4040" s="1462" t="str">
        <f>LEFT(base[[#This Row],[Evento / Mercado]],FIND("vs",base[[#This Row],[Evento / Mercado]])-2)</f>
        <v>Queens Park Rangers</v>
      </c>
      <c r="R404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040" s="1462" t="str">
        <f>LEFT(base[[#This Row],[Evento / Mercado]],FIND("/",base[[#This Row],[Evento / Mercado]])-2)</f>
        <v>Queens Park Rangers vs Middlesbrough</v>
      </c>
      <c r="T4040" s="1463">
        <f>base[[#This Row],[Data de liquidação]]</f>
        <v>46270.540034722224</v>
      </c>
    </row>
    <row r="4041" spans="2:20" ht="15" customHeight="1">
      <c r="B4041" s="1457" t="s">
        <v>4729</v>
      </c>
      <c r="C4041" s="859" t="s">
        <v>3512</v>
      </c>
      <c r="D4041" s="1458">
        <v>46270.543171296296</v>
      </c>
      <c r="E4041" s="1459">
        <v>23.23</v>
      </c>
      <c r="F4041" s="583">
        <v>4.4999999999999998E-2</v>
      </c>
      <c r="G4041" s="1460">
        <f t="shared" si="167"/>
        <v>24.324607329842934</v>
      </c>
      <c r="H4041" s="1434" t="s">
        <v>4685</v>
      </c>
      <c r="I4041" s="1409" t="s">
        <v>626</v>
      </c>
      <c r="J4041" s="1460">
        <v>19.5</v>
      </c>
      <c r="K4041" s="1460">
        <v>449.92</v>
      </c>
      <c r="L4041" s="1458">
        <f>INT(base[[#This Row],[Data de liquidação]])</f>
        <v>46270</v>
      </c>
      <c r="M4041" s="1460">
        <f>base[[#This Row],[L/P Bruto]]-base[[#This Row],[L/P Líquido]]</f>
        <v>1.0946073298429333</v>
      </c>
      <c r="N4041" s="1460">
        <f>base[[#This Row],[L/P Líquido]]/base[[#This Row],[Stake/Responsabilidade]]</f>
        <v>5.1631401137980086E-2</v>
      </c>
      <c r="O4041" s="1462">
        <f>IF(base[[#This Row],[L/P Líquido]]&gt;0,1,0)</f>
        <v>1</v>
      </c>
      <c r="P4041" s="1462"/>
      <c r="Q4041" s="1462" t="str">
        <f>LEFT(base[[#This Row],[Evento / Mercado]],FIND("vs",base[[#This Row],[Evento / Mercado]])-2)</f>
        <v>Brentford</v>
      </c>
      <c r="R404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4041" s="1462" t="str">
        <f>LEFT(base[[#This Row],[Evento / Mercado]],FIND("/",base[[#This Row],[Evento / Mercado]])-2)</f>
        <v>Brentford vs Sunderland</v>
      </c>
      <c r="T4041" s="1463">
        <f>base[[#This Row],[Data de liquidação]]</f>
        <v>46270.543171296296</v>
      </c>
    </row>
    <row r="4042" spans="2:20" ht="15" customHeight="1">
      <c r="B4042" s="1457" t="s">
        <v>1530</v>
      </c>
      <c r="C4042" s="859" t="s">
        <v>3512</v>
      </c>
      <c r="D4042" s="1458">
        <v>46270.558194444442</v>
      </c>
      <c r="E4042" s="1459">
        <v>10.85</v>
      </c>
      <c r="F4042" s="583">
        <v>4.4999999999999998E-2</v>
      </c>
      <c r="G4042" s="1460">
        <f t="shared" si="167"/>
        <v>11.361256544502618</v>
      </c>
      <c r="H4042" s="1365" t="s">
        <v>1646</v>
      </c>
      <c r="I4042" s="1433" t="s">
        <v>4684</v>
      </c>
      <c r="J4042" s="1460">
        <v>9.8000000000000007</v>
      </c>
      <c r="K4042" s="1460">
        <v>99.97</v>
      </c>
      <c r="L4042" s="1458">
        <f>INT(base[[#This Row],[Data de liquidação]])</f>
        <v>46270</v>
      </c>
      <c r="M4042" s="1460">
        <f>base[[#This Row],[L/P Bruto]]-base[[#This Row],[L/P Líquido]]</f>
        <v>0.51125654450261848</v>
      </c>
      <c r="N4042" s="1460">
        <f>base[[#This Row],[L/P Líquido]]/base[[#This Row],[Stake/Responsabilidade]]</f>
        <v>0.10853255976793037</v>
      </c>
      <c r="O4042" s="1462">
        <f>IF(base[[#This Row],[L/P Líquido]]&gt;0,1,0)</f>
        <v>1</v>
      </c>
      <c r="P4042" s="1462"/>
      <c r="Q4042" s="1462" t="str">
        <f>LEFT(base[[#This Row],[Evento / Mercado]],FIND("vs",base[[#This Row],[Evento / Mercado]])-2)</f>
        <v>NEC</v>
      </c>
      <c r="R404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4042" s="1462" t="str">
        <f>LEFT(base[[#This Row],[Evento / Mercado]],FIND("/",base[[#This Row],[Evento / Mercado]])-2)</f>
        <v>NEC vs Feyenoord</v>
      </c>
      <c r="T4042" s="1463">
        <f>base[[#This Row],[Data de liquidação]]</f>
        <v>46270.558194444442</v>
      </c>
    </row>
    <row r="4043" spans="2:20" ht="15" customHeight="1">
      <c r="B4043" s="1457" t="s">
        <v>4728</v>
      </c>
      <c r="C4043" s="859" t="s">
        <v>3512</v>
      </c>
      <c r="D4043" s="1458">
        <v>46270.588912037034</v>
      </c>
      <c r="E4043" s="1459">
        <v>-499.98</v>
      </c>
      <c r="F4043" s="583">
        <v>4.4999999999999998E-2</v>
      </c>
      <c r="G4043" s="1460">
        <f t="shared" si="167"/>
        <v>-499.98</v>
      </c>
      <c r="H4043" s="1434" t="s">
        <v>4685</v>
      </c>
      <c r="I4043" s="1409" t="s">
        <v>626</v>
      </c>
      <c r="J4043" s="1460">
        <v>14</v>
      </c>
      <c r="K4043" s="1460">
        <f>300.04+199.94</f>
        <v>499.98</v>
      </c>
      <c r="L4043" s="1458">
        <f>INT(base[[#This Row],[Data de liquidação]])</f>
        <v>46270</v>
      </c>
      <c r="M4043" s="1460">
        <f>base[[#This Row],[L/P Bruto]]-base[[#This Row],[L/P Líquido]]</f>
        <v>0</v>
      </c>
      <c r="N4043" s="1460">
        <f>base[[#This Row],[L/P Líquido]]/base[[#This Row],[Stake/Responsabilidade]]</f>
        <v>-1</v>
      </c>
      <c r="O4043" s="1462">
        <f>IF(base[[#This Row],[L/P Líquido]]&gt;0,1,0)</f>
        <v>0</v>
      </c>
      <c r="P4043" s="1462"/>
      <c r="Q4043" s="1462" t="str">
        <f>LEFT(base[[#This Row],[Evento / Mercado]],FIND("vs",base[[#This Row],[Evento / Mercado]])-2)</f>
        <v>RC Lens</v>
      </c>
      <c r="R404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043" s="1462" t="str">
        <f>LEFT(base[[#This Row],[Evento / Mercado]],FIND("/",base[[#This Row],[Evento / Mercado]])-2)</f>
        <v>RC Lens vs FC Lorient</v>
      </c>
      <c r="T4043" s="1463">
        <f>base[[#This Row],[Data de liquidação]]</f>
        <v>46270.588912037034</v>
      </c>
    </row>
    <row r="4044" spans="2:20" ht="15" customHeight="1">
      <c r="B4044" s="1457" t="s">
        <v>4727</v>
      </c>
      <c r="C4044" s="859" t="s">
        <v>3512</v>
      </c>
      <c r="D4044" s="1458">
        <v>46270.596909722219</v>
      </c>
      <c r="E4044" s="1459">
        <v>-20</v>
      </c>
      <c r="F4044" s="583">
        <v>4.4999999999999998E-2</v>
      </c>
      <c r="G4044" s="1460">
        <f t="shared" si="167"/>
        <v>-20</v>
      </c>
      <c r="H4044" s="1365" t="s">
        <v>1646</v>
      </c>
      <c r="I4044" s="1402" t="s">
        <v>2274</v>
      </c>
      <c r="J4044" s="1460">
        <v>1.55</v>
      </c>
      <c r="K4044" s="1460">
        <v>20</v>
      </c>
      <c r="L4044" s="1458">
        <f>INT(base[[#This Row],[Data de liquidação]])</f>
        <v>46270</v>
      </c>
      <c r="M4044" s="1460">
        <f>base[[#This Row],[L/P Bruto]]-base[[#This Row],[L/P Líquido]]</f>
        <v>0</v>
      </c>
      <c r="N4044" s="1460">
        <f>base[[#This Row],[L/P Líquido]]/base[[#This Row],[Stake/Responsabilidade]]</f>
        <v>-1</v>
      </c>
      <c r="O4044" s="1462">
        <f>IF(base[[#This Row],[L/P Líquido]]&gt;0,1,0)</f>
        <v>0</v>
      </c>
      <c r="P4044" s="1462"/>
      <c r="Q4044" s="1462" t="str">
        <f>LEFT(base[[#This Row],[Evento / Mercado]],FIND("vs",base[[#This Row],[Evento / Mercado]])-2)</f>
        <v>Sekhukhune United</v>
      </c>
      <c r="R404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 Galaxy FC</v>
      </c>
      <c r="S4044" s="1462" t="str">
        <f>LEFT(base[[#This Row],[Evento / Mercado]],FIND("/",base[[#This Row],[Evento / Mercado]])-2)</f>
        <v>Sekhukhune United vs TS Galaxy FC</v>
      </c>
      <c r="T4044" s="1463">
        <f>base[[#This Row],[Data de liquidação]]</f>
        <v>46270.596909722219</v>
      </c>
    </row>
    <row r="4045" spans="2:20" ht="15" customHeight="1">
      <c r="B4045" s="1457" t="s">
        <v>4726</v>
      </c>
      <c r="C4045" s="859" t="s">
        <v>3512</v>
      </c>
      <c r="D4045" s="1458">
        <v>46270.597199074073</v>
      </c>
      <c r="E4045" s="1459">
        <v>6.28</v>
      </c>
      <c r="F4045" s="583">
        <v>4.4999999999999998E-2</v>
      </c>
      <c r="G4045" s="1460">
        <f t="shared" si="167"/>
        <v>6.5759162303664924</v>
      </c>
      <c r="H4045" s="1365" t="s">
        <v>1646</v>
      </c>
      <c r="I4045" s="1387" t="s">
        <v>3293</v>
      </c>
      <c r="J4045" s="1460">
        <v>2.3199999999999998</v>
      </c>
      <c r="K4045" s="1460">
        <v>5</v>
      </c>
      <c r="L4045" s="1458">
        <f>INT(base[[#This Row],[Data de liquidação]])</f>
        <v>46270</v>
      </c>
      <c r="M4045" s="1460">
        <f>base[[#This Row],[L/P Bruto]]-base[[#This Row],[L/P Líquido]]</f>
        <v>0.29591623036649217</v>
      </c>
      <c r="N4045" s="1460">
        <f>base[[#This Row],[L/P Líquido]]/base[[#This Row],[Stake/Responsabilidade]]</f>
        <v>1.256</v>
      </c>
      <c r="O4045" s="1462">
        <f>IF(base[[#This Row],[L/P Líquido]]&gt;0,1,0)</f>
        <v>1</v>
      </c>
      <c r="P4045" s="1462"/>
      <c r="Q4045" s="1462" t="str">
        <f>LEFT(base[[#This Row],[Evento / Mercado]],FIND("vs",base[[#This Row],[Evento / Mercado]])-2)</f>
        <v>MTK Budapest</v>
      </c>
      <c r="R404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4045" s="1462" t="str">
        <f>LEFT(base[[#This Row],[Evento / Mercado]],FIND("/",base[[#This Row],[Evento / Mercado]])-2)</f>
        <v>MTK Budapest vs Kisvárda</v>
      </c>
      <c r="T4045" s="1463">
        <f>base[[#This Row],[Data de liquidação]]</f>
        <v>46270.597199074073</v>
      </c>
    </row>
    <row r="4046" spans="2:20" ht="15" customHeight="1">
      <c r="B4046" s="1457" t="s">
        <v>4725</v>
      </c>
      <c r="C4046" s="859" t="s">
        <v>3512</v>
      </c>
      <c r="D4046" s="1458">
        <v>46270.6246875</v>
      </c>
      <c r="E4046" s="1459">
        <v>3.73</v>
      </c>
      <c r="F4046" s="583">
        <v>4.4999999999999998E-2</v>
      </c>
      <c r="G4046" s="1460">
        <f t="shared" si="167"/>
        <v>3.9057591623036649</v>
      </c>
      <c r="H4046" s="1365" t="s">
        <v>1646</v>
      </c>
      <c r="I4046" s="1387" t="s">
        <v>3293</v>
      </c>
      <c r="J4046" s="1460">
        <v>1.78</v>
      </c>
      <c r="K4046" s="1460">
        <v>5</v>
      </c>
      <c r="L4046" s="1458">
        <f>INT(base[[#This Row],[Data de liquidação]])</f>
        <v>46270</v>
      </c>
      <c r="M4046" s="1460">
        <f>base[[#This Row],[L/P Bruto]]-base[[#This Row],[L/P Líquido]]</f>
        <v>0.17575916230366495</v>
      </c>
      <c r="N4046" s="1460">
        <f>base[[#This Row],[L/P Líquido]]/base[[#This Row],[Stake/Responsabilidade]]</f>
        <v>0.746</v>
      </c>
      <c r="O4046" s="1462">
        <f>IF(base[[#This Row],[L/P Líquido]]&gt;0,1,0)</f>
        <v>1</v>
      </c>
      <c r="P4046" s="1462"/>
      <c r="Q4046" s="1462" t="str">
        <f>LEFT(base[[#This Row],[Evento / Mercado]],FIND("vs",base[[#This Row],[Evento / Mercado]])-2)</f>
        <v>Hapoel Jerusalem</v>
      </c>
      <c r="R404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Ironi Kiryat Shmona</v>
      </c>
      <c r="S4046" s="1462" t="str">
        <f>LEFT(base[[#This Row],[Evento / Mercado]],FIND("/",base[[#This Row],[Evento / Mercado]])-2)</f>
        <v>Hapoel Jerusalem vs Hapoel Ironi Kiryat Shmona</v>
      </c>
      <c r="T4046" s="1463">
        <f>base[[#This Row],[Data de liquidação]]</f>
        <v>46270.6246875</v>
      </c>
    </row>
    <row r="4047" spans="2:20" ht="15" customHeight="1">
      <c r="B4047" s="1457" t="s">
        <v>4724</v>
      </c>
      <c r="C4047" s="859" t="s">
        <v>3512</v>
      </c>
      <c r="D4047" s="1458">
        <v>46270.625972222224</v>
      </c>
      <c r="E4047" s="1459">
        <v>2.2000000000000002</v>
      </c>
      <c r="F4047" s="583">
        <v>4.4999999999999998E-2</v>
      </c>
      <c r="G4047" s="1460">
        <f t="shared" si="167"/>
        <v>2.3036649214659688</v>
      </c>
      <c r="H4047" s="1365" t="s">
        <v>1646</v>
      </c>
      <c r="I4047" s="1387" t="s">
        <v>3293</v>
      </c>
      <c r="J4047" s="1460">
        <v>1.46</v>
      </c>
      <c r="K4047" s="1460">
        <v>5</v>
      </c>
      <c r="L4047" s="1458">
        <f>INT(base[[#This Row],[Data de liquidação]])</f>
        <v>46270</v>
      </c>
      <c r="M4047" s="1460">
        <f>base[[#This Row],[L/P Bruto]]-base[[#This Row],[L/P Líquido]]</f>
        <v>0.10366492146596862</v>
      </c>
      <c r="N4047" s="1460">
        <f>base[[#This Row],[L/P Líquido]]/base[[#This Row],[Stake/Responsabilidade]]</f>
        <v>0.44000000000000006</v>
      </c>
      <c r="O4047" s="1462">
        <f>IF(base[[#This Row],[L/P Líquido]]&gt;0,1,0)</f>
        <v>1</v>
      </c>
      <c r="P4047" s="1462"/>
      <c r="Q4047" s="1462" t="str">
        <f>LEFT(base[[#This Row],[Evento / Mercado]],FIND("vs",base[[#This Row],[Evento / Mercado]])-2)</f>
        <v>FC Utrecht</v>
      </c>
      <c r="R4047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4047" s="1462" t="str">
        <f>LEFT(base[[#This Row],[Evento / Mercado]],FIND("/",base[[#This Row],[Evento / Mercado]])-2)</f>
        <v>FC Utrecht vs Go Ahead Eagles</v>
      </c>
      <c r="T4047" s="1463">
        <f>base[[#This Row],[Data de liquidação]]</f>
        <v>46270.625972222224</v>
      </c>
    </row>
    <row r="4048" spans="2:20" ht="15" customHeight="1">
      <c r="B4048" s="1457" t="s">
        <v>4723</v>
      </c>
      <c r="C4048" s="859" t="s">
        <v>3512</v>
      </c>
      <c r="D4048" s="1458">
        <v>46270.640555555554</v>
      </c>
      <c r="E4048" s="1459">
        <v>17.989999999999998</v>
      </c>
      <c r="F4048" s="583">
        <v>4.4999999999999998E-2</v>
      </c>
      <c r="G4048" s="1460">
        <f t="shared" si="167"/>
        <v>18.837696335078533</v>
      </c>
      <c r="H4048" s="1460" t="s">
        <v>150</v>
      </c>
      <c r="I4048" s="1461" t="s">
        <v>692</v>
      </c>
      <c r="J4048" s="1460">
        <v>22</v>
      </c>
      <c r="K4048" s="1460">
        <v>395.65</v>
      </c>
      <c r="L4048" s="1458">
        <f>INT(base[[#This Row],[Data de liquidação]])</f>
        <v>46270</v>
      </c>
      <c r="M4048" s="1460">
        <f>base[[#This Row],[L/P Bruto]]-base[[#This Row],[L/P Líquido]]</f>
        <v>0.8476963350785347</v>
      </c>
      <c r="N4048" s="1460">
        <f>base[[#This Row],[L/P Líquido]]/base[[#This Row],[Stake/Responsabilidade]]</f>
        <v>4.5469480601541767E-2</v>
      </c>
      <c r="O4048" s="1462">
        <f>IF(base[[#This Row],[L/P Líquido]]&gt;0,1,0)</f>
        <v>1</v>
      </c>
      <c r="P4048" s="1462"/>
      <c r="Q4048" s="1462" t="str">
        <f>LEFT(base[[#This Row],[Evento / Mercado]],FIND("vs",base[[#This Row],[Evento / Mercado]])-2)</f>
        <v>FC Schalke 04</v>
      </c>
      <c r="R404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048" s="1462" t="str">
        <f>LEFT(base[[#This Row],[Evento / Mercado]],FIND("/",base[[#This Row],[Evento / Mercado]])-2)</f>
        <v>FC Schalke 04 vs FC Bayern München</v>
      </c>
      <c r="T4048" s="1463">
        <f>base[[#This Row],[Data de liquidação]]</f>
        <v>46270.640555555554</v>
      </c>
    </row>
    <row r="4049" spans="2:20" ht="15" customHeight="1">
      <c r="B4049" s="1457" t="s">
        <v>4722</v>
      </c>
      <c r="C4049" s="859" t="s">
        <v>3512</v>
      </c>
      <c r="D4049" s="1458">
        <v>46270.640763888892</v>
      </c>
      <c r="E4049" s="1459">
        <v>23.24</v>
      </c>
      <c r="F4049" s="583">
        <v>4.4999999999999998E-2</v>
      </c>
      <c r="G4049" s="1460">
        <f t="shared" si="167"/>
        <v>24.335078534031414</v>
      </c>
      <c r="H4049" s="1401" t="s">
        <v>3367</v>
      </c>
      <c r="I4049" s="1402" t="s">
        <v>391</v>
      </c>
      <c r="J4049" s="1460">
        <f>(18*99.96+20*300.01+16*40.05)/base[[#This Row],[Stake/Responsabilidade]]</f>
        <v>19.181582655333848</v>
      </c>
      <c r="K4049" s="1460">
        <f>99.96+300.01+40.05</f>
        <v>440.02</v>
      </c>
      <c r="L4049" s="1458">
        <f>INT(base[[#This Row],[Data de liquidação]])</f>
        <v>46270</v>
      </c>
      <c r="M4049" s="1460">
        <f>base[[#This Row],[L/P Bruto]]-base[[#This Row],[L/P Líquido]]</f>
        <v>1.0950785340314155</v>
      </c>
      <c r="N4049" s="1460">
        <f>base[[#This Row],[L/P Líquido]]/base[[#This Row],[Stake/Responsabilidade]]</f>
        <v>5.2815781100859049E-2</v>
      </c>
      <c r="O4049" s="1462">
        <f>IF(base[[#This Row],[L/P Líquido]]&gt;0,1,0)</f>
        <v>1</v>
      </c>
      <c r="P4049" s="1471" t="s">
        <v>1199</v>
      </c>
      <c r="Q4049" s="1462" t="str">
        <f>LEFT(base[[#This Row],[Evento / Mercado]],FIND("vs",base[[#This Row],[Evento / Mercado]])-2)</f>
        <v>FC Schalke 04</v>
      </c>
      <c r="R404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049" s="1462" t="str">
        <f>LEFT(base[[#This Row],[Evento / Mercado]],FIND("/",base[[#This Row],[Evento / Mercado]])-2)</f>
        <v>FC Schalke 04 vs FC Bayern München</v>
      </c>
      <c r="T4049" s="1463">
        <f>base[[#This Row],[Data de liquidação]]</f>
        <v>46270.640763888892</v>
      </c>
    </row>
    <row r="4050" spans="2:20" ht="15" customHeight="1">
      <c r="B4050" s="1457" t="s">
        <v>4720</v>
      </c>
      <c r="C4050" s="859" t="s">
        <v>3512</v>
      </c>
      <c r="D4050" s="1458">
        <v>46270.66983796296</v>
      </c>
      <c r="E4050" s="1459">
        <v>9.9499999999999993</v>
      </c>
      <c r="F4050" s="583">
        <v>4.4999999999999998E-2</v>
      </c>
      <c r="G4050" s="1460">
        <f t="shared" si="167"/>
        <v>10.418848167539267</v>
      </c>
      <c r="H4050" s="1365" t="s">
        <v>1646</v>
      </c>
      <c r="I4050" s="1402" t="s">
        <v>2274</v>
      </c>
      <c r="J4050" s="1460">
        <v>1.52</v>
      </c>
      <c r="K4050" s="1460">
        <v>20</v>
      </c>
      <c r="L4050" s="1458">
        <f>INT(base[[#This Row],[Data de liquidação]])</f>
        <v>46270</v>
      </c>
      <c r="M4050" s="1460">
        <f>base[[#This Row],[L/P Bruto]]-base[[#This Row],[L/P Líquido]]</f>
        <v>0.46884816753926728</v>
      </c>
      <c r="N4050" s="1460">
        <f>base[[#This Row],[L/P Líquido]]/base[[#This Row],[Stake/Responsabilidade]]</f>
        <v>0.49749999999999994</v>
      </c>
      <c r="O4050" s="1462">
        <f>IF(base[[#This Row],[L/P Líquido]]&gt;0,1,0)</f>
        <v>1</v>
      </c>
      <c r="P4050" s="1462"/>
      <c r="Q4050" s="1462" t="str">
        <f>LEFT(base[[#This Row],[Evento / Mercado]],FIND("vs",base[[#This Row],[Evento / Mercado]])-2)</f>
        <v>Carrarese</v>
      </c>
      <c r="R405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4050" s="1462" t="str">
        <f>LEFT(base[[#This Row],[Evento / Mercado]],FIND("/",base[[#This Row],[Evento / Mercado]])-2)</f>
        <v>Carrarese vs Empoli</v>
      </c>
      <c r="T4050" s="1463">
        <f>base[[#This Row],[Data de liquidação]]</f>
        <v>46270.66983796296</v>
      </c>
    </row>
    <row r="4051" spans="2:20" ht="15" customHeight="1">
      <c r="B4051" s="1457" t="s">
        <v>4719</v>
      </c>
      <c r="C4051" s="859" t="s">
        <v>3512</v>
      </c>
      <c r="D4051" s="1458">
        <v>46270.733229166668</v>
      </c>
      <c r="E4051" s="1459">
        <v>17.97</v>
      </c>
      <c r="F4051" s="583">
        <v>4.4999999999999998E-2</v>
      </c>
      <c r="G4051" s="1460">
        <f t="shared" si="167"/>
        <v>18.816753926701569</v>
      </c>
      <c r="H4051" s="1434" t="s">
        <v>4685</v>
      </c>
      <c r="I4051" s="1409" t="s">
        <v>626</v>
      </c>
      <c r="J4051" s="1460">
        <f>(16*150+18*149.94)/base[[#This Row],[Stake/Responsabilidade]]</f>
        <v>16.999799959992</v>
      </c>
      <c r="K4051" s="1460">
        <f>150+149.94</f>
        <v>299.94</v>
      </c>
      <c r="L4051" s="1458">
        <f>INT(base[[#This Row],[Data de liquidação]])</f>
        <v>46270</v>
      </c>
      <c r="M4051" s="1460">
        <f>base[[#This Row],[L/P Bruto]]-base[[#This Row],[L/P Líquido]]</f>
        <v>0.84675392670157024</v>
      </c>
      <c r="N4051" s="1460">
        <f>base[[#This Row],[L/P Líquido]]/base[[#This Row],[Stake/Responsabilidade]]</f>
        <v>5.9911982396479289E-2</v>
      </c>
      <c r="O4051" s="1462">
        <f>IF(base[[#This Row],[L/P Líquido]]&gt;0,1,0)</f>
        <v>1</v>
      </c>
      <c r="P4051" s="1462"/>
      <c r="Q4051" s="1462" t="str">
        <f>LEFT(base[[#This Row],[Evento / Mercado]],FIND("vs",base[[#This Row],[Evento / Mercado]])-2)</f>
        <v>Sint-Truidense VV</v>
      </c>
      <c r="R405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051" s="1462" t="str">
        <f>LEFT(base[[#This Row],[Evento / Mercado]],FIND("/",base[[#This Row],[Evento / Mercado]])-2)</f>
        <v>Sint-Truidense VV vs RAAL La Louviere</v>
      </c>
      <c r="T4051" s="1463">
        <f>base[[#This Row],[Data de liquidação]]</f>
        <v>46270.733229166668</v>
      </c>
    </row>
    <row r="4052" spans="2:20" ht="15" customHeight="1">
      <c r="B4052" s="1457" t="s">
        <v>4718</v>
      </c>
      <c r="C4052" s="859" t="s">
        <v>3512</v>
      </c>
      <c r="D4052" s="1458">
        <v>46270.745868055557</v>
      </c>
      <c r="E4052" s="1459">
        <v>-20</v>
      </c>
      <c r="F4052" s="583">
        <v>4.4999999999999998E-2</v>
      </c>
      <c r="G4052" s="1460">
        <f t="shared" si="167"/>
        <v>-20</v>
      </c>
      <c r="H4052" s="1365" t="s">
        <v>1646</v>
      </c>
      <c r="I4052" s="1402" t="s">
        <v>2274</v>
      </c>
      <c r="J4052" s="1460">
        <v>1.52</v>
      </c>
      <c r="K4052" s="1460">
        <v>20</v>
      </c>
      <c r="L4052" s="1458">
        <f>INT(base[[#This Row],[Data de liquidação]])</f>
        <v>46270</v>
      </c>
      <c r="M4052" s="1460">
        <f>base[[#This Row],[L/P Bruto]]-base[[#This Row],[L/P Líquido]]</f>
        <v>0</v>
      </c>
      <c r="N4052" s="1460">
        <f>base[[#This Row],[L/P Líquido]]/base[[#This Row],[Stake/Responsabilidade]]</f>
        <v>-1</v>
      </c>
      <c r="O4052" s="1462">
        <f>IF(base[[#This Row],[L/P Líquido]]&gt;0,1,0)</f>
        <v>0</v>
      </c>
      <c r="P4052" s="1462"/>
      <c r="Q4052" s="1462" t="str">
        <f>LEFT(base[[#This Row],[Evento / Mercado]],FIND("vs",base[[#This Row],[Evento / Mercado]])-2)</f>
        <v>Swansea City</v>
      </c>
      <c r="R405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52" s="1462" t="str">
        <f>LEFT(base[[#This Row],[Evento / Mercado]],FIND("/",base[[#This Row],[Evento / Mercado]])-2)</f>
        <v>Swansea City vs Wrexham</v>
      </c>
      <c r="T4052" s="1463">
        <f>base[[#This Row],[Data de liquidação]]</f>
        <v>46270.745868055557</v>
      </c>
    </row>
    <row r="4053" spans="2:20" ht="15" customHeight="1">
      <c r="B4053" s="1457" t="s">
        <v>4717</v>
      </c>
      <c r="C4053" s="859" t="s">
        <v>3512</v>
      </c>
      <c r="D4053" s="1458">
        <v>46270.764918981484</v>
      </c>
      <c r="E4053" s="1459">
        <v>32.81</v>
      </c>
      <c r="F4053" s="583">
        <v>4.4999999999999998E-2</v>
      </c>
      <c r="G4053" s="1460">
        <f t="shared" si="167"/>
        <v>34.356020942408378</v>
      </c>
      <c r="H4053" s="1434" t="s">
        <v>4685</v>
      </c>
      <c r="I4053" s="1461" t="s">
        <v>693</v>
      </c>
      <c r="J4053" s="1460">
        <f>(10.5*148.23+9*150)/base[[#This Row],[Stake/Responsabilidade]]</f>
        <v>9.7455487375515535</v>
      </c>
      <c r="K4053" s="1460">
        <f>148.23+150</f>
        <v>298.23</v>
      </c>
      <c r="L4053" s="1458">
        <f>INT(base[[#This Row],[Data de liquidação]])</f>
        <v>46270</v>
      </c>
      <c r="M4053" s="1460">
        <f>base[[#This Row],[L/P Bruto]]-base[[#This Row],[L/P Líquido]]</f>
        <v>1.5460209424083757</v>
      </c>
      <c r="N4053" s="1460">
        <f>base[[#This Row],[L/P Líquido]]/base[[#This Row],[Stake/Responsabilidade]]</f>
        <v>0.11001575964859336</v>
      </c>
      <c r="O4053" s="1462">
        <f>IF(base[[#This Row],[L/P Líquido]]&gt;0,1,0)</f>
        <v>1</v>
      </c>
      <c r="P4053" s="1462"/>
      <c r="Q4053" s="1462" t="str">
        <f>LEFT(base[[#This Row],[Evento / Mercado]],FIND("vs",base[[#This Row],[Evento / Mercado]])-2)</f>
        <v>St Mirren</v>
      </c>
      <c r="R405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4053" s="1462" t="str">
        <f>LEFT(base[[#This Row],[Evento / Mercado]],FIND("/",base[[#This Row],[Evento / Mercado]])-2)</f>
        <v>St Mirren vs Celtic</v>
      </c>
      <c r="T4053" s="1463">
        <f>base[[#This Row],[Data de liquidação]]</f>
        <v>46270.764918981484</v>
      </c>
    </row>
    <row r="4054" spans="2:20" ht="15" customHeight="1">
      <c r="B4054" s="1457" t="s">
        <v>4716</v>
      </c>
      <c r="C4054" s="859" t="s">
        <v>3512</v>
      </c>
      <c r="D4054" s="1458">
        <v>46270.766886574071</v>
      </c>
      <c r="E4054" s="1459">
        <v>21.54</v>
      </c>
      <c r="F4054" s="583">
        <v>4.4999999999999998E-2</v>
      </c>
      <c r="G4054" s="1460">
        <f t="shared" si="167"/>
        <v>22.554973821989527</v>
      </c>
      <c r="H4054" s="1401" t="s">
        <v>3367</v>
      </c>
      <c r="I4054" s="1402" t="s">
        <v>391</v>
      </c>
      <c r="J4054" s="1460">
        <f>(17*100+18*199.92+23*100.1)/base[[#This Row],[Stake/Responsabilidade]]</f>
        <v>19.001199940002998</v>
      </c>
      <c r="K4054" s="1460">
        <f>100+199.92+100.1</f>
        <v>400.02</v>
      </c>
      <c r="L4054" s="1458">
        <f>INT(base[[#This Row],[Data de liquidação]])</f>
        <v>46270</v>
      </c>
      <c r="M4054" s="1460">
        <f>base[[#This Row],[L/P Bruto]]-base[[#This Row],[L/P Líquido]]</f>
        <v>1.0149738219895283</v>
      </c>
      <c r="N4054" s="1460">
        <f>base[[#This Row],[L/P Líquido]]/base[[#This Row],[Stake/Responsabilidade]]</f>
        <v>5.3847307634618272E-2</v>
      </c>
      <c r="O4054" s="1462">
        <f>IF(base[[#This Row],[L/P Líquido]]&gt;0,1,0)</f>
        <v>1</v>
      </c>
      <c r="P4054" s="1471" t="s">
        <v>1202</v>
      </c>
      <c r="Q4054" s="1462" t="str">
        <f>LEFT(base[[#This Row],[Evento / Mercado]],FIND("vs",base[[#This Row],[Evento / Mercado]])-2)</f>
        <v>Sporting CP</v>
      </c>
      <c r="R405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4054" s="1462" t="str">
        <f>LEFT(base[[#This Row],[Evento / Mercado]],FIND("/",base[[#This Row],[Evento / Mercado]])-2)</f>
        <v>Sporting CP vs Nacional da Madeira</v>
      </c>
      <c r="T4054" s="1463">
        <f>base[[#This Row],[Data de liquidação]]</f>
        <v>46270.766886574071</v>
      </c>
    </row>
    <row r="4055" spans="2:20" ht="15" customHeight="1">
      <c r="B4055" s="1457" t="s">
        <v>4715</v>
      </c>
      <c r="C4055" s="859" t="s">
        <v>3512</v>
      </c>
      <c r="D4055" s="1458">
        <v>46270.958124999997</v>
      </c>
      <c r="E4055" s="1459">
        <v>-120</v>
      </c>
      <c r="F4055" s="583">
        <v>4.4999999999999998E-2</v>
      </c>
      <c r="G4055" s="1460">
        <f t="shared" si="167"/>
        <v>-120</v>
      </c>
      <c r="H4055" s="1453" t="s">
        <v>314</v>
      </c>
      <c r="I4055" s="1454" t="s">
        <v>349</v>
      </c>
      <c r="J4055" s="1460">
        <v>1.92</v>
      </c>
      <c r="K4055" s="1460">
        <v>120</v>
      </c>
      <c r="L4055" s="1458">
        <f>INT(base[[#This Row],[Data de liquidação]])</f>
        <v>46270</v>
      </c>
      <c r="M4055" s="1460">
        <f>base[[#This Row],[L/P Bruto]]-base[[#This Row],[L/P Líquido]]</f>
        <v>0</v>
      </c>
      <c r="N4055" s="1460">
        <f>base[[#This Row],[L/P Líquido]]/base[[#This Row],[Stake/Responsabilidade]]</f>
        <v>-1</v>
      </c>
      <c r="O4055" s="1462">
        <f>IF(base[[#This Row],[L/P Líquido]]&gt;0,1,0)</f>
        <v>0</v>
      </c>
      <c r="P4055" s="1462"/>
      <c r="Q4055" s="1462" t="str">
        <f>LEFT(base[[#This Row],[Evento / Mercado]],FIND("vs",base[[#This Row],[Evento / Mercado]])-2)</f>
        <v>Fluminense FC</v>
      </c>
      <c r="R405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4055" s="1462" t="str">
        <f>LEFT(base[[#This Row],[Evento / Mercado]],FIND("/",base[[#This Row],[Evento / Mercado]])-2)</f>
        <v>Fluminense FC vs Vasco da Gama</v>
      </c>
      <c r="T4055" s="1463">
        <f>base[[#This Row],[Data de liquidação]]</f>
        <v>46270.958124999997</v>
      </c>
    </row>
    <row r="4056" spans="2:20" ht="15" customHeight="1">
      <c r="B4056" s="1457" t="s">
        <v>4714</v>
      </c>
      <c r="C4056" s="859" t="s">
        <v>3512</v>
      </c>
      <c r="D4056" s="1458">
        <v>46270.988043981481</v>
      </c>
      <c r="E4056" s="1459">
        <v>5.03</v>
      </c>
      <c r="F4056" s="583">
        <v>4.4999999999999998E-2</v>
      </c>
      <c r="G4056" s="1460">
        <f t="shared" si="167"/>
        <v>5.2670157068062835</v>
      </c>
      <c r="H4056" s="1365" t="s">
        <v>1646</v>
      </c>
      <c r="I4056" s="1387" t="s">
        <v>3293</v>
      </c>
      <c r="J4056" s="1460">
        <v>2.0499999999999998</v>
      </c>
      <c r="K4056" s="1460">
        <v>5</v>
      </c>
      <c r="L4056" s="1458">
        <f>INT(base[[#This Row],[Data de liquidação]])</f>
        <v>46270</v>
      </c>
      <c r="M4056" s="1460">
        <f>base[[#This Row],[L/P Bruto]]-base[[#This Row],[L/P Líquido]]</f>
        <v>0.23701570680628326</v>
      </c>
      <c r="N4056" s="1460">
        <f>base[[#This Row],[L/P Líquido]]/base[[#This Row],[Stake/Responsabilidade]]</f>
        <v>1.006</v>
      </c>
      <c r="O4056" s="1462">
        <f>IF(base[[#This Row],[L/P Líquido]]&gt;0,1,0)</f>
        <v>1</v>
      </c>
      <c r="P4056" s="1462"/>
      <c r="Q4056" s="1462" t="str">
        <f>LEFT(base[[#This Row],[Evento / Mercado]],FIND("vs",base[[#This Row],[Evento / Mercado]])-2)</f>
        <v>Universitario de Deportes</v>
      </c>
      <c r="R405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4056" s="1462" t="str">
        <f>LEFT(base[[#This Row],[Evento / Mercado]],FIND("/",base[[#This Row],[Evento / Mercado]])-2)</f>
        <v>Universitario de Deportes vs Comerciantes Unidos</v>
      </c>
      <c r="T4056" s="1463">
        <f>base[[#This Row],[Data de liquidação]]</f>
        <v>46270.988043981481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2"/>
  <sheetViews>
    <sheetView showGridLines="0" topLeftCell="A2" zoomScale="80" zoomScaleNormal="80" workbookViewId="0">
      <selection activeCell="E3" sqref="E3:F32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>
      <c r="B3" s="916" t="s">
        <v>204</v>
      </c>
      <c r="C3" s="917" t="s">
        <v>4742</v>
      </c>
      <c r="D3" s="918">
        <v>46270.375</v>
      </c>
      <c r="E3" s="918">
        <v>46270.421956018516</v>
      </c>
      <c r="F3" s="919">
        <v>2.77</v>
      </c>
      <c r="G3" s="858" t="str">
        <f t="shared" ref="G3:G32" si="0">SUBSTITUTE(E3,",","")</f>
        <v>462704219560185</v>
      </c>
    </row>
    <row r="4" spans="2:7" ht="13.8" thickBot="1">
      <c r="B4" s="916" t="s">
        <v>204</v>
      </c>
      <c r="C4" s="917" t="s">
        <v>4741</v>
      </c>
      <c r="D4" s="918">
        <v>46270.375694444447</v>
      </c>
      <c r="E4" s="918">
        <v>46270.43167824074</v>
      </c>
      <c r="F4" s="919">
        <v>10.51</v>
      </c>
      <c r="G4" s="858" t="str">
        <f t="shared" si="0"/>
        <v>462704316782407</v>
      </c>
    </row>
    <row r="5" spans="2:7" ht="13.8" thickBot="1">
      <c r="B5" s="916" t="s">
        <v>204</v>
      </c>
      <c r="C5" s="917" t="s">
        <v>4740</v>
      </c>
      <c r="D5" s="918">
        <v>46270.375</v>
      </c>
      <c r="E5" s="918">
        <v>46270.452789351853</v>
      </c>
      <c r="F5" s="919">
        <v>22.47</v>
      </c>
      <c r="G5" s="858" t="str">
        <f t="shared" si="0"/>
        <v>462704527893519</v>
      </c>
    </row>
    <row r="6" spans="2:7" ht="13.8" thickBot="1">
      <c r="B6" s="916" t="s">
        <v>204</v>
      </c>
      <c r="C6" s="917" t="s">
        <v>4739</v>
      </c>
      <c r="D6" s="918">
        <v>46270.377083333333</v>
      </c>
      <c r="E6" s="918">
        <v>46270.454687500001</v>
      </c>
      <c r="F6" s="919">
        <v>26.35</v>
      </c>
      <c r="G6" s="858" t="str">
        <f t="shared" si="0"/>
        <v>462704546875</v>
      </c>
    </row>
    <row r="7" spans="2:7" ht="13.8" thickBot="1">
      <c r="B7" s="916" t="s">
        <v>204</v>
      </c>
      <c r="C7" s="917" t="s">
        <v>4738</v>
      </c>
      <c r="D7" s="918">
        <v>46270.417361111111</v>
      </c>
      <c r="E7" s="918">
        <v>46270.494062500002</v>
      </c>
      <c r="F7" s="919">
        <v>55.28</v>
      </c>
      <c r="G7" s="858" t="str">
        <f t="shared" si="0"/>
        <v>462704940625</v>
      </c>
    </row>
    <row r="8" spans="2:7" ht="13.8" thickBot="1">
      <c r="B8" s="916" t="s">
        <v>204</v>
      </c>
      <c r="C8" s="917" t="s">
        <v>4737</v>
      </c>
      <c r="D8" s="918">
        <v>46270.4375</v>
      </c>
      <c r="E8" s="918">
        <v>46270.515972222223</v>
      </c>
      <c r="F8" s="1449">
        <v>-120</v>
      </c>
      <c r="G8" s="858" t="str">
        <f t="shared" si="0"/>
        <v>462705159722222</v>
      </c>
    </row>
    <row r="9" spans="2:7" ht="13.8" thickBot="1">
      <c r="B9" s="916" t="s">
        <v>204</v>
      </c>
      <c r="C9" s="917" t="s">
        <v>4736</v>
      </c>
      <c r="D9" s="918">
        <v>46270.458333333336</v>
      </c>
      <c r="E9" s="918">
        <v>46270.534872685188</v>
      </c>
      <c r="F9" s="919">
        <v>55.09</v>
      </c>
      <c r="G9" s="858" t="str">
        <f t="shared" si="0"/>
        <v>462705348726852</v>
      </c>
    </row>
    <row r="10" spans="2:7" ht="13.8" thickBot="1">
      <c r="B10" s="916" t="s">
        <v>204</v>
      </c>
      <c r="C10" s="917" t="s">
        <v>4735</v>
      </c>
      <c r="D10" s="918">
        <v>46270.458333333336</v>
      </c>
      <c r="E10" s="918">
        <v>46270.536828703705</v>
      </c>
      <c r="F10" s="919">
        <v>29.63</v>
      </c>
      <c r="G10" s="858" t="str">
        <f t="shared" si="0"/>
        <v>462705368287037</v>
      </c>
    </row>
    <row r="11" spans="2:7" ht="13.8" thickBot="1">
      <c r="B11" s="916" t="s">
        <v>204</v>
      </c>
      <c r="C11" s="917" t="s">
        <v>4734</v>
      </c>
      <c r="D11" s="918">
        <v>46270.458333333336</v>
      </c>
      <c r="E11" s="918">
        <v>46270.537141203706</v>
      </c>
      <c r="F11" s="1449">
        <v>-579.96</v>
      </c>
      <c r="G11" s="858" t="str">
        <f t="shared" si="0"/>
        <v>462705371412037</v>
      </c>
    </row>
    <row r="12" spans="2:7" ht="13.8" thickBot="1">
      <c r="B12" s="916" t="s">
        <v>204</v>
      </c>
      <c r="C12" s="917" t="s">
        <v>4733</v>
      </c>
      <c r="D12" s="918">
        <v>46270.458333333336</v>
      </c>
      <c r="E12" s="918">
        <v>46270.537430555552</v>
      </c>
      <c r="F12" s="919">
        <v>22.16</v>
      </c>
      <c r="G12" s="858" t="str">
        <f t="shared" si="0"/>
        <v>462705374305556</v>
      </c>
    </row>
    <row r="13" spans="2:7" ht="13.8" thickBot="1">
      <c r="B13" s="916" t="s">
        <v>204</v>
      </c>
      <c r="C13" s="917" t="s">
        <v>4732</v>
      </c>
      <c r="D13" s="918">
        <v>46270.458333333336</v>
      </c>
      <c r="E13" s="918">
        <v>46270.538611111115</v>
      </c>
      <c r="F13" s="919">
        <v>27.86</v>
      </c>
      <c r="G13" s="858" t="str">
        <f t="shared" si="0"/>
        <v>462705386111111</v>
      </c>
    </row>
    <row r="14" spans="2:7" ht="13.8" thickBot="1">
      <c r="B14" s="916" t="s">
        <v>204</v>
      </c>
      <c r="C14" s="917" t="s">
        <v>4731</v>
      </c>
      <c r="D14" s="918">
        <v>46270.458333333336</v>
      </c>
      <c r="E14" s="918">
        <v>46270.538946759261</v>
      </c>
      <c r="F14" s="1449">
        <v>-120</v>
      </c>
      <c r="G14" s="858" t="str">
        <f t="shared" si="0"/>
        <v>462705389467593</v>
      </c>
    </row>
    <row r="15" spans="2:7" ht="13.8" thickBot="1">
      <c r="B15" s="916" t="s">
        <v>204</v>
      </c>
      <c r="C15" s="917" t="s">
        <v>4730</v>
      </c>
      <c r="D15" s="918">
        <v>46270.458333333336</v>
      </c>
      <c r="E15" s="918">
        <v>46270.540034722224</v>
      </c>
      <c r="F15" s="1449">
        <v>-120</v>
      </c>
      <c r="G15" s="858" t="str">
        <f t="shared" si="0"/>
        <v>462705400347222</v>
      </c>
    </row>
    <row r="16" spans="2:7" ht="13.8" thickBot="1">
      <c r="B16" s="916" t="s">
        <v>204</v>
      </c>
      <c r="C16" s="917" t="s">
        <v>4729</v>
      </c>
      <c r="D16" s="918">
        <v>46270.458333333336</v>
      </c>
      <c r="E16" s="918">
        <v>46270.543171296296</v>
      </c>
      <c r="F16" s="919">
        <v>23.23</v>
      </c>
      <c r="G16" s="858" t="str">
        <f t="shared" si="0"/>
        <v>462705431712963</v>
      </c>
    </row>
    <row r="17" spans="2:7" ht="13.8" thickBot="1">
      <c r="B17" s="916" t="s">
        <v>204</v>
      </c>
      <c r="C17" s="917" t="s">
        <v>1530</v>
      </c>
      <c r="D17" s="918">
        <v>46270.479166666664</v>
      </c>
      <c r="E17" s="918">
        <v>46270.558194444442</v>
      </c>
      <c r="F17" s="919">
        <v>10.85</v>
      </c>
      <c r="G17" s="858" t="str">
        <f t="shared" si="0"/>
        <v>462705581944444</v>
      </c>
    </row>
    <row r="18" spans="2:7" ht="13.8" thickBot="1">
      <c r="B18" s="916" t="s">
        <v>204</v>
      </c>
      <c r="C18" s="917" t="s">
        <v>4728</v>
      </c>
      <c r="D18" s="918">
        <v>46270.510416666664</v>
      </c>
      <c r="E18" s="918">
        <v>46270.588912037034</v>
      </c>
      <c r="F18" s="1449">
        <v>-499.98</v>
      </c>
      <c r="G18" s="858" t="str">
        <f t="shared" si="0"/>
        <v>46270588912037</v>
      </c>
    </row>
    <row r="19" spans="2:7" ht="13.8" thickBot="1">
      <c r="B19" s="916" t="s">
        <v>204</v>
      </c>
      <c r="C19" s="917" t="s">
        <v>4727</v>
      </c>
      <c r="D19" s="918">
        <v>46270.520138888889</v>
      </c>
      <c r="E19" s="918">
        <v>46270.596909722219</v>
      </c>
      <c r="F19" s="1449">
        <v>-20</v>
      </c>
      <c r="G19" s="858" t="str">
        <f t="shared" si="0"/>
        <v>462705969097222</v>
      </c>
    </row>
    <row r="20" spans="2:7" ht="13.8" thickBot="1">
      <c r="B20" s="916" t="s">
        <v>204</v>
      </c>
      <c r="C20" s="917" t="s">
        <v>4726</v>
      </c>
      <c r="D20" s="918">
        <v>46270.521527777775</v>
      </c>
      <c r="E20" s="918">
        <v>46270.597199074073</v>
      </c>
      <c r="F20" s="919">
        <v>6.28</v>
      </c>
      <c r="G20" s="858" t="str">
        <f t="shared" si="0"/>
        <v>462705971990741</v>
      </c>
    </row>
    <row r="21" spans="2:7" ht="13.8" thickBot="1">
      <c r="B21" s="916" t="s">
        <v>204</v>
      </c>
      <c r="C21" s="917" t="s">
        <v>4725</v>
      </c>
      <c r="D21" s="918">
        <v>46270.572916666664</v>
      </c>
      <c r="E21" s="918">
        <v>46270.6246875</v>
      </c>
      <c r="F21" s="919">
        <v>3.73</v>
      </c>
      <c r="G21" s="858" t="str">
        <f t="shared" si="0"/>
        <v>462706246875</v>
      </c>
    </row>
    <row r="22" spans="2:7" ht="13.8" thickBot="1">
      <c r="B22" s="916" t="s">
        <v>204</v>
      </c>
      <c r="C22" s="917" t="s">
        <v>4724</v>
      </c>
      <c r="D22" s="918">
        <v>46270.572916666664</v>
      </c>
      <c r="E22" s="918">
        <v>46270.625972222224</v>
      </c>
      <c r="F22" s="919">
        <v>2.2000000000000002</v>
      </c>
      <c r="G22" s="858" t="str">
        <f t="shared" si="0"/>
        <v>462706259722222</v>
      </c>
    </row>
    <row r="23" spans="2:7" ht="13.8" thickBot="1">
      <c r="B23" s="916" t="s">
        <v>204</v>
      </c>
      <c r="C23" s="917" t="s">
        <v>4723</v>
      </c>
      <c r="D23" s="918">
        <v>46270.5625</v>
      </c>
      <c r="E23" s="918">
        <v>46270.640555555554</v>
      </c>
      <c r="F23" s="919">
        <v>17.989999999999998</v>
      </c>
      <c r="G23" s="858" t="str">
        <f t="shared" si="0"/>
        <v>462706405555556</v>
      </c>
    </row>
    <row r="24" spans="2:7" ht="13.8" thickBot="1">
      <c r="B24" s="916" t="s">
        <v>204</v>
      </c>
      <c r="C24" s="917" t="s">
        <v>4722</v>
      </c>
      <c r="D24" s="918">
        <v>46270.5625</v>
      </c>
      <c r="E24" s="918">
        <v>46270.640763888892</v>
      </c>
      <c r="F24" s="919">
        <v>23.24</v>
      </c>
      <c r="G24" s="858" t="str">
        <f t="shared" si="0"/>
        <v>462706407638889</v>
      </c>
    </row>
    <row r="25" spans="2:7" ht="13.8" thickBot="1">
      <c r="B25" s="916" t="s">
        <v>204</v>
      </c>
      <c r="C25" s="917" t="s">
        <v>4721</v>
      </c>
      <c r="D25" s="918">
        <v>46270.583333333336</v>
      </c>
      <c r="E25" s="918">
        <v>46270.661643518521</v>
      </c>
      <c r="F25" s="1449">
        <v>0</v>
      </c>
      <c r="G25" s="858" t="str">
        <f t="shared" si="0"/>
        <v>462706616435185</v>
      </c>
    </row>
    <row r="26" spans="2:7" ht="13.8" thickBot="1">
      <c r="B26" s="916" t="s">
        <v>204</v>
      </c>
      <c r="C26" s="917" t="s">
        <v>4720</v>
      </c>
      <c r="D26" s="918">
        <v>46270.605555555558</v>
      </c>
      <c r="E26" s="918">
        <v>46270.66983796296</v>
      </c>
      <c r="F26" s="919">
        <v>9.9499999999999993</v>
      </c>
      <c r="G26" s="858" t="str">
        <f t="shared" si="0"/>
        <v>46270669837963</v>
      </c>
    </row>
    <row r="27" spans="2:7" ht="13.8" thickBot="1">
      <c r="B27" s="916" t="s">
        <v>204</v>
      </c>
      <c r="C27" s="917" t="s">
        <v>4719</v>
      </c>
      <c r="D27" s="918">
        <v>46270.656944444447</v>
      </c>
      <c r="E27" s="918">
        <v>46270.733229166668</v>
      </c>
      <c r="F27" s="919">
        <v>17.97</v>
      </c>
      <c r="G27" s="858" t="str">
        <f t="shared" si="0"/>
        <v>462707332291667</v>
      </c>
    </row>
    <row r="28" spans="2:7" ht="13.8" thickBot="1">
      <c r="B28" s="916" t="s">
        <v>204</v>
      </c>
      <c r="C28" s="917" t="s">
        <v>4718</v>
      </c>
      <c r="D28" s="918">
        <v>46270.666666666664</v>
      </c>
      <c r="E28" s="918">
        <v>46270.745868055557</v>
      </c>
      <c r="F28" s="1449">
        <v>-20</v>
      </c>
      <c r="G28" s="858" t="str">
        <f t="shared" si="0"/>
        <v>462707458680556</v>
      </c>
    </row>
    <row r="29" spans="2:7" ht="13.8" thickBot="1">
      <c r="B29" s="916" t="s">
        <v>204</v>
      </c>
      <c r="C29" s="917" t="s">
        <v>4717</v>
      </c>
      <c r="D29" s="918">
        <v>46270.666666666664</v>
      </c>
      <c r="E29" s="918">
        <v>46270.764918981484</v>
      </c>
      <c r="F29" s="919">
        <v>32.81</v>
      </c>
      <c r="G29" s="858" t="str">
        <f t="shared" si="0"/>
        <v>462707649189815</v>
      </c>
    </row>
    <row r="30" spans="2:7" ht="13.8" thickBot="1">
      <c r="B30" s="916" t="s">
        <v>204</v>
      </c>
      <c r="C30" s="917" t="s">
        <v>4716</v>
      </c>
      <c r="D30" s="918">
        <v>46270.6875</v>
      </c>
      <c r="E30" s="918">
        <v>46270.766886574071</v>
      </c>
      <c r="F30" s="919">
        <v>21.54</v>
      </c>
      <c r="G30" s="858" t="str">
        <f t="shared" si="0"/>
        <v>462707668865741</v>
      </c>
    </row>
    <row r="31" spans="2:7" ht="13.8" thickBot="1">
      <c r="B31" s="916" t="s">
        <v>204</v>
      </c>
      <c r="C31" s="917" t="s">
        <v>4715</v>
      </c>
      <c r="D31" s="918">
        <v>46270.875</v>
      </c>
      <c r="E31" s="918">
        <v>46270.958124999997</v>
      </c>
      <c r="F31" s="1449">
        <v>-120</v>
      </c>
      <c r="G31" s="858" t="str">
        <f t="shared" si="0"/>
        <v>46270958125</v>
      </c>
    </row>
    <row r="32" spans="2:7" ht="13.8" thickBot="1">
      <c r="B32" s="916" t="s">
        <v>204</v>
      </c>
      <c r="C32" s="917" t="s">
        <v>4714</v>
      </c>
      <c r="D32" s="918">
        <v>46270.9375</v>
      </c>
      <c r="E32" s="918">
        <v>46270.988043981481</v>
      </c>
      <c r="F32" s="919">
        <v>5.03</v>
      </c>
      <c r="G32" s="858" t="str">
        <f t="shared" si="0"/>
        <v>462709880439815</v>
      </c>
    </row>
  </sheetData>
  <autoFilter ref="B2:G2"/>
  <sortState ref="B3:G32">
    <sortCondition ref="E3:E32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>
      <c r="B2" s="996" t="s">
        <v>3375</v>
      </c>
      <c r="C2" s="998">
        <v>6200</v>
      </c>
      <c r="D2" s="996"/>
      <c r="F2" s="998"/>
    </row>
    <row r="3" spans="2:21" ht="15" customHeight="1">
      <c r="B3" s="996" t="s">
        <v>3878</v>
      </c>
      <c r="C3" s="997">
        <v>0.2</v>
      </c>
      <c r="D3" s="996"/>
      <c r="F3" s="998"/>
    </row>
    <row r="4" spans="2:21" ht="15" customHeight="1">
      <c r="B4" s="996" t="s">
        <v>3424</v>
      </c>
      <c r="C4" s="1001">
        <f>C2*C3</f>
        <v>1240</v>
      </c>
      <c r="D4" s="996"/>
      <c r="F4" s="998"/>
    </row>
    <row r="6" spans="2:21" ht="30" customHeight="1">
      <c r="B6" s="22" t="s">
        <v>3</v>
      </c>
      <c r="C6" s="22" t="s">
        <v>4074</v>
      </c>
      <c r="D6" s="22" t="s">
        <v>3882</v>
      </c>
      <c r="E6" s="22" t="s">
        <v>156</v>
      </c>
      <c r="F6" s="22" t="s">
        <v>3874</v>
      </c>
      <c r="G6" s="22" t="s">
        <v>3868</v>
      </c>
      <c r="H6" s="22" t="s">
        <v>3869</v>
      </c>
      <c r="I6" s="22" t="s">
        <v>3870</v>
      </c>
      <c r="J6" s="22" t="s">
        <v>3383</v>
      </c>
      <c r="K6" s="22" t="s">
        <v>3885</v>
      </c>
      <c r="L6" s="22" t="s">
        <v>3388</v>
      </c>
      <c r="M6" s="22" t="s">
        <v>3877</v>
      </c>
      <c r="N6" s="22" t="s">
        <v>3391</v>
      </c>
      <c r="O6" s="1031" t="s">
        <v>3879</v>
      </c>
      <c r="P6" s="22" t="s">
        <v>3871</v>
      </c>
      <c r="Q6" s="22" t="s">
        <v>3881</v>
      </c>
      <c r="R6" s="22" t="s">
        <v>3876</v>
      </c>
      <c r="S6" s="22" t="s">
        <v>3870</v>
      </c>
      <c r="T6" s="22" t="s">
        <v>3880</v>
      </c>
      <c r="U6" s="1032" t="s">
        <v>3411</v>
      </c>
    </row>
    <row r="7" spans="2:21" ht="15" customHeight="1">
      <c r="B7" s="996" t="s">
        <v>3290</v>
      </c>
      <c r="C7" s="1055" t="s">
        <v>4075</v>
      </c>
      <c r="D7" s="1003" t="s">
        <v>3231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>
      <c r="B8" s="996" t="s">
        <v>3293</v>
      </c>
      <c r="C8" s="996"/>
      <c r="D8" s="1003" t="s">
        <v>3884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>
      <c r="B9" s="996" t="s">
        <v>3872</v>
      </c>
      <c r="C9" s="1055"/>
      <c r="D9" s="1003" t="s">
        <v>3819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>
      <c r="B10" s="996" t="s">
        <v>179</v>
      </c>
      <c r="C10" s="1055" t="s">
        <v>4075</v>
      </c>
      <c r="D10" s="1003" t="s">
        <v>3510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>
      <c r="B11" s="996" t="s">
        <v>3875</v>
      </c>
      <c r="C11" s="1055" t="s">
        <v>4075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>
      <c r="B12" s="1003" t="s">
        <v>3169</v>
      </c>
      <c r="C12" s="1003"/>
      <c r="D12" s="1003" t="s">
        <v>3883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>
      <c r="B13" s="996" t="s">
        <v>3873</v>
      </c>
      <c r="C13" s="1055"/>
      <c r="D13" s="1003" t="s">
        <v>3819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>
      <c r="B14" s="996" t="s">
        <v>3867</v>
      </c>
      <c r="C14" s="996"/>
      <c r="D14" s="1003" t="s">
        <v>3231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>
      <c r="B15" s="996" t="s">
        <v>3866</v>
      </c>
      <c r="C15" s="1055" t="s">
        <v>4075</v>
      </c>
      <c r="D15" s="1003" t="s">
        <v>3819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>
      <c r="B16" s="996" t="s">
        <v>74</v>
      </c>
      <c r="C16" s="1055" t="s">
        <v>4075</v>
      </c>
      <c r="D16" s="1003" t="s">
        <v>3883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>
      <c r="B17" s="996" t="s">
        <v>3614</v>
      </c>
      <c r="C17" s="996"/>
      <c r="D17" s="1003" t="s">
        <v>3231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>
      <c r="B18" s="996" t="s">
        <v>3865</v>
      </c>
      <c r="C18" s="1055" t="s">
        <v>4075</v>
      </c>
      <c r="D18" s="1003" t="s">
        <v>3231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>
      <c r="B19" s="996" t="s">
        <v>3768</v>
      </c>
      <c r="C19" s="1055"/>
      <c r="D19" s="1003" t="s">
        <v>3819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>
      <c r="B20" s="1071" t="s">
        <v>4102</v>
      </c>
      <c r="C20" s="1071"/>
      <c r="D20" s="1003" t="s">
        <v>3819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>
      <c r="B21" s="996" t="s">
        <v>3294</v>
      </c>
      <c r="C21" s="1055" t="s">
        <v>4075</v>
      </c>
      <c r="D21" s="1003" t="s">
        <v>3883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/>
    <row r="23" spans="2:21" ht="15" customHeight="1">
      <c r="C23" s="1055"/>
      <c r="U23" s="998">
        <f>SUMIF(C7:C21,"x",U7:U21)</f>
        <v>2510.9999999999995</v>
      </c>
    </row>
    <row r="24" spans="2:21" ht="15" customHeight="1">
      <c r="U24" s="997">
        <f>U23/C2</f>
        <v>0.40499999999999992</v>
      </c>
    </row>
    <row r="25" spans="2:21" ht="15" customHeight="1">
      <c r="B25" s="1011"/>
      <c r="C25" s="1011"/>
      <c r="E25" s="1025"/>
    </row>
    <row r="26" spans="2:21" ht="15" customHeight="1">
      <c r="B26" s="1011"/>
      <c r="C26" s="1011"/>
      <c r="E26" s="1011"/>
    </row>
    <row r="27" spans="2:21" ht="15" customHeight="1">
      <c r="B27" s="1011"/>
      <c r="C27" s="1011"/>
    </row>
    <row r="28" spans="2:21" ht="15" customHeight="1">
      <c r="B28" s="1011"/>
      <c r="C28" s="1011"/>
    </row>
    <row r="29" spans="2:21" ht="15" customHeight="1">
      <c r="B29" s="1011"/>
      <c r="C29" s="1011"/>
    </row>
    <row r="30" spans="2:21" ht="15" customHeight="1">
      <c r="B30" s="1011"/>
      <c r="C30" s="1011"/>
    </row>
    <row r="31" spans="2:21" ht="15" customHeight="1">
      <c r="B31" s="1011"/>
      <c r="C31" s="1011"/>
    </row>
    <row r="32" spans="2:21" ht="15" customHeight="1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>
      <c r="B2" s="4" t="s">
        <v>0</v>
      </c>
      <c r="C2" s="4" t="s">
        <v>1</v>
      </c>
      <c r="D2" s="4" t="s">
        <v>3196</v>
      </c>
      <c r="E2" s="4" t="s">
        <v>3618</v>
      </c>
      <c r="F2" s="4" t="s">
        <v>3617</v>
      </c>
      <c r="G2" s="4" t="s">
        <v>3619</v>
      </c>
      <c r="H2" s="4" t="s">
        <v>3616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  <c r="P2" s="4" t="s">
        <v>3620</v>
      </c>
    </row>
    <row r="3" spans="2:16" ht="15" customHeight="1">
      <c r="B3" s="549">
        <v>46204</v>
      </c>
      <c r="C3" s="548" t="s">
        <v>3610</v>
      </c>
      <c r="D3" s="548" t="s">
        <v>3291</v>
      </c>
      <c r="E3" s="550">
        <v>27</v>
      </c>
      <c r="F3" s="550">
        <v>32</v>
      </c>
      <c r="G3" s="888">
        <v>71</v>
      </c>
      <c r="H3" s="887" t="s">
        <v>3347</v>
      </c>
      <c r="I3" s="885" t="s">
        <v>3193</v>
      </c>
      <c r="J3" s="843" t="s">
        <v>3350</v>
      </c>
      <c r="K3" s="548" t="s">
        <v>3189</v>
      </c>
      <c r="L3" s="843" t="s">
        <v>3200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3621</v>
      </c>
    </row>
    <row r="4" spans="2:16" ht="15" customHeight="1">
      <c r="B4" s="549">
        <v>46214</v>
      </c>
      <c r="C4" s="548" t="s">
        <v>3692</v>
      </c>
      <c r="D4" s="548" t="s">
        <v>3291</v>
      </c>
      <c r="E4" s="550">
        <v>60</v>
      </c>
      <c r="F4" s="550">
        <v>1000</v>
      </c>
      <c r="G4" s="888" t="s">
        <v>3720</v>
      </c>
      <c r="H4" s="887" t="s">
        <v>3214</v>
      </c>
      <c r="I4" s="885" t="s">
        <v>3193</v>
      </c>
      <c r="J4" s="843" t="s">
        <v>3350</v>
      </c>
      <c r="K4" s="548" t="s">
        <v>3189</v>
      </c>
      <c r="L4" s="843" t="s">
        <v>3200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>
      <c r="B5" s="549">
        <v>46215</v>
      </c>
      <c r="C5" s="548" t="s">
        <v>3723</v>
      </c>
      <c r="D5" s="548" t="s">
        <v>3744</v>
      </c>
      <c r="E5" s="550">
        <v>7.7726672431412629</v>
      </c>
      <c r="F5" s="550">
        <v>1000</v>
      </c>
      <c r="G5" s="888" t="s">
        <v>3720</v>
      </c>
      <c r="H5" s="953" t="s">
        <v>3745</v>
      </c>
      <c r="I5" s="951" t="s">
        <v>3288</v>
      </c>
      <c r="J5" s="951" t="s">
        <v>390</v>
      </c>
      <c r="K5" s="548" t="s">
        <v>3189</v>
      </c>
      <c r="L5" s="843" t="s">
        <v>3200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>
      <c r="B6" s="549">
        <v>46216</v>
      </c>
      <c r="C6" s="548" t="s">
        <v>3748</v>
      </c>
      <c r="D6" s="548" t="s">
        <v>3744</v>
      </c>
      <c r="E6" s="550">
        <v>16.458385267982791</v>
      </c>
      <c r="F6" s="550">
        <v>1000</v>
      </c>
      <c r="G6" s="888" t="s">
        <v>3720</v>
      </c>
      <c r="H6" s="953" t="s">
        <v>3635</v>
      </c>
      <c r="I6" s="951" t="s">
        <v>3193</v>
      </c>
      <c r="J6" s="951" t="s">
        <v>390</v>
      </c>
      <c r="K6" s="548" t="s">
        <v>3189</v>
      </c>
      <c r="L6" s="843" t="s">
        <v>3200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>
      <c r="B7" s="549">
        <v>46221</v>
      </c>
      <c r="C7" s="548" t="s">
        <v>3828</v>
      </c>
      <c r="D7" s="548" t="s">
        <v>3719</v>
      </c>
      <c r="E7" s="550">
        <v>8.4</v>
      </c>
      <c r="F7" s="550">
        <v>4.7</v>
      </c>
      <c r="G7" s="888">
        <v>35</v>
      </c>
      <c r="H7" s="953" t="s">
        <v>3347</v>
      </c>
      <c r="I7" s="951" t="s">
        <v>3193</v>
      </c>
      <c r="J7" s="951" t="s">
        <v>390</v>
      </c>
      <c r="K7" s="548" t="s">
        <v>3189</v>
      </c>
      <c r="L7" s="843" t="s">
        <v>3200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>
      <c r="B8" s="549">
        <v>46221</v>
      </c>
      <c r="C8" s="548" t="s">
        <v>3834</v>
      </c>
      <c r="D8" s="548" t="s">
        <v>3746</v>
      </c>
      <c r="E8" s="550">
        <v>30</v>
      </c>
      <c r="F8" s="550">
        <v>30</v>
      </c>
      <c r="G8" s="888" t="s">
        <v>3720</v>
      </c>
      <c r="H8" s="953" t="s">
        <v>3635</v>
      </c>
      <c r="I8" s="951" t="s">
        <v>3193</v>
      </c>
      <c r="J8" s="951" t="s">
        <v>390</v>
      </c>
      <c r="K8" s="548" t="s">
        <v>3189</v>
      </c>
      <c r="L8" s="843" t="s">
        <v>3200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>
      <c r="B2" s="549" t="s">
        <v>0</v>
      </c>
      <c r="C2" s="548" t="s">
        <v>1</v>
      </c>
      <c r="D2" s="577" t="s">
        <v>3196</v>
      </c>
      <c r="E2" s="548" t="s">
        <v>3188</v>
      </c>
      <c r="F2" s="548" t="s">
        <v>12</v>
      </c>
      <c r="G2" s="585" t="s">
        <v>3194</v>
      </c>
      <c r="H2" s="548" t="s">
        <v>3191</v>
      </c>
      <c r="I2" s="548" t="s">
        <v>349</v>
      </c>
      <c r="J2" s="550" t="s">
        <v>263</v>
      </c>
      <c r="K2" s="550" t="s">
        <v>9</v>
      </c>
      <c r="L2" s="551" t="s">
        <v>3195</v>
      </c>
      <c r="M2" s="592" t="s">
        <v>3374</v>
      </c>
    </row>
    <row r="3" spans="2:13" ht="15" customHeight="1">
      <c r="B3" s="549">
        <v>46179.539074074077</v>
      </c>
      <c r="C3" s="548" t="s">
        <v>3159</v>
      </c>
      <c r="D3" s="577" t="s">
        <v>3197</v>
      </c>
      <c r="E3" s="548">
        <v>7</v>
      </c>
      <c r="F3" s="548" t="s">
        <v>3193</v>
      </c>
      <c r="G3" s="585" t="s">
        <v>390</v>
      </c>
      <c r="H3" s="548" t="s">
        <v>3190</v>
      </c>
      <c r="I3" s="548" t="s">
        <v>3192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>
      <c r="B4" s="549">
        <v>46180.752916666665</v>
      </c>
      <c r="C4" s="548" t="s">
        <v>3152</v>
      </c>
      <c r="D4" s="577" t="s">
        <v>3197</v>
      </c>
      <c r="E4" s="548">
        <v>8</v>
      </c>
      <c r="F4" s="548" t="s">
        <v>3193</v>
      </c>
      <c r="G4" s="585" t="s">
        <v>390</v>
      </c>
      <c r="H4" s="548" t="s">
        <v>3190</v>
      </c>
      <c r="I4" s="548" t="s">
        <v>3192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3373</v>
      </c>
    </row>
    <row r="5" spans="2:13" ht="15" customHeight="1">
      <c r="B5" s="549">
        <v>46181.919953703706</v>
      </c>
      <c r="C5" s="548" t="s">
        <v>3183</v>
      </c>
      <c r="D5" s="577" t="s">
        <v>3197</v>
      </c>
      <c r="E5" s="548">
        <v>8</v>
      </c>
      <c r="F5" s="548" t="s">
        <v>3193</v>
      </c>
      <c r="G5" s="585" t="s">
        <v>390</v>
      </c>
      <c r="H5" s="548" t="s">
        <v>3190</v>
      </c>
      <c r="I5" s="548" t="s">
        <v>3192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>
      <c r="B6" s="549">
        <v>46182</v>
      </c>
      <c r="C6" s="548" t="s">
        <v>3205</v>
      </c>
      <c r="D6" s="577" t="s">
        <v>3201</v>
      </c>
      <c r="E6" s="548">
        <v>8</v>
      </c>
      <c r="F6" s="548" t="s">
        <v>3202</v>
      </c>
      <c r="G6" s="585" t="s">
        <v>3202</v>
      </c>
      <c r="H6" s="548" t="s">
        <v>3189</v>
      </c>
      <c r="I6" s="548" t="s">
        <v>3200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>
      <c r="B7" s="549">
        <v>46182</v>
      </c>
      <c r="C7" s="548" t="s">
        <v>3204</v>
      </c>
      <c r="D7" s="577" t="s">
        <v>3197</v>
      </c>
      <c r="E7" s="548">
        <v>7</v>
      </c>
      <c r="F7" s="548" t="s">
        <v>3193</v>
      </c>
      <c r="G7" s="585" t="s">
        <v>390</v>
      </c>
      <c r="H7" s="548" t="s">
        <v>3190</v>
      </c>
      <c r="I7" s="548" t="s">
        <v>3192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>
      <c r="B8" s="549">
        <v>46185</v>
      </c>
      <c r="C8" s="548" t="s">
        <v>3232</v>
      </c>
      <c r="D8" s="577" t="s">
        <v>3291</v>
      </c>
      <c r="E8" s="548">
        <v>8</v>
      </c>
      <c r="F8" s="548" t="s">
        <v>3202</v>
      </c>
      <c r="G8" s="585" t="s">
        <v>3350</v>
      </c>
      <c r="H8" s="548" t="s">
        <v>3190</v>
      </c>
      <c r="I8" s="548" t="s">
        <v>3192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>
      <c r="B9" s="549">
        <v>46185</v>
      </c>
      <c r="C9" s="548" t="s">
        <v>3280</v>
      </c>
      <c r="D9" s="577" t="s">
        <v>3287</v>
      </c>
      <c r="E9" s="548">
        <v>8</v>
      </c>
      <c r="F9" s="548" t="s">
        <v>3288</v>
      </c>
      <c r="G9" s="585" t="s">
        <v>390</v>
      </c>
      <c r="H9" s="548" t="s">
        <v>3189</v>
      </c>
      <c r="I9" s="548" t="s">
        <v>3192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>
      <c r="B10" s="549">
        <v>46186</v>
      </c>
      <c r="C10" s="548" t="s">
        <v>3271</v>
      </c>
      <c r="D10" s="577" t="s">
        <v>3289</v>
      </c>
      <c r="E10" s="548">
        <v>8</v>
      </c>
      <c r="F10" s="548" t="s">
        <v>3193</v>
      </c>
      <c r="G10" s="585" t="s">
        <v>390</v>
      </c>
      <c r="H10" s="548" t="s">
        <v>3190</v>
      </c>
      <c r="I10" s="548" t="s">
        <v>3200</v>
      </c>
      <c r="J10" s="550">
        <v>100</v>
      </c>
      <c r="K10" s="550">
        <v>0.27</v>
      </c>
      <c r="L10" s="551">
        <f t="shared" si="0"/>
        <v>2.7000000000000001E-3</v>
      </c>
      <c r="M10" s="598" t="s">
        <v>3371</v>
      </c>
    </row>
    <row r="11" spans="2:13" ht="15" customHeight="1">
      <c r="B11" s="549">
        <v>46189</v>
      </c>
      <c r="C11" s="548" t="s">
        <v>3304</v>
      </c>
      <c r="D11" s="577" t="s">
        <v>3291</v>
      </c>
      <c r="E11" s="548">
        <v>7</v>
      </c>
      <c r="F11" s="548" t="s">
        <v>3193</v>
      </c>
      <c r="G11" s="585" t="s">
        <v>3350</v>
      </c>
      <c r="H11" s="548" t="s">
        <v>3190</v>
      </c>
      <c r="I11" s="548" t="s">
        <v>3192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>
      <c r="B12" s="549">
        <v>46189.75277777778</v>
      </c>
      <c r="C12" s="548" t="s">
        <v>3334</v>
      </c>
      <c r="D12" s="577" t="s">
        <v>3291</v>
      </c>
      <c r="E12" s="548">
        <v>7</v>
      </c>
      <c r="F12" s="548" t="s">
        <v>3193</v>
      </c>
      <c r="G12" s="585" t="s">
        <v>3350</v>
      </c>
      <c r="H12" s="548" t="s">
        <v>3189</v>
      </c>
      <c r="I12" s="548" t="s">
        <v>3192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>
      <c r="B13" s="549">
        <v>46190.792118055557</v>
      </c>
      <c r="C13" s="548" t="s">
        <v>3315</v>
      </c>
      <c r="D13" s="577" t="s">
        <v>3291</v>
      </c>
      <c r="E13" s="548">
        <v>8</v>
      </c>
      <c r="F13" s="548" t="s">
        <v>3193</v>
      </c>
      <c r="G13" s="585" t="s">
        <v>3350</v>
      </c>
      <c r="H13" s="548" t="s">
        <v>3190</v>
      </c>
      <c r="I13" s="548" t="s">
        <v>3192</v>
      </c>
      <c r="J13" s="550">
        <v>100</v>
      </c>
      <c r="K13" s="550">
        <v>0.2</v>
      </c>
      <c r="L13" s="551">
        <f t="shared" si="0"/>
        <v>2E-3</v>
      </c>
      <c r="M13" s="598" t="s">
        <v>3372</v>
      </c>
    </row>
    <row r="14" spans="2:13" ht="15" customHeight="1">
      <c r="B14" s="549">
        <v>46191</v>
      </c>
      <c r="C14" s="548" t="s">
        <v>3361</v>
      </c>
      <c r="D14" s="577" t="s">
        <v>3291</v>
      </c>
      <c r="E14" s="548">
        <v>8</v>
      </c>
      <c r="F14" s="548" t="s">
        <v>3193</v>
      </c>
      <c r="G14" s="585" t="s">
        <v>3350</v>
      </c>
      <c r="H14" s="548" t="s">
        <v>3190</v>
      </c>
      <c r="I14" s="548" t="s">
        <v>3192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>
      <c r="B15" s="549">
        <v>46191</v>
      </c>
      <c r="C15" s="548" t="s">
        <v>3358</v>
      </c>
      <c r="D15" s="577" t="s">
        <v>3291</v>
      </c>
      <c r="E15" s="548">
        <v>7</v>
      </c>
      <c r="F15" s="548" t="s">
        <v>3193</v>
      </c>
      <c r="G15" s="585" t="s">
        <v>3350</v>
      </c>
      <c r="H15" s="548" t="s">
        <v>3190</v>
      </c>
      <c r="I15" s="548" t="s">
        <v>3192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3370</v>
      </c>
    </row>
    <row r="16" spans="2:13" ht="15" customHeight="1">
      <c r="B16" s="549">
        <v>46191</v>
      </c>
      <c r="C16" s="548" t="s">
        <v>3352</v>
      </c>
      <c r="D16" s="577" t="s">
        <v>3291</v>
      </c>
      <c r="E16" s="548">
        <v>8</v>
      </c>
      <c r="F16" s="548" t="s">
        <v>3193</v>
      </c>
      <c r="G16" s="585" t="s">
        <v>3350</v>
      </c>
      <c r="H16" s="548" t="s">
        <v>3190</v>
      </c>
      <c r="I16" s="548" t="s">
        <v>3192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>
      <c r="B17" s="549">
        <v>46192</v>
      </c>
      <c r="C17" s="548" t="s">
        <v>3473</v>
      </c>
      <c r="D17" s="577" t="s">
        <v>3291</v>
      </c>
      <c r="E17" s="548">
        <v>8</v>
      </c>
      <c r="F17" s="548" t="s">
        <v>3193</v>
      </c>
      <c r="G17" s="585" t="s">
        <v>3350</v>
      </c>
      <c r="H17" s="548" t="s">
        <v>3190</v>
      </c>
      <c r="I17" s="548" t="s">
        <v>3192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>
      <c r="B18" s="549">
        <v>46192</v>
      </c>
      <c r="C18" s="548" t="s">
        <v>3470</v>
      </c>
      <c r="D18" s="577" t="s">
        <v>3291</v>
      </c>
      <c r="E18" s="548">
        <v>7</v>
      </c>
      <c r="F18" s="548" t="s">
        <v>3193</v>
      </c>
      <c r="G18" s="585" t="s">
        <v>3350</v>
      </c>
      <c r="H18" s="548" t="s">
        <v>3190</v>
      </c>
      <c r="I18" s="548" t="s">
        <v>3192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>
      <c r="B19" s="549">
        <v>46193</v>
      </c>
      <c r="C19" s="548" t="s">
        <v>3463</v>
      </c>
      <c r="D19" s="577" t="s">
        <v>3291</v>
      </c>
      <c r="E19" s="548">
        <v>8</v>
      </c>
      <c r="F19" s="548" t="s">
        <v>3193</v>
      </c>
      <c r="G19" s="585" t="s">
        <v>3350</v>
      </c>
      <c r="H19" s="548" t="s">
        <v>3189</v>
      </c>
      <c r="I19" s="644" t="s">
        <v>3200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>
      <c r="B20" s="549">
        <v>46193</v>
      </c>
      <c r="C20" s="548" t="s">
        <v>3456</v>
      </c>
      <c r="D20" s="577" t="s">
        <v>3197</v>
      </c>
      <c r="E20" s="548">
        <v>8</v>
      </c>
      <c r="F20" s="548" t="s">
        <v>3202</v>
      </c>
      <c r="G20" s="548" t="s">
        <v>3202</v>
      </c>
      <c r="H20" s="644" t="s">
        <v>3190</v>
      </c>
      <c r="I20" s="644" t="s">
        <v>3200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>
      <c r="B21" s="549">
        <v>46196</v>
      </c>
      <c r="C21" s="548" t="s">
        <v>3501</v>
      </c>
      <c r="D21" s="577" t="s">
        <v>3291</v>
      </c>
      <c r="E21" s="548">
        <v>7</v>
      </c>
      <c r="F21" s="548" t="s">
        <v>3193</v>
      </c>
      <c r="G21" s="548" t="s">
        <v>3350</v>
      </c>
      <c r="H21" s="644" t="s">
        <v>3190</v>
      </c>
      <c r="I21" s="644" t="s">
        <v>3192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>
      <c r="B22" s="549">
        <v>46196</v>
      </c>
      <c r="C22" s="548" t="s">
        <v>3500</v>
      </c>
      <c r="D22" s="577" t="s">
        <v>3291</v>
      </c>
      <c r="E22" s="548">
        <v>7</v>
      </c>
      <c r="F22" s="548" t="s">
        <v>3193</v>
      </c>
      <c r="G22" s="548" t="s">
        <v>3350</v>
      </c>
      <c r="H22" s="644" t="s">
        <v>3190</v>
      </c>
      <c r="I22" s="644" t="s">
        <v>3192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>
      <c r="B23" s="549">
        <v>46202</v>
      </c>
      <c r="C23" s="548" t="s">
        <v>3591</v>
      </c>
      <c r="D23" s="577" t="s">
        <v>3291</v>
      </c>
      <c r="E23" s="548">
        <v>9</v>
      </c>
      <c r="F23" s="548" t="s">
        <v>3193</v>
      </c>
      <c r="G23" s="548" t="s">
        <v>3350</v>
      </c>
      <c r="H23" s="644" t="s">
        <v>3190</v>
      </c>
      <c r="I23" s="644" t="s">
        <v>3192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>
      <c r="B24" s="549">
        <v>46204</v>
      </c>
      <c r="C24" s="548" t="s">
        <v>3605</v>
      </c>
      <c r="D24" s="577" t="s">
        <v>3291</v>
      </c>
      <c r="E24" s="548">
        <v>9</v>
      </c>
      <c r="F24" s="548" t="s">
        <v>3193</v>
      </c>
      <c r="G24" s="548" t="s">
        <v>3350</v>
      </c>
      <c r="H24" s="644" t="s">
        <v>3190</v>
      </c>
      <c r="I24" s="644" t="s">
        <v>3192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>
      <c r="B2" s="1422" t="s">
        <v>266</v>
      </c>
      <c r="C2" s="1423" t="s">
        <v>385</v>
      </c>
      <c r="E2" s="1422" t="s">
        <v>266</v>
      </c>
      <c r="F2" s="1423" t="s">
        <v>385</v>
      </c>
      <c r="G2" s="1423" t="s">
        <v>3949</v>
      </c>
      <c r="H2" s="1423" t="s">
        <v>3946</v>
      </c>
      <c r="J2" s="1422" t="s">
        <v>266</v>
      </c>
      <c r="K2" s="1423" t="s">
        <v>385</v>
      </c>
      <c r="L2" s="1423" t="s">
        <v>3946</v>
      </c>
      <c r="N2" s="1422" t="s">
        <v>266</v>
      </c>
      <c r="O2" s="1423" t="s">
        <v>385</v>
      </c>
      <c r="P2" s="1423" t="s">
        <v>3946</v>
      </c>
      <c r="R2" s="1422" t="s">
        <v>266</v>
      </c>
      <c r="S2" s="1423" t="s">
        <v>385</v>
      </c>
      <c r="T2" s="1423" t="s">
        <v>3946</v>
      </c>
    </row>
    <row r="3" spans="2:20" ht="15" customHeight="1">
      <c r="B3" s="1424" t="s">
        <v>3193</v>
      </c>
      <c r="C3" s="1416">
        <v>430.91</v>
      </c>
      <c r="E3" s="1424" t="s">
        <v>3193</v>
      </c>
      <c r="F3" s="1416">
        <v>343.95</v>
      </c>
      <c r="G3" s="1416">
        <v>4.1289795918367354</v>
      </c>
      <c r="H3" s="1417">
        <v>49</v>
      </c>
      <c r="I3" s="1029"/>
      <c r="J3" s="1424" t="s">
        <v>3948</v>
      </c>
      <c r="K3" s="1416">
        <v>167.39000000000004</v>
      </c>
      <c r="L3" s="1417">
        <v>38</v>
      </c>
      <c r="M3" s="1029"/>
      <c r="N3" s="1424" t="s">
        <v>3189</v>
      </c>
      <c r="O3" s="1416">
        <v>-0.25000000000001066</v>
      </c>
      <c r="P3" s="1417">
        <v>38</v>
      </c>
      <c r="R3" s="1424" t="s">
        <v>3192</v>
      </c>
      <c r="S3" s="1416">
        <v>254.81000000000012</v>
      </c>
      <c r="T3" s="1417">
        <v>35</v>
      </c>
    </row>
    <row r="4" spans="2:20" ht="15" customHeight="1">
      <c r="B4" s="1430" t="s">
        <v>3927</v>
      </c>
      <c r="C4" s="1416">
        <v>114.71</v>
      </c>
      <c r="E4" s="1424" t="s">
        <v>3288</v>
      </c>
      <c r="F4" s="1416">
        <v>-144.39999999999998</v>
      </c>
      <c r="G4" s="1416">
        <v>6.1157894736842104</v>
      </c>
      <c r="H4" s="1417">
        <v>19</v>
      </c>
      <c r="I4" s="1029"/>
      <c r="J4" s="1424" t="s">
        <v>3947</v>
      </c>
      <c r="K4" s="1416">
        <v>119.11999999999996</v>
      </c>
      <c r="L4" s="1417">
        <v>27</v>
      </c>
      <c r="M4" s="1029"/>
      <c r="N4" s="1424" t="s">
        <v>3190</v>
      </c>
      <c r="O4" s="1416">
        <v>286.7600000000001</v>
      </c>
      <c r="P4" s="1417">
        <v>27</v>
      </c>
      <c r="R4" s="1424" t="s">
        <v>3200</v>
      </c>
      <c r="S4" s="1416">
        <v>31.699999999999964</v>
      </c>
      <c r="T4" s="1417">
        <v>30</v>
      </c>
    </row>
    <row r="5" spans="2:20" ht="15" customHeight="1">
      <c r="B5" s="1430" t="s">
        <v>3928</v>
      </c>
      <c r="C5" s="1416">
        <v>-86.91</v>
      </c>
      <c r="E5" s="1424" t="s">
        <v>267</v>
      </c>
      <c r="F5" s="1416">
        <v>199.55</v>
      </c>
      <c r="G5" s="1416">
        <v>4.6841176470588231</v>
      </c>
      <c r="H5" s="1417">
        <v>68</v>
      </c>
      <c r="I5" s="1029"/>
      <c r="J5" s="1424" t="s">
        <v>267</v>
      </c>
      <c r="K5" s="1416">
        <v>286.51000000000005</v>
      </c>
      <c r="L5" s="1417">
        <v>65</v>
      </c>
      <c r="M5" s="1029"/>
      <c r="N5" s="1424" t="s">
        <v>267</v>
      </c>
      <c r="O5" s="1416">
        <v>286.5100000000001</v>
      </c>
      <c r="P5" s="1417">
        <v>65</v>
      </c>
      <c r="R5" s="1424" t="s">
        <v>267</v>
      </c>
      <c r="S5" s="1416">
        <v>286.51000000000028</v>
      </c>
      <c r="T5" s="1417">
        <v>65</v>
      </c>
    </row>
    <row r="6" spans="2:20" ht="15" customHeight="1">
      <c r="B6" s="1430" t="s">
        <v>3929</v>
      </c>
      <c r="C6" s="1416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>
      <c r="B7" s="1430" t="s">
        <v>3930</v>
      </c>
      <c r="C7" s="1416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>
      <c r="B8" s="1430" t="s">
        <v>3931</v>
      </c>
      <c r="C8" s="1416">
        <v>-148.69</v>
      </c>
      <c r="E8" s="1422" t="s">
        <v>12</v>
      </c>
      <c r="F8" s="1423" t="s">
        <v>3193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>
      <c r="B9" s="1430" t="s">
        <v>3932</v>
      </c>
      <c r="C9" s="1416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>
      <c r="B10" s="1430" t="s">
        <v>3933</v>
      </c>
      <c r="C10" s="1416">
        <v>76.830000000000013</v>
      </c>
      <c r="E10" s="1422" t="s">
        <v>266</v>
      </c>
      <c r="F10" s="1423" t="s">
        <v>385</v>
      </c>
      <c r="G10" s="1423" t="s">
        <v>3949</v>
      </c>
      <c r="H10" s="1423" t="s">
        <v>3946</v>
      </c>
    </row>
    <row r="11" spans="2:20" ht="15" customHeight="1">
      <c r="B11" s="1430" t="s">
        <v>3934</v>
      </c>
      <c r="C11" s="1416">
        <v>50.230000000000004</v>
      </c>
      <c r="E11" s="1424" t="s">
        <v>75</v>
      </c>
      <c r="F11" s="1416">
        <v>-484.33000000000004</v>
      </c>
      <c r="G11" s="1416">
        <v>3.6079999999999997</v>
      </c>
      <c r="H11" s="1417">
        <v>5</v>
      </c>
    </row>
    <row r="12" spans="2:20" ht="15" customHeight="1">
      <c r="B12" s="1430" t="s">
        <v>3935</v>
      </c>
      <c r="C12" s="1416">
        <v>26.75</v>
      </c>
      <c r="E12" s="1424" t="s">
        <v>3347</v>
      </c>
      <c r="F12" s="1416">
        <v>68.160000000000011</v>
      </c>
      <c r="G12" s="1416">
        <v>3.625</v>
      </c>
      <c r="H12" s="1417">
        <v>4</v>
      </c>
    </row>
    <row r="13" spans="2:20" ht="15" customHeight="1">
      <c r="B13" s="1430" t="s">
        <v>3936</v>
      </c>
      <c r="C13" s="1416">
        <v>78.309999999999988</v>
      </c>
      <c r="E13" s="1424" t="s">
        <v>3214</v>
      </c>
      <c r="F13" s="1416">
        <v>-51.780000000000008</v>
      </c>
      <c r="G13" s="1416">
        <v>3.8920000000000003</v>
      </c>
      <c r="H13" s="1417">
        <v>5</v>
      </c>
    </row>
    <row r="14" spans="2:20" ht="15" customHeight="1">
      <c r="B14" s="1430" t="s">
        <v>3937</v>
      </c>
      <c r="C14" s="1416">
        <v>27.9</v>
      </c>
      <c r="E14" s="1424" t="s">
        <v>3589</v>
      </c>
      <c r="F14" s="1416">
        <v>-56.7</v>
      </c>
      <c r="G14" s="1416">
        <v>3.9249999999999998</v>
      </c>
      <c r="H14" s="1417">
        <v>2</v>
      </c>
    </row>
    <row r="15" spans="2:20" ht="15" customHeight="1">
      <c r="B15" s="1430" t="s">
        <v>3938</v>
      </c>
      <c r="C15" s="1416">
        <v>44.44</v>
      </c>
      <c r="E15" s="1424" t="s">
        <v>3583</v>
      </c>
      <c r="F15" s="1416">
        <v>595.61999999999989</v>
      </c>
      <c r="G15" s="1416">
        <v>4.2961111111111112</v>
      </c>
      <c r="H15" s="1417">
        <v>18</v>
      </c>
    </row>
    <row r="16" spans="2:20" ht="15" customHeight="1">
      <c r="B16" s="1430" t="s">
        <v>3940</v>
      </c>
      <c r="C16" s="1416">
        <v>10.86</v>
      </c>
      <c r="E16" s="1424" t="s">
        <v>3635</v>
      </c>
      <c r="F16" s="1416">
        <v>19.579999999999998</v>
      </c>
      <c r="G16" s="1416">
        <v>4.4666666666666668</v>
      </c>
      <c r="H16" s="1417">
        <v>3</v>
      </c>
    </row>
    <row r="17" spans="2:8" ht="15" customHeight="1">
      <c r="B17" s="1430" t="s">
        <v>3941</v>
      </c>
      <c r="C17" s="1416">
        <v>29.54</v>
      </c>
      <c r="E17" s="1424" t="s">
        <v>3582</v>
      </c>
      <c r="F17" s="1416">
        <v>44.739999999999995</v>
      </c>
      <c r="G17" s="1416">
        <v>4.3449999999999998</v>
      </c>
      <c r="H17" s="1417">
        <v>2</v>
      </c>
    </row>
    <row r="18" spans="2:8" ht="15" customHeight="1">
      <c r="B18" s="1424" t="s">
        <v>3288</v>
      </c>
      <c r="C18" s="1416">
        <v>-144.39999999999998</v>
      </c>
      <c r="E18" s="1424" t="s">
        <v>3584</v>
      </c>
      <c r="F18" s="1416">
        <v>295.62</v>
      </c>
      <c r="G18" s="1416">
        <v>4.2642857142857142</v>
      </c>
      <c r="H18" s="1417">
        <v>7</v>
      </c>
    </row>
    <row r="19" spans="2:8" ht="15" customHeight="1">
      <c r="B19" s="1430" t="s">
        <v>3936</v>
      </c>
      <c r="C19" s="1416">
        <v>12.41</v>
      </c>
      <c r="E19" s="1424" t="s">
        <v>267</v>
      </c>
      <c r="F19" s="1416">
        <v>430.91000000000014</v>
      </c>
      <c r="G19" s="1416">
        <v>4.1113043478260867</v>
      </c>
      <c r="H19" s="1417">
        <v>46</v>
      </c>
    </row>
    <row r="20" spans="2:8" ht="15" customHeight="1">
      <c r="B20" s="1430" t="s">
        <v>3938</v>
      </c>
      <c r="C20" s="1416">
        <v>-142.26999999999998</v>
      </c>
      <c r="E20" s="1025"/>
      <c r="F20" s="1025"/>
      <c r="G20" s="1025"/>
      <c r="H20" s="1025"/>
    </row>
    <row r="21" spans="2:8" ht="15" customHeight="1">
      <c r="B21" s="1430" t="s">
        <v>3939</v>
      </c>
      <c r="C21" s="1416">
        <v>50.61</v>
      </c>
      <c r="E21" s="1025"/>
      <c r="F21" s="1025"/>
      <c r="G21" s="1025"/>
      <c r="H21" s="1025"/>
    </row>
    <row r="22" spans="2:8" ht="15" customHeight="1">
      <c r="B22" s="1430" t="s">
        <v>3940</v>
      </c>
      <c r="C22" s="1416">
        <v>-14.3</v>
      </c>
      <c r="E22" s="1025"/>
      <c r="F22" s="1025"/>
      <c r="G22" s="1025"/>
      <c r="H22" s="1025"/>
    </row>
    <row r="23" spans="2:8" ht="15" customHeight="1">
      <c r="B23" s="1430" t="s">
        <v>3941</v>
      </c>
      <c r="C23" s="1416">
        <v>-8.36</v>
      </c>
      <c r="E23" s="1025"/>
      <c r="F23" s="1025"/>
      <c r="G23" s="1025"/>
      <c r="H23" s="1025"/>
    </row>
    <row r="24" spans="2:8" ht="15" customHeight="1">
      <c r="B24" s="1430" t="s">
        <v>3942</v>
      </c>
      <c r="C24" s="1416">
        <v>-0.91000000000000014</v>
      </c>
      <c r="E24" s="1025"/>
      <c r="F24" s="1025"/>
      <c r="G24" s="1025"/>
      <c r="H24" s="1025"/>
    </row>
    <row r="25" spans="2:8" ht="15" customHeight="1">
      <c r="B25" s="1430" t="s">
        <v>3943</v>
      </c>
      <c r="C25" s="1416">
        <v>-100.96</v>
      </c>
      <c r="E25" s="1025"/>
      <c r="F25" s="1025"/>
      <c r="G25" s="1025"/>
      <c r="H25" s="1025"/>
    </row>
    <row r="26" spans="2:8" ht="15" customHeight="1">
      <c r="B26" s="1430" t="s">
        <v>3944</v>
      </c>
      <c r="C26" s="1416">
        <v>27.269999999999996</v>
      </c>
      <c r="E26" s="1025"/>
      <c r="F26" s="1025"/>
      <c r="G26" s="1025"/>
    </row>
    <row r="27" spans="2:8" ht="15" customHeight="1">
      <c r="B27" s="1430" t="s">
        <v>3945</v>
      </c>
      <c r="C27" s="1416">
        <v>32.11</v>
      </c>
      <c r="E27" s="1025"/>
      <c r="F27" s="1025"/>
      <c r="G27" s="1025"/>
    </row>
    <row r="28" spans="2:8" ht="15" customHeight="1">
      <c r="B28" s="1424" t="s">
        <v>267</v>
      </c>
      <c r="C28" s="1416">
        <v>286.51000000000005</v>
      </c>
      <c r="E28" s="1025"/>
      <c r="F28" s="1025"/>
      <c r="G28" s="1025"/>
    </row>
    <row r="29" spans="2:8" ht="15" customHeight="1">
      <c r="B29" s="1025"/>
      <c r="C29" s="1025"/>
    </row>
    <row r="30" spans="2:8" ht="15" customHeight="1">
      <c r="B30" s="1025"/>
      <c r="C30" s="1025"/>
    </row>
    <row r="31" spans="2:8" ht="15" customHeight="1">
      <c r="B31" s="1025"/>
      <c r="C31" s="1025"/>
    </row>
    <row r="32" spans="2:8" ht="15" customHeight="1">
      <c r="B32" s="1025"/>
      <c r="C32" s="1025"/>
    </row>
    <row r="33" spans="2:3" ht="15" customHeight="1">
      <c r="B33" s="1025"/>
      <c r="C33" s="1025"/>
    </row>
    <row r="34" spans="2:3" ht="15" customHeight="1">
      <c r="B34" s="1025"/>
      <c r="C34" s="1025"/>
    </row>
    <row r="35" spans="2:3" ht="15" customHeight="1">
      <c r="B35" s="1025"/>
      <c r="C35" s="1025"/>
    </row>
    <row r="36" spans="2:3" ht="15" customHeight="1">
      <c r="B36" s="1025"/>
      <c r="C36" s="1025"/>
    </row>
    <row r="37" spans="2:3" ht="15" customHeight="1">
      <c r="B37" s="1025"/>
      <c r="C37" s="1025"/>
    </row>
    <row r="38" spans="2:3" ht="15" customHeight="1">
      <c r="B38" s="1025"/>
      <c r="C38" s="1025"/>
    </row>
    <row r="39" spans="2:3" ht="15" customHeight="1">
      <c r="B39" s="1025"/>
      <c r="C39" s="1025"/>
    </row>
    <row r="40" spans="2:3" ht="15" customHeight="1">
      <c r="B40" s="1025"/>
      <c r="C40" s="1025"/>
    </row>
    <row r="41" spans="2:3" ht="15" customHeight="1">
      <c r="B41" s="1025"/>
      <c r="C41" s="1025"/>
    </row>
    <row r="42" spans="2:3" ht="15" customHeight="1">
      <c r="B42" s="1025"/>
      <c r="C42" s="1025"/>
    </row>
    <row r="43" spans="2:3" ht="15" customHeight="1">
      <c r="B43" s="1025"/>
      <c r="C43" s="1025"/>
    </row>
    <row r="44" spans="2:3" ht="15" customHeight="1">
      <c r="B44" s="1025"/>
      <c r="C44" s="1025"/>
    </row>
    <row r="45" spans="2:3" ht="15" customHeight="1">
      <c r="B45" s="1025"/>
      <c r="C45" s="1025"/>
    </row>
    <row r="46" spans="2:3" ht="15" customHeight="1">
      <c r="B46" s="1025"/>
      <c r="C46" s="1025"/>
    </row>
    <row r="47" spans="2:3" ht="15" customHeight="1">
      <c r="B47" s="1025"/>
      <c r="C47" s="1025"/>
    </row>
    <row r="56" spans="5:6" ht="15" customHeight="1">
      <c r="E56" s="1025"/>
      <c r="F56" s="1025"/>
    </row>
    <row r="57" spans="5:6" ht="15" customHeight="1">
      <c r="E57" s="1025"/>
      <c r="F57" s="1025"/>
    </row>
    <row r="58" spans="5:6" ht="15" customHeight="1">
      <c r="E58" s="1025"/>
      <c r="F58" s="1025"/>
    </row>
    <row r="59" spans="5:6" ht="15" customHeight="1">
      <c r="E59" s="1025"/>
      <c r="F59" s="1025"/>
    </row>
    <row r="60" spans="5:6" ht="15" customHeight="1">
      <c r="E60" s="1025"/>
      <c r="F60" s="1025"/>
    </row>
    <row r="61" spans="5:6" ht="15" customHeight="1">
      <c r="E61" s="1025"/>
      <c r="F61" s="1025"/>
    </row>
    <row r="62" spans="5:6" ht="15" customHeight="1">
      <c r="E62" s="1025"/>
      <c r="F62" s="1025"/>
    </row>
    <row r="63" spans="5:6" ht="15" customHeight="1">
      <c r="E63" s="1025"/>
      <c r="F63" s="1025"/>
    </row>
    <row r="64" spans="5:6" ht="15" customHeight="1">
      <c r="E64" s="1025"/>
      <c r="F64" s="1025"/>
    </row>
    <row r="65" spans="5:6" ht="15" customHeight="1">
      <c r="E65" s="1025"/>
      <c r="F65" s="1025"/>
    </row>
    <row r="66" spans="5:6" ht="15" customHeight="1">
      <c r="E66" s="1025"/>
      <c r="F66" s="1025"/>
    </row>
    <row r="67" spans="5:6" ht="15" customHeight="1">
      <c r="E67" s="1025"/>
      <c r="F67" s="1025"/>
    </row>
    <row r="68" spans="5:6" ht="15" customHeight="1">
      <c r="E68" s="1025"/>
      <c r="F68" s="1025"/>
    </row>
    <row r="69" spans="5:6" ht="15" customHeight="1">
      <c r="E69" s="1025"/>
      <c r="F69" s="1025"/>
    </row>
    <row r="70" spans="5:6" ht="15" customHeight="1">
      <c r="E70" s="1025"/>
      <c r="F70" s="1025"/>
    </row>
    <row r="71" spans="5:6" ht="15" customHeight="1">
      <c r="E71" s="1025"/>
      <c r="F71" s="1025"/>
    </row>
    <row r="72" spans="5:6" ht="15" customHeight="1">
      <c r="E72" s="1025"/>
      <c r="F72" s="1025"/>
    </row>
    <row r="73" spans="5:6" ht="15" customHeight="1">
      <c r="E73" s="1025"/>
      <c r="F73" s="1025"/>
    </row>
    <row r="74" spans="5:6" ht="15" customHeight="1">
      <c r="E74" s="1025"/>
      <c r="F74" s="1025"/>
    </row>
    <row r="75" spans="5:6" ht="15" customHeight="1">
      <c r="E75" s="1025"/>
      <c r="F75" s="1025"/>
    </row>
    <row r="76" spans="5:6" ht="15" customHeight="1">
      <c r="E76" s="1025"/>
      <c r="F76" s="1025"/>
    </row>
    <row r="77" spans="5:6" ht="15" customHeight="1">
      <c r="E77" s="1025"/>
      <c r="F77" s="1025"/>
    </row>
    <row r="78" spans="5:6" ht="15" customHeight="1">
      <c r="E78" s="1025"/>
      <c r="F78" s="1025"/>
    </row>
    <row r="79" spans="5:6" ht="15" customHeight="1">
      <c r="E79" s="1025"/>
      <c r="F79" s="1025"/>
    </row>
    <row r="80" spans="5:6" ht="15" customHeight="1">
      <c r="E80" s="1025"/>
      <c r="F80" s="1025"/>
    </row>
    <row r="81" spans="5:6" ht="15" customHeight="1">
      <c r="E81" s="1025"/>
      <c r="F81" s="1025"/>
    </row>
    <row r="82" spans="5:6" ht="15" customHeight="1">
      <c r="E82" s="1025"/>
      <c r="F82" s="1025"/>
    </row>
    <row r="83" spans="5:6" ht="15" customHeight="1">
      <c r="E83" s="1025"/>
      <c r="F83" s="1025"/>
    </row>
    <row r="84" spans="5:6" ht="15" customHeight="1">
      <c r="E84" s="1025"/>
      <c r="F84" s="1025"/>
    </row>
    <row r="85" spans="5:6" ht="15" customHeight="1">
      <c r="E85" s="1025"/>
      <c r="F85" s="1025"/>
    </row>
    <row r="86" spans="5:6" ht="15" customHeight="1">
      <c r="E86" s="1025"/>
      <c r="F86" s="1025"/>
    </row>
    <row r="87" spans="5:6" ht="15" customHeight="1">
      <c r="E87" s="1025"/>
      <c r="F87" s="1025"/>
    </row>
    <row r="88" spans="5:6" ht="15" customHeight="1">
      <c r="E88" s="1025"/>
      <c r="F88" s="1025"/>
    </row>
    <row r="89" spans="5:6" ht="15" customHeight="1">
      <c r="E89" s="1025"/>
      <c r="F89" s="1025"/>
    </row>
    <row r="90" spans="5:6" ht="15" customHeight="1">
      <c r="E90" s="1025"/>
      <c r="F90" s="1025"/>
    </row>
    <row r="91" spans="5:6" ht="15" customHeight="1">
      <c r="E91" s="1025"/>
      <c r="F91" s="1025"/>
    </row>
    <row r="92" spans="5:6" ht="15" customHeight="1">
      <c r="E92" s="1025"/>
      <c r="F92" s="1025"/>
    </row>
    <row r="93" spans="5:6" ht="15" customHeight="1">
      <c r="E93" s="1025"/>
      <c r="F93" s="1025"/>
    </row>
    <row r="94" spans="5:6" ht="15" customHeight="1">
      <c r="E94" s="1025"/>
      <c r="F94" s="1025"/>
    </row>
    <row r="95" spans="5:6" ht="15" customHeight="1">
      <c r="E95" s="1025"/>
      <c r="F95" s="1025"/>
    </row>
    <row r="96" spans="5:6" ht="15" customHeight="1">
      <c r="E96" s="1025"/>
      <c r="F96" s="1025"/>
    </row>
    <row r="97" spans="5:6" ht="15" customHeight="1">
      <c r="E97" s="1025"/>
      <c r="F97" s="1025"/>
    </row>
    <row r="98" spans="5:6" ht="15" customHeight="1">
      <c r="E98" s="1025"/>
      <c r="F98" s="1025"/>
    </row>
    <row r="99" spans="5:6" ht="15" customHeight="1">
      <c r="E99" s="1025"/>
      <c r="F99" s="1025"/>
    </row>
    <row r="100" spans="5:6" ht="15" customHeight="1">
      <c r="E100" s="1025"/>
      <c r="F100" s="1025"/>
    </row>
    <row r="101" spans="5:6" ht="15" customHeight="1">
      <c r="E101" s="1025"/>
      <c r="F101" s="1025"/>
    </row>
    <row r="102" spans="5:6" ht="15" customHeight="1">
      <c r="E102" s="1025"/>
      <c r="F102" s="1025"/>
    </row>
    <row r="103" spans="5:6" ht="15" customHeight="1">
      <c r="E103" s="1025"/>
      <c r="F103" s="1025"/>
    </row>
    <row r="104" spans="5:6" ht="15" customHeight="1">
      <c r="E104" s="1025"/>
      <c r="F104" s="1025"/>
    </row>
    <row r="105" spans="5:6" ht="15" customHeight="1">
      <c r="E105" s="1025"/>
      <c r="F105" s="1025"/>
    </row>
    <row r="106" spans="5:6" ht="15" customHeight="1">
      <c r="E106" s="1025"/>
      <c r="F106" s="1025"/>
    </row>
    <row r="107" spans="5:6" ht="15" customHeight="1">
      <c r="E107" s="1025"/>
      <c r="F107" s="1025"/>
    </row>
    <row r="108" spans="5:6" ht="15" customHeight="1">
      <c r="E108" s="1025"/>
      <c r="F108" s="1025"/>
    </row>
    <row r="109" spans="5:6" ht="15" customHeight="1">
      <c r="E109" s="1025"/>
      <c r="F109" s="1025"/>
    </row>
    <row r="110" spans="5:6" ht="15" customHeight="1">
      <c r="E110" s="1025"/>
      <c r="F110" s="1025"/>
    </row>
    <row r="111" spans="5:6" ht="15" customHeight="1">
      <c r="E111" s="1025"/>
      <c r="F111" s="1025"/>
    </row>
    <row r="112" spans="5:6" ht="15" customHeight="1">
      <c r="E112" s="1025"/>
      <c r="F112" s="1025"/>
    </row>
    <row r="113" spans="5:6" ht="15" customHeight="1">
      <c r="E113" s="1025"/>
      <c r="F113" s="1025"/>
    </row>
    <row r="114" spans="5:6" ht="15" customHeight="1">
      <c r="E114" s="1025"/>
      <c r="F114" s="1025"/>
    </row>
    <row r="115" spans="5:6" ht="15" customHeight="1">
      <c r="E115" s="1025"/>
      <c r="F115" s="1025"/>
    </row>
    <row r="116" spans="5:6" ht="15" customHeight="1">
      <c r="E116" s="1025"/>
      <c r="F116" s="1025"/>
    </row>
    <row r="117" spans="5:6" ht="15" customHeight="1">
      <c r="E117" s="1025"/>
      <c r="F117" s="1025"/>
    </row>
    <row r="118" spans="5:6" ht="15" customHeight="1">
      <c r="E118" s="1025"/>
      <c r="F118" s="1025"/>
    </row>
    <row r="119" spans="5:6" ht="15" customHeight="1">
      <c r="E119" s="1025"/>
      <c r="F119" s="1025"/>
    </row>
    <row r="120" spans="5:6" ht="15" customHeight="1">
      <c r="E120" s="1025"/>
      <c r="F120" s="1025"/>
    </row>
    <row r="121" spans="5:6" ht="15" customHeight="1">
      <c r="E121" s="1025"/>
      <c r="F121" s="1025"/>
    </row>
    <row r="122" spans="5:6" ht="15" customHeight="1">
      <c r="E122" s="1025"/>
      <c r="F122" s="1025"/>
    </row>
    <row r="123" spans="5:6" ht="15" customHeight="1">
      <c r="E123" s="1025"/>
      <c r="F123" s="1025"/>
    </row>
    <row r="124" spans="5:6" ht="15" customHeight="1">
      <c r="E124" s="1025"/>
      <c r="F124" s="1025"/>
    </row>
    <row r="125" spans="5:6" ht="15" customHeight="1">
      <c r="E125" s="1025"/>
      <c r="F125" s="1025"/>
    </row>
    <row r="126" spans="5:6" ht="15" customHeight="1">
      <c r="E126" s="1025"/>
      <c r="F126" s="1025"/>
    </row>
    <row r="127" spans="5:6" ht="15" customHeight="1">
      <c r="E127" s="1025"/>
      <c r="F127" s="1025"/>
    </row>
    <row r="128" spans="5:6" ht="15" customHeight="1">
      <c r="E128" s="1025"/>
      <c r="F128" s="1025"/>
    </row>
    <row r="129" spans="5:6" ht="15" customHeight="1">
      <c r="E129" s="1025"/>
      <c r="F129" s="1025"/>
    </row>
    <row r="130" spans="5:6" ht="15" customHeight="1">
      <c r="E130" s="1025"/>
      <c r="F130" s="1025"/>
    </row>
    <row r="131" spans="5:6" ht="15" customHeight="1">
      <c r="E131" s="1025"/>
      <c r="F131" s="1025"/>
    </row>
    <row r="132" spans="5:6" ht="15" customHeight="1">
      <c r="E132" s="1025"/>
      <c r="F132" s="1025"/>
    </row>
    <row r="133" spans="5:6" ht="15" customHeight="1">
      <c r="E133" s="1025"/>
      <c r="F133" s="1025"/>
    </row>
    <row r="134" spans="5:6" ht="15" customHeight="1">
      <c r="E134" s="1025"/>
      <c r="F134" s="1025"/>
    </row>
    <row r="135" spans="5:6" ht="15" customHeight="1">
      <c r="E135" s="1025"/>
      <c r="F135" s="1025"/>
    </row>
    <row r="136" spans="5:6" ht="15" customHeight="1">
      <c r="E136" s="1025"/>
      <c r="F136" s="1025"/>
    </row>
    <row r="137" spans="5:6" ht="15" customHeight="1">
      <c r="E137" s="1025"/>
      <c r="F137" s="1025"/>
    </row>
    <row r="138" spans="5:6" ht="15" customHeight="1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>
      <c r="B2" s="4" t="s">
        <v>0</v>
      </c>
      <c r="C2" s="4" t="s">
        <v>1</v>
      </c>
      <c r="D2" s="4" t="s">
        <v>3196</v>
      </c>
      <c r="E2" s="4" t="s">
        <v>3199</v>
      </c>
      <c r="F2" s="4" t="s">
        <v>72</v>
      </c>
      <c r="G2" s="4" t="s">
        <v>3970</v>
      </c>
      <c r="H2" s="4" t="s">
        <v>3231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</row>
    <row r="3" spans="2:15" ht="15" customHeight="1">
      <c r="B3" s="549">
        <v>46182</v>
      </c>
      <c r="C3" s="548" t="s">
        <v>3208</v>
      </c>
      <c r="D3" s="548" t="s">
        <v>3198</v>
      </c>
      <c r="E3" s="550">
        <v>4.09</v>
      </c>
      <c r="F3" s="867" t="s">
        <v>3582</v>
      </c>
      <c r="G3" s="1038" t="s">
        <v>3231</v>
      </c>
      <c r="H3" s="1030" t="s">
        <v>3947</v>
      </c>
      <c r="I3" s="548" t="s">
        <v>3193</v>
      </c>
      <c r="J3" s="548" t="s">
        <v>390</v>
      </c>
      <c r="K3" s="548" t="s">
        <v>3189</v>
      </c>
      <c r="L3" s="548" t="s">
        <v>3200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>
      <c r="B4" s="549">
        <v>46196</v>
      </c>
      <c r="C4" s="548" t="s">
        <v>3506</v>
      </c>
      <c r="D4" s="548" t="s">
        <v>3291</v>
      </c>
      <c r="E4" s="550">
        <v>5</v>
      </c>
      <c r="F4" s="867" t="s">
        <v>3584</v>
      </c>
      <c r="G4" s="1038" t="s">
        <v>3231</v>
      </c>
      <c r="H4" s="1030" t="s">
        <v>3948</v>
      </c>
      <c r="I4" s="548" t="s">
        <v>3193</v>
      </c>
      <c r="J4" s="843" t="s">
        <v>3350</v>
      </c>
      <c r="K4" s="843" t="s">
        <v>3190</v>
      </c>
      <c r="L4" s="843" t="s">
        <v>3192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>
      <c r="B5" s="549">
        <v>46197</v>
      </c>
      <c r="C5" s="548" t="s">
        <v>3520</v>
      </c>
      <c r="D5" s="548" t="s">
        <v>3291</v>
      </c>
      <c r="E5" s="550">
        <v>5.4</v>
      </c>
      <c r="F5" s="867" t="s">
        <v>3583</v>
      </c>
      <c r="G5" s="1038" t="s">
        <v>3231</v>
      </c>
      <c r="H5" s="1030" t="s">
        <v>3948</v>
      </c>
      <c r="I5" s="548" t="s">
        <v>3193</v>
      </c>
      <c r="J5" s="843" t="s">
        <v>3350</v>
      </c>
      <c r="K5" s="548" t="s">
        <v>3189</v>
      </c>
      <c r="L5" s="843" t="s">
        <v>3192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>
      <c r="B6" s="549">
        <v>46197</v>
      </c>
      <c r="C6" s="548" t="s">
        <v>3513</v>
      </c>
      <c r="D6" s="548" t="s">
        <v>3291</v>
      </c>
      <c r="E6" s="550">
        <v>3.8</v>
      </c>
      <c r="F6" s="867" t="s">
        <v>3584</v>
      </c>
      <c r="G6" s="1038" t="s">
        <v>3231</v>
      </c>
      <c r="H6" s="1030" t="s">
        <v>3948</v>
      </c>
      <c r="I6" s="548" t="s">
        <v>3193</v>
      </c>
      <c r="J6" s="843" t="s">
        <v>3350</v>
      </c>
      <c r="K6" s="548" t="s">
        <v>3190</v>
      </c>
      <c r="L6" s="843" t="s">
        <v>3192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>
      <c r="B7" s="549">
        <v>46198</v>
      </c>
      <c r="C7" s="548" t="s">
        <v>3528</v>
      </c>
      <c r="D7" s="548" t="s">
        <v>3197</v>
      </c>
      <c r="E7" s="550">
        <v>3.4</v>
      </c>
      <c r="F7" s="867" t="s">
        <v>3347</v>
      </c>
      <c r="G7" s="1038" t="s">
        <v>3231</v>
      </c>
      <c r="H7" s="1030" t="s">
        <v>3948</v>
      </c>
      <c r="I7" s="548" t="s">
        <v>3193</v>
      </c>
      <c r="J7" s="843" t="s">
        <v>390</v>
      </c>
      <c r="K7" s="548" t="s">
        <v>3190</v>
      </c>
      <c r="L7" s="843" t="s">
        <v>3192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>
      <c r="B8" s="549">
        <v>46199</v>
      </c>
      <c r="C8" s="548" t="s">
        <v>3555</v>
      </c>
      <c r="D8" s="548" t="s">
        <v>3287</v>
      </c>
      <c r="E8" s="550">
        <v>5</v>
      </c>
      <c r="F8" s="867" t="s">
        <v>3583</v>
      </c>
      <c r="G8" s="1038" t="s">
        <v>3231</v>
      </c>
      <c r="H8" s="1030" t="s">
        <v>3948</v>
      </c>
      <c r="I8" s="548" t="s">
        <v>3193</v>
      </c>
      <c r="J8" s="843" t="s">
        <v>390</v>
      </c>
      <c r="K8" s="548" t="s">
        <v>3189</v>
      </c>
      <c r="L8" s="843" t="s">
        <v>3200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>
      <c r="B9" s="549">
        <v>46200</v>
      </c>
      <c r="C9" s="548" t="s">
        <v>3550</v>
      </c>
      <c r="D9" s="548" t="s">
        <v>3587</v>
      </c>
      <c r="E9" s="550">
        <v>4.5999999999999996</v>
      </c>
      <c r="F9" s="867" t="s">
        <v>3582</v>
      </c>
      <c r="G9" s="1038" t="s">
        <v>3231</v>
      </c>
      <c r="H9" s="1030" t="s">
        <v>3947</v>
      </c>
      <c r="I9" s="548" t="s">
        <v>3193</v>
      </c>
      <c r="J9" s="843" t="s">
        <v>390</v>
      </c>
      <c r="K9" s="548" t="s">
        <v>3189</v>
      </c>
      <c r="L9" s="843" t="s">
        <v>3200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>
      <c r="B10" s="549">
        <v>46200</v>
      </c>
      <c r="C10" s="548" t="s">
        <v>3548</v>
      </c>
      <c r="D10" s="548" t="s">
        <v>3197</v>
      </c>
      <c r="E10" s="550">
        <v>3.6</v>
      </c>
      <c r="F10" s="867" t="s">
        <v>3584</v>
      </c>
      <c r="G10" s="1038" t="s">
        <v>3231</v>
      </c>
      <c r="H10" s="1030" t="s">
        <v>3948</v>
      </c>
      <c r="I10" s="548" t="s">
        <v>3193</v>
      </c>
      <c r="J10" s="843" t="s">
        <v>390</v>
      </c>
      <c r="K10" s="548" t="s">
        <v>3190</v>
      </c>
      <c r="L10" s="843" t="s">
        <v>3192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>
      <c r="B11" s="549">
        <v>46200</v>
      </c>
      <c r="C11" s="548" t="s">
        <v>3546</v>
      </c>
      <c r="D11" s="548" t="s">
        <v>3588</v>
      </c>
      <c r="E11" s="550">
        <v>3.75</v>
      </c>
      <c r="F11" s="867" t="s">
        <v>3589</v>
      </c>
      <c r="G11" s="1038" t="s">
        <v>3231</v>
      </c>
      <c r="H11" s="1030" t="s">
        <v>3947</v>
      </c>
      <c r="I11" s="548" t="s">
        <v>3193</v>
      </c>
      <c r="J11" s="843" t="s">
        <v>390</v>
      </c>
      <c r="K11" s="548" t="s">
        <v>3189</v>
      </c>
      <c r="L11" s="843" t="s">
        <v>3200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>
      <c r="B12" s="549">
        <v>46200</v>
      </c>
      <c r="C12" s="548" t="s">
        <v>3544</v>
      </c>
      <c r="D12" s="548" t="s">
        <v>3588</v>
      </c>
      <c r="E12" s="550">
        <v>3.84</v>
      </c>
      <c r="F12" s="867" t="s">
        <v>75</v>
      </c>
      <c r="G12" s="1038" t="s">
        <v>3231</v>
      </c>
      <c r="H12" s="1030" t="s">
        <v>3947</v>
      </c>
      <c r="I12" s="548" t="s">
        <v>3193</v>
      </c>
      <c r="J12" s="843" t="s">
        <v>390</v>
      </c>
      <c r="K12" s="548" t="s">
        <v>3189</v>
      </c>
      <c r="L12" s="843" t="s">
        <v>3200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>
      <c r="B13" s="549">
        <v>46201</v>
      </c>
      <c r="C13" s="548" t="s">
        <v>3536</v>
      </c>
      <c r="D13" s="548" t="s">
        <v>3198</v>
      </c>
      <c r="E13" s="550">
        <v>5.2</v>
      </c>
      <c r="F13" s="867" t="s">
        <v>3584</v>
      </c>
      <c r="G13" s="1038" t="s">
        <v>3231</v>
      </c>
      <c r="H13" s="1030" t="s">
        <v>3948</v>
      </c>
      <c r="I13" s="548" t="s">
        <v>3193</v>
      </c>
      <c r="J13" s="843" t="s">
        <v>390</v>
      </c>
      <c r="K13" s="548" t="s">
        <v>3189</v>
      </c>
      <c r="L13" s="843" t="s">
        <v>3200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>
      <c r="B14" s="549">
        <v>46201</v>
      </c>
      <c r="C14" s="548" t="s">
        <v>3542</v>
      </c>
      <c r="D14" s="548" t="s">
        <v>3197</v>
      </c>
      <c r="E14" s="550">
        <v>3.3</v>
      </c>
      <c r="F14" s="867" t="s">
        <v>3583</v>
      </c>
      <c r="G14" s="1038" t="s">
        <v>3231</v>
      </c>
      <c r="H14" s="1030" t="s">
        <v>3947</v>
      </c>
      <c r="I14" s="548" t="s">
        <v>3193</v>
      </c>
      <c r="J14" s="843" t="s">
        <v>390</v>
      </c>
      <c r="K14" s="548" t="s">
        <v>3190</v>
      </c>
      <c r="L14" s="843" t="s">
        <v>3192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>
      <c r="B15" s="549">
        <v>46201</v>
      </c>
      <c r="C15" s="548" t="s">
        <v>3539</v>
      </c>
      <c r="D15" s="548" t="s">
        <v>3197</v>
      </c>
      <c r="E15" s="550">
        <v>5</v>
      </c>
      <c r="F15" s="867" t="s">
        <v>3583</v>
      </c>
      <c r="G15" s="1038" t="s">
        <v>3231</v>
      </c>
      <c r="H15" s="1030" t="s">
        <v>3948</v>
      </c>
      <c r="I15" s="548" t="s">
        <v>3193</v>
      </c>
      <c r="J15" s="843" t="s">
        <v>390</v>
      </c>
      <c r="K15" s="548" t="s">
        <v>3190</v>
      </c>
      <c r="L15" s="843" t="s">
        <v>3192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>
      <c r="B16" s="549">
        <v>46201</v>
      </c>
      <c r="C16" s="548" t="s">
        <v>3538</v>
      </c>
      <c r="D16" s="548" t="s">
        <v>3197</v>
      </c>
      <c r="E16" s="550">
        <v>3.45</v>
      </c>
      <c r="F16" s="867" t="s">
        <v>75</v>
      </c>
      <c r="G16" s="1038" t="s">
        <v>3231</v>
      </c>
      <c r="H16" s="1030" t="s">
        <v>3947</v>
      </c>
      <c r="I16" s="548" t="s">
        <v>3193</v>
      </c>
      <c r="J16" s="843" t="s">
        <v>390</v>
      </c>
      <c r="K16" s="548" t="s">
        <v>3190</v>
      </c>
      <c r="L16" s="843" t="s">
        <v>3192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>
      <c r="B17" s="549">
        <v>46202</v>
      </c>
      <c r="C17" s="548" t="s">
        <v>3592</v>
      </c>
      <c r="D17" s="548" t="s">
        <v>3291</v>
      </c>
      <c r="E17" s="550">
        <v>5.5</v>
      </c>
      <c r="F17" s="867" t="s">
        <v>3214</v>
      </c>
      <c r="G17" s="1038" t="s">
        <v>3231</v>
      </c>
      <c r="H17" s="1030" t="s">
        <v>3948</v>
      </c>
      <c r="I17" s="548" t="s">
        <v>3288</v>
      </c>
      <c r="J17" s="843" t="s">
        <v>3350</v>
      </c>
      <c r="K17" s="548" t="s">
        <v>3189</v>
      </c>
      <c r="L17" s="843" t="s">
        <v>3192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>
      <c r="B18" s="549">
        <v>46203</v>
      </c>
      <c r="C18" s="548" t="s">
        <v>3600</v>
      </c>
      <c r="D18" s="548" t="s">
        <v>3291</v>
      </c>
      <c r="E18" s="550">
        <v>2.96</v>
      </c>
      <c r="F18" s="867" t="s">
        <v>3583</v>
      </c>
      <c r="G18" s="1038" t="s">
        <v>3231</v>
      </c>
      <c r="H18" s="1030" t="s">
        <v>3947</v>
      </c>
      <c r="I18" s="548" t="s">
        <v>3193</v>
      </c>
      <c r="J18" s="843" t="s">
        <v>3350</v>
      </c>
      <c r="K18" s="548" t="s">
        <v>3190</v>
      </c>
      <c r="L18" s="843" t="s">
        <v>3192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>
      <c r="B19" s="549">
        <v>46204</v>
      </c>
      <c r="C19" s="548" t="s">
        <v>3607</v>
      </c>
      <c r="D19" s="548" t="s">
        <v>3291</v>
      </c>
      <c r="E19" s="550">
        <v>5.4</v>
      </c>
      <c r="F19" s="867" t="s">
        <v>3583</v>
      </c>
      <c r="G19" s="1038" t="s">
        <v>3231</v>
      </c>
      <c r="H19" s="1030" t="s">
        <v>3948</v>
      </c>
      <c r="I19" s="548" t="s">
        <v>3288</v>
      </c>
      <c r="J19" s="843" t="s">
        <v>3350</v>
      </c>
      <c r="K19" s="548" t="s">
        <v>3189</v>
      </c>
      <c r="L19" s="843" t="s">
        <v>3200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>
      <c r="B20" s="549">
        <v>46205</v>
      </c>
      <c r="C20" s="548" t="s">
        <v>3625</v>
      </c>
      <c r="D20" s="548" t="s">
        <v>3197</v>
      </c>
      <c r="E20" s="550">
        <v>3.55</v>
      </c>
      <c r="F20" s="867" t="s">
        <v>75</v>
      </c>
      <c r="G20" s="1038" t="s">
        <v>3231</v>
      </c>
      <c r="H20" s="1030" t="s">
        <v>3948</v>
      </c>
      <c r="I20" s="548" t="s">
        <v>3193</v>
      </c>
      <c r="J20" s="843" t="s">
        <v>390</v>
      </c>
      <c r="K20" s="548" t="s">
        <v>3190</v>
      </c>
      <c r="L20" s="843" t="s">
        <v>3192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>
      <c r="B21" s="549">
        <v>46205</v>
      </c>
      <c r="C21" s="548" t="s">
        <v>3623</v>
      </c>
      <c r="D21" s="548" t="s">
        <v>3291</v>
      </c>
      <c r="E21" s="550">
        <v>3.8</v>
      </c>
      <c r="F21" s="867" t="s">
        <v>3635</v>
      </c>
      <c r="G21" s="1038" t="s">
        <v>3231</v>
      </c>
      <c r="H21" s="1030" t="s">
        <v>3947</v>
      </c>
      <c r="I21" s="548" t="s">
        <v>3193</v>
      </c>
      <c r="J21" s="843" t="s">
        <v>3350</v>
      </c>
      <c r="K21" s="548" t="s">
        <v>3190</v>
      </c>
      <c r="L21" s="843" t="s">
        <v>3192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>
      <c r="B22" s="549">
        <v>46205</v>
      </c>
      <c r="C22" s="548" t="s">
        <v>3622</v>
      </c>
      <c r="D22" s="548" t="s">
        <v>3197</v>
      </c>
      <c r="E22" s="550">
        <v>6.8</v>
      </c>
      <c r="F22" s="867" t="s">
        <v>3584</v>
      </c>
      <c r="G22" s="1038" t="s">
        <v>3231</v>
      </c>
      <c r="H22" s="1030" t="s">
        <v>3948</v>
      </c>
      <c r="I22" s="548" t="s">
        <v>3288</v>
      </c>
      <c r="J22" s="843" t="s">
        <v>390</v>
      </c>
      <c r="K22" s="548" t="s">
        <v>3189</v>
      </c>
      <c r="L22" s="843" t="s">
        <v>3192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>
      <c r="B23" s="549">
        <v>46206</v>
      </c>
      <c r="C23" s="548" t="s">
        <v>3645</v>
      </c>
      <c r="D23" s="548" t="s">
        <v>3587</v>
      </c>
      <c r="E23" s="550">
        <v>5.87</v>
      </c>
      <c r="F23" s="867" t="s">
        <v>3583</v>
      </c>
      <c r="G23" s="1038" t="s">
        <v>3231</v>
      </c>
      <c r="H23" s="1030" t="s">
        <v>3947</v>
      </c>
      <c r="I23" s="548" t="s">
        <v>3193</v>
      </c>
      <c r="J23" s="843" t="s">
        <v>390</v>
      </c>
      <c r="K23" s="548" t="s">
        <v>3189</v>
      </c>
      <c r="L23" s="843" t="s">
        <v>3200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>
      <c r="B24" s="549">
        <v>46206</v>
      </c>
      <c r="C24" s="548" t="s">
        <v>3669</v>
      </c>
      <c r="D24" s="548" t="s">
        <v>3291</v>
      </c>
      <c r="E24" s="550">
        <v>4.5</v>
      </c>
      <c r="F24" s="867" t="s">
        <v>3584</v>
      </c>
      <c r="G24" s="1038" t="s">
        <v>3231</v>
      </c>
      <c r="H24" s="1030" t="s">
        <v>3948</v>
      </c>
      <c r="I24" s="548" t="s">
        <v>3193</v>
      </c>
      <c r="J24" s="1024" t="s">
        <v>3350</v>
      </c>
      <c r="K24" s="1024" t="s">
        <v>3190</v>
      </c>
      <c r="L24" s="1024" t="s">
        <v>3192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>
      <c r="B25" s="549">
        <v>46207</v>
      </c>
      <c r="C25" s="548" t="s">
        <v>3661</v>
      </c>
      <c r="D25" s="548" t="s">
        <v>3291</v>
      </c>
      <c r="E25" s="550">
        <v>3.45</v>
      </c>
      <c r="F25" s="867" t="s">
        <v>3347</v>
      </c>
      <c r="G25" s="1038" t="s">
        <v>3231</v>
      </c>
      <c r="H25" s="1030" t="s">
        <v>3947</v>
      </c>
      <c r="I25" s="548" t="s">
        <v>3193</v>
      </c>
      <c r="J25" s="843" t="s">
        <v>3350</v>
      </c>
      <c r="K25" s="548" t="s">
        <v>3190</v>
      </c>
      <c r="L25" s="843" t="s">
        <v>3192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>
      <c r="B26" s="549">
        <v>46207</v>
      </c>
      <c r="C26" s="548" t="s">
        <v>3660</v>
      </c>
      <c r="D26" s="548" t="s">
        <v>3197</v>
      </c>
      <c r="E26" s="550">
        <v>3.45</v>
      </c>
      <c r="F26" s="867" t="s">
        <v>3583</v>
      </c>
      <c r="G26" s="1038" t="s">
        <v>3231</v>
      </c>
      <c r="H26" s="1030" t="s">
        <v>3947</v>
      </c>
      <c r="I26" s="548" t="s">
        <v>3193</v>
      </c>
      <c r="J26" s="843" t="s">
        <v>390</v>
      </c>
      <c r="K26" s="548" t="s">
        <v>3190</v>
      </c>
      <c r="L26" s="843" t="s">
        <v>3200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>
      <c r="B27" s="549">
        <v>46207</v>
      </c>
      <c r="C27" s="548" t="s">
        <v>3664</v>
      </c>
      <c r="D27" s="548" t="s">
        <v>3588</v>
      </c>
      <c r="E27" s="550">
        <v>6.8</v>
      </c>
      <c r="F27" s="904" t="s">
        <v>3583</v>
      </c>
      <c r="G27" s="1038" t="s">
        <v>3231</v>
      </c>
      <c r="H27" s="1030" t="s">
        <v>3948</v>
      </c>
      <c r="I27" s="548" t="s">
        <v>3288</v>
      </c>
      <c r="J27" s="843" t="s">
        <v>390</v>
      </c>
      <c r="K27" s="548" t="s">
        <v>3189</v>
      </c>
      <c r="L27" s="843" t="s">
        <v>3192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>
      <c r="B28" s="549">
        <v>46207</v>
      </c>
      <c r="C28" s="548" t="s">
        <v>3659</v>
      </c>
      <c r="D28" s="548" t="s">
        <v>3197</v>
      </c>
      <c r="E28" s="550">
        <v>3.45</v>
      </c>
      <c r="F28" s="904" t="s">
        <v>3584</v>
      </c>
      <c r="G28" s="1038" t="s">
        <v>3231</v>
      </c>
      <c r="H28" s="1030" t="s">
        <v>3947</v>
      </c>
      <c r="I28" s="548" t="s">
        <v>3193</v>
      </c>
      <c r="J28" s="843" t="s">
        <v>390</v>
      </c>
      <c r="K28" s="548" t="s">
        <v>3190</v>
      </c>
      <c r="L28" s="843" t="s">
        <v>3192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>
      <c r="B29" s="549">
        <v>46209</v>
      </c>
      <c r="C29" s="548" t="s">
        <v>3676</v>
      </c>
      <c r="D29" s="548" t="s">
        <v>3197</v>
      </c>
      <c r="E29" s="550">
        <v>3.65</v>
      </c>
      <c r="F29" s="904" t="s">
        <v>3583</v>
      </c>
      <c r="G29" s="1038" t="s">
        <v>3231</v>
      </c>
      <c r="H29" s="1030" t="s">
        <v>3947</v>
      </c>
      <c r="I29" s="548" t="s">
        <v>3193</v>
      </c>
      <c r="J29" s="843" t="s">
        <v>390</v>
      </c>
      <c r="K29" s="548" t="s">
        <v>3190</v>
      </c>
      <c r="L29" s="843" t="s">
        <v>3192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>
      <c r="B30" s="549">
        <v>46210</v>
      </c>
      <c r="C30" s="548" t="s">
        <v>3679</v>
      </c>
      <c r="D30" s="548" t="s">
        <v>3291</v>
      </c>
      <c r="E30" s="550">
        <v>5.0999999999999996</v>
      </c>
      <c r="F30" s="904" t="s">
        <v>3347</v>
      </c>
      <c r="G30" s="1038" t="s">
        <v>3231</v>
      </c>
      <c r="H30" s="1030" t="s">
        <v>3948</v>
      </c>
      <c r="I30" s="548" t="s">
        <v>3288</v>
      </c>
      <c r="J30" s="843" t="s">
        <v>3350</v>
      </c>
      <c r="K30" s="548" t="s">
        <v>3190</v>
      </c>
      <c r="L30" s="843" t="s">
        <v>3192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>
      <c r="B31" s="549">
        <v>46212</v>
      </c>
      <c r="C31" s="548" t="s">
        <v>3687</v>
      </c>
      <c r="D31" s="548" t="s">
        <v>3291</v>
      </c>
      <c r="E31" s="550">
        <v>4</v>
      </c>
      <c r="F31" s="904" t="s">
        <v>3583</v>
      </c>
      <c r="G31" s="1038" t="s">
        <v>3231</v>
      </c>
      <c r="H31" s="1030" t="s">
        <v>3948</v>
      </c>
      <c r="I31" s="548" t="s">
        <v>3193</v>
      </c>
      <c r="J31" s="843" t="s">
        <v>3350</v>
      </c>
      <c r="K31" s="548" t="s">
        <v>3190</v>
      </c>
      <c r="L31" s="843" t="s">
        <v>3192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>
      <c r="B32" s="549">
        <v>46213</v>
      </c>
      <c r="C32" s="548" t="s">
        <v>3713</v>
      </c>
      <c r="D32" s="548" t="s">
        <v>3588</v>
      </c>
      <c r="E32" s="550">
        <v>4.3</v>
      </c>
      <c r="F32" s="904" t="s">
        <v>3584</v>
      </c>
      <c r="G32" s="1038" t="s">
        <v>3231</v>
      </c>
      <c r="H32" s="1030" t="s">
        <v>3947</v>
      </c>
      <c r="I32" s="548" t="s">
        <v>3193</v>
      </c>
      <c r="J32" s="843" t="s">
        <v>390</v>
      </c>
      <c r="K32" s="548" t="s">
        <v>3189</v>
      </c>
      <c r="L32" s="843" t="s">
        <v>3200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>
      <c r="B33" s="549">
        <v>46213</v>
      </c>
      <c r="C33" s="548" t="s">
        <v>3710</v>
      </c>
      <c r="D33" s="548" t="s">
        <v>3287</v>
      </c>
      <c r="E33" s="550">
        <v>4.0999999999999996</v>
      </c>
      <c r="F33" s="904" t="s">
        <v>3589</v>
      </c>
      <c r="G33" s="1038" t="s">
        <v>3231</v>
      </c>
      <c r="H33" s="1030" t="s">
        <v>3947</v>
      </c>
      <c r="I33" s="548" t="s">
        <v>3193</v>
      </c>
      <c r="J33" s="843" t="s">
        <v>390</v>
      </c>
      <c r="K33" s="548" t="s">
        <v>3189</v>
      </c>
      <c r="L33" s="843" t="s">
        <v>3200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>
      <c r="B34" s="549">
        <v>46213</v>
      </c>
      <c r="C34" s="548" t="s">
        <v>3703</v>
      </c>
      <c r="D34" s="548" t="s">
        <v>3197</v>
      </c>
      <c r="E34" s="550">
        <v>3.35</v>
      </c>
      <c r="F34" s="904" t="s">
        <v>3347</v>
      </c>
      <c r="G34" s="1038" t="s">
        <v>3231</v>
      </c>
      <c r="H34" s="1030" t="s">
        <v>3947</v>
      </c>
      <c r="I34" s="548" t="s">
        <v>3193</v>
      </c>
      <c r="J34" s="843" t="s">
        <v>390</v>
      </c>
      <c r="K34" s="548" t="s">
        <v>3190</v>
      </c>
      <c r="L34" s="843" t="s">
        <v>3192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>
      <c r="B35" s="549">
        <v>46214</v>
      </c>
      <c r="C35" s="548" t="s">
        <v>3698</v>
      </c>
      <c r="D35" s="548" t="s">
        <v>3588</v>
      </c>
      <c r="E35" s="550">
        <v>6.2</v>
      </c>
      <c r="F35" s="904" t="s">
        <v>3635</v>
      </c>
      <c r="G35" s="1038" t="s">
        <v>3231</v>
      </c>
      <c r="H35" s="1030" t="s">
        <v>3948</v>
      </c>
      <c r="I35" s="548" t="s">
        <v>3288</v>
      </c>
      <c r="J35" s="843" t="s">
        <v>390</v>
      </c>
      <c r="K35" s="548" t="s">
        <v>3189</v>
      </c>
      <c r="L35" s="843" t="s">
        <v>3200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>
      <c r="B36" s="549">
        <v>46214</v>
      </c>
      <c r="C36" s="548" t="s">
        <v>3696</v>
      </c>
      <c r="D36" s="548" t="s">
        <v>3719</v>
      </c>
      <c r="E36" s="550">
        <v>4.2</v>
      </c>
      <c r="F36" s="904" t="s">
        <v>3583</v>
      </c>
      <c r="G36" s="1038" t="s">
        <v>3231</v>
      </c>
      <c r="H36" s="1030" t="s">
        <v>3947</v>
      </c>
      <c r="I36" s="548" t="s">
        <v>3193</v>
      </c>
      <c r="J36" s="843" t="s">
        <v>390</v>
      </c>
      <c r="K36" s="548" t="s">
        <v>3189</v>
      </c>
      <c r="L36" s="843" t="s">
        <v>3200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>
      <c r="B37" s="549">
        <v>46214</v>
      </c>
      <c r="C37" s="548" t="s">
        <v>3691</v>
      </c>
      <c r="D37" s="548" t="s">
        <v>3291</v>
      </c>
      <c r="E37" s="550">
        <v>4.0999999999999996</v>
      </c>
      <c r="F37" s="904" t="s">
        <v>3214</v>
      </c>
      <c r="G37" s="1038" t="s">
        <v>3231</v>
      </c>
      <c r="H37" s="1030" t="s">
        <v>3948</v>
      </c>
      <c r="I37" s="548" t="s">
        <v>3193</v>
      </c>
      <c r="J37" s="843" t="s">
        <v>3350</v>
      </c>
      <c r="K37" s="548" t="s">
        <v>3189</v>
      </c>
      <c r="L37" s="843" t="s">
        <v>3200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>
      <c r="B38" s="549">
        <v>46215</v>
      </c>
      <c r="C38" s="548" t="s">
        <v>3731</v>
      </c>
      <c r="D38" s="548" t="s">
        <v>3291</v>
      </c>
      <c r="E38" s="550">
        <v>3.61</v>
      </c>
      <c r="F38" s="904" t="s">
        <v>3214</v>
      </c>
      <c r="G38" s="1038" t="s">
        <v>3231</v>
      </c>
      <c r="H38" s="1030" t="s">
        <v>3948</v>
      </c>
      <c r="I38" s="548" t="s">
        <v>3193</v>
      </c>
      <c r="J38" s="843" t="s">
        <v>3350</v>
      </c>
      <c r="K38" s="548" t="s">
        <v>3190</v>
      </c>
      <c r="L38" s="843" t="s">
        <v>3192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>
      <c r="B39" s="549">
        <v>46215</v>
      </c>
      <c r="C39" s="548" t="s">
        <v>3729</v>
      </c>
      <c r="D39" s="548" t="s">
        <v>3746</v>
      </c>
      <c r="E39" s="550">
        <v>5.6</v>
      </c>
      <c r="F39" s="904" t="s">
        <v>3583</v>
      </c>
      <c r="G39" s="1038" t="s">
        <v>3231</v>
      </c>
      <c r="H39" s="1030" t="s">
        <v>3948</v>
      </c>
      <c r="I39" s="548" t="s">
        <v>3288</v>
      </c>
      <c r="J39" s="843" t="s">
        <v>390</v>
      </c>
      <c r="K39" s="548" t="s">
        <v>3189</v>
      </c>
      <c r="L39" s="843" t="s">
        <v>3200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>
      <c r="B40" s="549">
        <v>46215</v>
      </c>
      <c r="C40" s="548" t="s">
        <v>3727</v>
      </c>
      <c r="D40" s="548" t="s">
        <v>3746</v>
      </c>
      <c r="E40" s="550">
        <v>4.2</v>
      </c>
      <c r="F40" s="904" t="s">
        <v>3583</v>
      </c>
      <c r="G40" s="1038" t="s">
        <v>3231</v>
      </c>
      <c r="H40" s="1030" t="s">
        <v>3947</v>
      </c>
      <c r="I40" s="548" t="s">
        <v>3193</v>
      </c>
      <c r="J40" s="843" t="s">
        <v>390</v>
      </c>
      <c r="K40" s="548" t="s">
        <v>3189</v>
      </c>
      <c r="L40" s="843" t="s">
        <v>3200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>
      <c r="B41" s="549">
        <v>46215</v>
      </c>
      <c r="C41" s="548" t="s">
        <v>3722</v>
      </c>
      <c r="D41" s="548" t="s">
        <v>3744</v>
      </c>
      <c r="E41" s="550">
        <v>5.8</v>
      </c>
      <c r="F41" s="904" t="s">
        <v>3635</v>
      </c>
      <c r="G41" s="1038" t="s">
        <v>3231</v>
      </c>
      <c r="H41" s="1030" t="s">
        <v>3947</v>
      </c>
      <c r="I41" s="548" t="s">
        <v>3288</v>
      </c>
      <c r="J41" s="843" t="s">
        <v>390</v>
      </c>
      <c r="K41" s="548" t="s">
        <v>3189</v>
      </c>
      <c r="L41" s="843" t="s">
        <v>3200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>
      <c r="B42" s="549">
        <v>46216</v>
      </c>
      <c r="C42" s="548" t="s">
        <v>3750</v>
      </c>
      <c r="D42" s="548" t="s">
        <v>3744</v>
      </c>
      <c r="E42" s="550">
        <v>7.8</v>
      </c>
      <c r="F42" s="904" t="s">
        <v>3583</v>
      </c>
      <c r="G42" s="1038" t="s">
        <v>3231</v>
      </c>
      <c r="H42" s="1030" t="s">
        <v>3948</v>
      </c>
      <c r="I42" s="548" t="s">
        <v>3288</v>
      </c>
      <c r="J42" s="843" t="s">
        <v>390</v>
      </c>
      <c r="K42" s="548" t="s">
        <v>3189</v>
      </c>
      <c r="L42" s="843" t="s">
        <v>3192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>
      <c r="B43" s="549">
        <v>46217</v>
      </c>
      <c r="C43" s="548" t="s">
        <v>3756</v>
      </c>
      <c r="D43" s="548" t="s">
        <v>3767</v>
      </c>
      <c r="E43" s="550">
        <v>5.5</v>
      </c>
      <c r="F43" s="904" t="s">
        <v>3583</v>
      </c>
      <c r="G43" s="1038" t="s">
        <v>3231</v>
      </c>
      <c r="H43" s="1030" t="s">
        <v>3948</v>
      </c>
      <c r="I43" s="548" t="s">
        <v>3193</v>
      </c>
      <c r="J43" s="843" t="s">
        <v>390</v>
      </c>
      <c r="K43" s="548" t="s">
        <v>3190</v>
      </c>
      <c r="L43" s="843" t="s">
        <v>3192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>
      <c r="B44" s="549">
        <v>46217</v>
      </c>
      <c r="C44" s="548" t="s">
        <v>3755</v>
      </c>
      <c r="D44" s="548" t="s">
        <v>3767</v>
      </c>
      <c r="E44" s="550">
        <v>6.4</v>
      </c>
      <c r="F44" s="904" t="s">
        <v>3635</v>
      </c>
      <c r="G44" s="1038" t="s">
        <v>3231</v>
      </c>
      <c r="H44" s="1030" t="s">
        <v>3948</v>
      </c>
      <c r="I44" s="548" t="s">
        <v>3288</v>
      </c>
      <c r="J44" s="843" t="s">
        <v>390</v>
      </c>
      <c r="K44" s="548" t="s">
        <v>3189</v>
      </c>
      <c r="L44" s="843" t="s">
        <v>3192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>
      <c r="B45" s="549">
        <v>46218</v>
      </c>
      <c r="C45" s="548" t="s">
        <v>3775</v>
      </c>
      <c r="D45" s="548" t="s">
        <v>3767</v>
      </c>
      <c r="E45" s="550">
        <v>6.4</v>
      </c>
      <c r="F45" s="904" t="s">
        <v>75</v>
      </c>
      <c r="G45" s="1038" t="s">
        <v>3231</v>
      </c>
      <c r="H45" s="1030" t="s">
        <v>3948</v>
      </c>
      <c r="I45" s="548" t="s">
        <v>3288</v>
      </c>
      <c r="J45" s="843" t="s">
        <v>390</v>
      </c>
      <c r="K45" s="548" t="s">
        <v>3189</v>
      </c>
      <c r="L45" s="843" t="s">
        <v>3192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>
      <c r="B46" s="549">
        <v>46218</v>
      </c>
      <c r="C46" s="548" t="s">
        <v>3770</v>
      </c>
      <c r="D46" s="548" t="s">
        <v>3780</v>
      </c>
      <c r="E46" s="550">
        <v>4.2</v>
      </c>
      <c r="F46" s="904" t="s">
        <v>3214</v>
      </c>
      <c r="G46" s="1038" t="s">
        <v>3231</v>
      </c>
      <c r="H46" s="1030" t="s">
        <v>3948</v>
      </c>
      <c r="I46" s="548" t="s">
        <v>3193</v>
      </c>
      <c r="J46" s="843" t="s">
        <v>390</v>
      </c>
      <c r="K46" s="548" t="s">
        <v>3190</v>
      </c>
      <c r="L46" s="843" t="s">
        <v>3192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>
      <c r="B47" s="549">
        <v>46219</v>
      </c>
      <c r="C47" s="548" t="s">
        <v>3792</v>
      </c>
      <c r="D47" s="548" t="s">
        <v>3797</v>
      </c>
      <c r="E47" s="550">
        <v>5</v>
      </c>
      <c r="F47" s="904" t="s">
        <v>3583</v>
      </c>
      <c r="G47" s="1038" t="s">
        <v>3231</v>
      </c>
      <c r="H47" s="1030" t="s">
        <v>3948</v>
      </c>
      <c r="I47" s="548" t="s">
        <v>3288</v>
      </c>
      <c r="J47" s="843" t="s">
        <v>390</v>
      </c>
      <c r="K47" s="548" t="s">
        <v>3189</v>
      </c>
      <c r="L47" s="843" t="s">
        <v>3192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>
      <c r="B48" s="549">
        <v>46219</v>
      </c>
      <c r="C48" s="548" t="s">
        <v>3789</v>
      </c>
      <c r="D48" s="548" t="s">
        <v>1216</v>
      </c>
      <c r="E48" s="550">
        <v>6</v>
      </c>
      <c r="F48" s="904" t="s">
        <v>3583</v>
      </c>
      <c r="G48" s="1038" t="s">
        <v>3231</v>
      </c>
      <c r="H48" s="1030" t="s">
        <v>3948</v>
      </c>
      <c r="I48" s="548" t="s">
        <v>3193</v>
      </c>
      <c r="J48" s="843" t="s">
        <v>390</v>
      </c>
      <c r="K48" s="548" t="s">
        <v>3189</v>
      </c>
      <c r="L48" s="843" t="s">
        <v>3200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>
      <c r="B49" s="549">
        <v>46220</v>
      </c>
      <c r="C49" s="548" t="s">
        <v>3810</v>
      </c>
      <c r="D49" s="548" t="s">
        <v>3818</v>
      </c>
      <c r="E49" s="550">
        <v>6</v>
      </c>
      <c r="F49" s="904" t="s">
        <v>3214</v>
      </c>
      <c r="G49" s="1038" t="s">
        <v>3231</v>
      </c>
      <c r="H49" s="1030" t="s">
        <v>3948</v>
      </c>
      <c r="I49" s="548" t="s">
        <v>3288</v>
      </c>
      <c r="J49" s="843" t="s">
        <v>390</v>
      </c>
      <c r="K49" s="548" t="s">
        <v>3189</v>
      </c>
      <c r="L49" s="843" t="s">
        <v>3200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>
      <c r="B50" s="549">
        <v>46220</v>
      </c>
      <c r="C50" s="548" t="s">
        <v>3803</v>
      </c>
      <c r="D50" s="548" t="s">
        <v>3197</v>
      </c>
      <c r="E50" s="550">
        <v>3.05</v>
      </c>
      <c r="F50" s="904" t="s">
        <v>3583</v>
      </c>
      <c r="G50" s="1038" t="s">
        <v>3231</v>
      </c>
      <c r="H50" s="1030" t="s">
        <v>3947</v>
      </c>
      <c r="I50" s="548" t="s">
        <v>3193</v>
      </c>
      <c r="J50" s="843" t="s">
        <v>390</v>
      </c>
      <c r="K50" s="548" t="s">
        <v>3190</v>
      </c>
      <c r="L50" s="843" t="s">
        <v>3192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>
      <c r="B51" s="549">
        <v>46220</v>
      </c>
      <c r="C51" s="548" t="s">
        <v>3799</v>
      </c>
      <c r="D51" s="548" t="s">
        <v>3841</v>
      </c>
      <c r="E51" s="550">
        <v>3.65</v>
      </c>
      <c r="F51" s="904" t="s">
        <v>3214</v>
      </c>
      <c r="G51" s="1038" t="s">
        <v>3231</v>
      </c>
      <c r="H51" s="1030" t="s">
        <v>3947</v>
      </c>
      <c r="I51" s="548" t="s">
        <v>3193</v>
      </c>
      <c r="J51" s="843" t="s">
        <v>390</v>
      </c>
      <c r="K51" s="548" t="s">
        <v>3190</v>
      </c>
      <c r="L51" s="843" t="s">
        <v>3200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>
      <c r="B52" s="549">
        <v>46221</v>
      </c>
      <c r="C52" s="548" t="s">
        <v>3836</v>
      </c>
      <c r="D52" s="548" t="s">
        <v>3818</v>
      </c>
      <c r="E52" s="550">
        <v>5.4</v>
      </c>
      <c r="F52" s="904" t="s">
        <v>75</v>
      </c>
      <c r="G52" s="1038" t="s">
        <v>3231</v>
      </c>
      <c r="H52" s="1030" t="s">
        <v>3948</v>
      </c>
      <c r="I52" s="548" t="s">
        <v>3288</v>
      </c>
      <c r="J52" s="843" t="s">
        <v>390</v>
      </c>
      <c r="K52" s="548" t="s">
        <v>3189</v>
      </c>
      <c r="L52" s="843" t="s">
        <v>3200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>
      <c r="B53" s="549">
        <v>46221</v>
      </c>
      <c r="C53" s="548" t="s">
        <v>3833</v>
      </c>
      <c r="D53" s="548" t="s">
        <v>3746</v>
      </c>
      <c r="E53" s="550">
        <v>4.4000000000000004</v>
      </c>
      <c r="F53" s="904" t="s">
        <v>3635</v>
      </c>
      <c r="G53" s="1038" t="s">
        <v>3231</v>
      </c>
      <c r="H53" s="1030" t="s">
        <v>3947</v>
      </c>
      <c r="I53" s="548" t="s">
        <v>3193</v>
      </c>
      <c r="J53" s="843" t="s">
        <v>390</v>
      </c>
      <c r="K53" s="548" t="s">
        <v>3189</v>
      </c>
      <c r="L53" s="843" t="s">
        <v>3200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>
      <c r="B54" s="549">
        <v>46221</v>
      </c>
      <c r="C54" s="548" t="s">
        <v>3829</v>
      </c>
      <c r="D54" s="548" t="s">
        <v>3719</v>
      </c>
      <c r="E54" s="550">
        <v>6.8</v>
      </c>
      <c r="F54" s="904" t="s">
        <v>3635</v>
      </c>
      <c r="G54" s="1038" t="s">
        <v>3231</v>
      </c>
      <c r="H54" s="1030" t="s">
        <v>3948</v>
      </c>
      <c r="I54" s="548" t="s">
        <v>3288</v>
      </c>
      <c r="J54" s="843" t="s">
        <v>390</v>
      </c>
      <c r="K54" s="548" t="s">
        <v>3189</v>
      </c>
      <c r="L54" s="843" t="s">
        <v>3200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>
      <c r="B55" s="549">
        <v>46221</v>
      </c>
      <c r="C55" s="548" t="s">
        <v>3827</v>
      </c>
      <c r="D55" s="548" t="s">
        <v>3719</v>
      </c>
      <c r="E55" s="550">
        <v>4.3</v>
      </c>
      <c r="F55" s="904" t="s">
        <v>3347</v>
      </c>
      <c r="G55" s="1038" t="s">
        <v>3231</v>
      </c>
      <c r="H55" s="1030" t="s">
        <v>3947</v>
      </c>
      <c r="I55" s="548" t="s">
        <v>3193</v>
      </c>
      <c r="J55" s="843" t="s">
        <v>390</v>
      </c>
      <c r="K55" s="548" t="s">
        <v>3189</v>
      </c>
      <c r="L55" s="843" t="s">
        <v>3200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>
      <c r="B56" s="549">
        <v>46221</v>
      </c>
      <c r="C56" s="548" t="s">
        <v>3824</v>
      </c>
      <c r="D56" s="548" t="s">
        <v>3197</v>
      </c>
      <c r="E56" s="550">
        <v>3.4</v>
      </c>
      <c r="F56" s="904" t="s">
        <v>3583</v>
      </c>
      <c r="G56" s="1038" t="s">
        <v>3231</v>
      </c>
      <c r="H56" s="1030" t="s">
        <v>3948</v>
      </c>
      <c r="I56" s="548" t="s">
        <v>3193</v>
      </c>
      <c r="J56" s="843" t="s">
        <v>390</v>
      </c>
      <c r="K56" s="548" t="s">
        <v>3190</v>
      </c>
      <c r="L56" s="843" t="s">
        <v>3192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>
      <c r="B57" s="549">
        <v>46221</v>
      </c>
      <c r="C57" s="548" t="s">
        <v>3822</v>
      </c>
      <c r="D57" s="548" t="s">
        <v>3197</v>
      </c>
      <c r="E57" s="550">
        <v>3.25</v>
      </c>
      <c r="F57" s="904" t="s">
        <v>75</v>
      </c>
      <c r="G57" s="1038" t="s">
        <v>3231</v>
      </c>
      <c r="H57" s="1030" t="s">
        <v>3947</v>
      </c>
      <c r="I57" s="548" t="s">
        <v>3193</v>
      </c>
      <c r="J57" s="843" t="s">
        <v>390</v>
      </c>
      <c r="K57" s="548" t="s">
        <v>3190</v>
      </c>
      <c r="L57" s="843" t="s">
        <v>3192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>
      <c r="B58" s="549">
        <v>46222</v>
      </c>
      <c r="C58" s="548" t="s">
        <v>3843</v>
      </c>
      <c r="D58" s="548" t="s">
        <v>3746</v>
      </c>
      <c r="E58" s="550">
        <v>7.8</v>
      </c>
      <c r="F58" s="904" t="s">
        <v>3583</v>
      </c>
      <c r="G58" s="1038" t="s">
        <v>3231</v>
      </c>
      <c r="H58" s="1030" t="s">
        <v>3948</v>
      </c>
      <c r="I58" s="548" t="s">
        <v>3288</v>
      </c>
      <c r="J58" s="843" t="s">
        <v>390</v>
      </c>
      <c r="K58" s="548" t="s">
        <v>3189</v>
      </c>
      <c r="L58" s="843" t="s">
        <v>3192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>
      <c r="B59" s="549">
        <v>46222</v>
      </c>
      <c r="C59" s="548" t="s">
        <v>3842</v>
      </c>
      <c r="D59" s="548" t="s">
        <v>3862</v>
      </c>
      <c r="E59" s="550">
        <v>5.2</v>
      </c>
      <c r="F59" s="904" t="s">
        <v>3635</v>
      </c>
      <c r="G59" s="1038" t="s">
        <v>3231</v>
      </c>
      <c r="H59" s="1030" t="s">
        <v>3948</v>
      </c>
      <c r="I59" s="548" t="s">
        <v>3193</v>
      </c>
      <c r="J59" s="843" t="s">
        <v>390</v>
      </c>
      <c r="K59" s="548" t="s">
        <v>3189</v>
      </c>
      <c r="L59" s="843" t="s">
        <v>3192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>
      <c r="B60" s="549">
        <v>46222</v>
      </c>
      <c r="C60" s="548" t="s">
        <v>3844</v>
      </c>
      <c r="D60" s="548" t="s">
        <v>3863</v>
      </c>
      <c r="E60" s="550">
        <v>5.7</v>
      </c>
      <c r="F60" s="904" t="s">
        <v>16</v>
      </c>
      <c r="G60" s="1038" t="s">
        <v>3231</v>
      </c>
      <c r="H60" s="1030" t="s">
        <v>3948</v>
      </c>
      <c r="I60" s="548" t="s">
        <v>3288</v>
      </c>
      <c r="J60" s="843" t="s">
        <v>390</v>
      </c>
      <c r="K60" s="548" t="s">
        <v>3189</v>
      </c>
      <c r="L60" s="843" t="s">
        <v>3200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>
      <c r="B61" s="549">
        <v>46222</v>
      </c>
      <c r="C61" s="548" t="s">
        <v>3849</v>
      </c>
      <c r="D61" s="548" t="s">
        <v>3864</v>
      </c>
      <c r="E61" s="550">
        <v>3.9</v>
      </c>
      <c r="F61" s="904" t="s">
        <v>3214</v>
      </c>
      <c r="G61" s="1038" t="s">
        <v>3231</v>
      </c>
      <c r="H61" s="1030" t="s">
        <v>3948</v>
      </c>
      <c r="I61" s="548" t="s">
        <v>3193</v>
      </c>
      <c r="J61" s="843" t="s">
        <v>390</v>
      </c>
      <c r="K61" s="548" t="s">
        <v>3190</v>
      </c>
      <c r="L61" s="843" t="s">
        <v>3192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>
      <c r="B62" s="549">
        <v>46222</v>
      </c>
      <c r="C62" s="548" t="s">
        <v>3848</v>
      </c>
      <c r="D62" s="548" t="s">
        <v>3746</v>
      </c>
      <c r="E62" s="550">
        <v>5</v>
      </c>
      <c r="F62" s="904" t="s">
        <v>3583</v>
      </c>
      <c r="G62" s="1038" t="s">
        <v>3231</v>
      </c>
      <c r="H62" s="1030" t="s">
        <v>3948</v>
      </c>
      <c r="I62" s="548" t="s">
        <v>3193</v>
      </c>
      <c r="J62" s="843" t="s">
        <v>390</v>
      </c>
      <c r="K62" s="548" t="s">
        <v>3189</v>
      </c>
      <c r="L62" s="843" t="s">
        <v>3200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>
      <c r="B63" s="549">
        <v>46222</v>
      </c>
      <c r="C63" s="548" t="s">
        <v>3858</v>
      </c>
      <c r="D63" s="548" t="s">
        <v>3746</v>
      </c>
      <c r="E63" s="550">
        <v>3.6</v>
      </c>
      <c r="F63" s="904" t="s">
        <v>3583</v>
      </c>
      <c r="G63" s="1038" t="s">
        <v>3231</v>
      </c>
      <c r="H63" s="1030" t="s">
        <v>3947</v>
      </c>
      <c r="I63" s="548" t="s">
        <v>3193</v>
      </c>
      <c r="J63" s="843" t="s">
        <v>390</v>
      </c>
      <c r="K63" s="548" t="s">
        <v>3189</v>
      </c>
      <c r="L63" s="843" t="s">
        <v>3200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>
      <c r="B64" s="549">
        <v>46224</v>
      </c>
      <c r="C64" s="548" t="s">
        <v>3903</v>
      </c>
      <c r="D64" s="548" t="s">
        <v>3904</v>
      </c>
      <c r="E64" s="550">
        <v>6.2</v>
      </c>
      <c r="F64" s="904" t="s">
        <v>3635</v>
      </c>
      <c r="G64" s="1038" t="s">
        <v>3231</v>
      </c>
      <c r="H64" s="1030" t="s">
        <v>3948</v>
      </c>
      <c r="I64" s="548" t="s">
        <v>3288</v>
      </c>
      <c r="J64" s="843" t="s">
        <v>390</v>
      </c>
      <c r="K64" s="548" t="s">
        <v>3189</v>
      </c>
      <c r="L64" s="843" t="s">
        <v>3200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>
      <c r="B65" s="549">
        <v>46225</v>
      </c>
      <c r="C65" s="548" t="s">
        <v>3920</v>
      </c>
      <c r="D65" s="548" t="s">
        <v>3197</v>
      </c>
      <c r="E65" s="550">
        <v>5.5</v>
      </c>
      <c r="F65" s="904" t="s">
        <v>3589</v>
      </c>
      <c r="G65" s="1038" t="s">
        <v>3231</v>
      </c>
      <c r="H65" s="1030" t="s">
        <v>3948</v>
      </c>
      <c r="I65" s="548" t="s">
        <v>3288</v>
      </c>
      <c r="J65" s="843" t="s">
        <v>390</v>
      </c>
      <c r="K65" s="548" t="s">
        <v>3190</v>
      </c>
      <c r="L65" s="843" t="s">
        <v>3192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>
      <c r="B66" s="549">
        <v>46225</v>
      </c>
      <c r="C66" s="548" t="s">
        <v>3918</v>
      </c>
      <c r="D66" s="548" t="s">
        <v>3925</v>
      </c>
      <c r="E66" s="550">
        <v>3.95</v>
      </c>
      <c r="F66" s="904" t="s">
        <v>75</v>
      </c>
      <c r="G66" s="1038" t="s">
        <v>3231</v>
      </c>
      <c r="H66" s="1030" t="s">
        <v>3947</v>
      </c>
      <c r="I66" s="548" t="s">
        <v>3193</v>
      </c>
      <c r="J66" s="843" t="s">
        <v>390</v>
      </c>
      <c r="K66" s="548" t="s">
        <v>3189</v>
      </c>
      <c r="L66" s="843" t="s">
        <v>3200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>
      <c r="B67" s="549">
        <v>46225</v>
      </c>
      <c r="C67" s="548" t="s">
        <v>3909</v>
      </c>
      <c r="D67" s="548" t="s">
        <v>3925</v>
      </c>
      <c r="E67" s="550">
        <v>3.75</v>
      </c>
      <c r="F67" s="904" t="s">
        <v>3583</v>
      </c>
      <c r="G67" s="1038" t="s">
        <v>3231</v>
      </c>
      <c r="H67" s="1030" t="s">
        <v>3947</v>
      </c>
      <c r="I67" s="548" t="s">
        <v>3193</v>
      </c>
      <c r="J67" s="843" t="s">
        <v>390</v>
      </c>
      <c r="K67" s="548" t="s">
        <v>3189</v>
      </c>
      <c r="L67" s="843" t="s">
        <v>3200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>
      <c r="B68" s="549">
        <v>46226</v>
      </c>
      <c r="C68" s="548" t="s">
        <v>3965</v>
      </c>
      <c r="D68" s="548" t="s">
        <v>3925</v>
      </c>
      <c r="E68" s="550">
        <v>4.9000000000000004</v>
      </c>
      <c r="F68" s="904" t="s">
        <v>3347</v>
      </c>
      <c r="G68" s="1038" t="s">
        <v>3231</v>
      </c>
      <c r="H68" s="1030" t="s">
        <v>3948</v>
      </c>
      <c r="I68" s="548" t="s">
        <v>3193</v>
      </c>
      <c r="J68" s="843" t="s">
        <v>390</v>
      </c>
      <c r="K68" s="548" t="s">
        <v>3189</v>
      </c>
      <c r="L68" s="843" t="s">
        <v>3200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>
      <c r="B69" s="549">
        <v>46226</v>
      </c>
      <c r="C69" s="548" t="s">
        <v>3962</v>
      </c>
      <c r="D69" s="548" t="s">
        <v>3841</v>
      </c>
      <c r="E69" s="550">
        <v>4.4000000000000004</v>
      </c>
      <c r="F69" s="904" t="s">
        <v>3583</v>
      </c>
      <c r="G69" s="1038" t="s">
        <v>3231</v>
      </c>
      <c r="H69" s="1030" t="s">
        <v>3948</v>
      </c>
      <c r="I69" s="548" t="s">
        <v>3193</v>
      </c>
      <c r="J69" s="843" t="s">
        <v>390</v>
      </c>
      <c r="K69" s="548" t="s">
        <v>3190</v>
      </c>
      <c r="L69" s="843" t="s">
        <v>3192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>
      <c r="B70" s="549">
        <v>46226</v>
      </c>
      <c r="C70" s="548" t="s">
        <v>3958</v>
      </c>
      <c r="D70" s="548" t="s">
        <v>3841</v>
      </c>
      <c r="E70" s="550">
        <v>3.9</v>
      </c>
      <c r="F70" s="904" t="s">
        <v>75</v>
      </c>
      <c r="G70" s="1039" t="s">
        <v>3973</v>
      </c>
      <c r="H70" s="1030" t="s">
        <v>3947</v>
      </c>
      <c r="I70" s="548" t="s">
        <v>3193</v>
      </c>
      <c r="J70" s="843" t="s">
        <v>390</v>
      </c>
      <c r="K70" s="548" t="s">
        <v>3189</v>
      </c>
      <c r="L70" s="843" t="s">
        <v>3200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>
      <c r="B71" s="549">
        <v>46226</v>
      </c>
      <c r="C71" s="548" t="s">
        <v>3953</v>
      </c>
      <c r="D71" s="548" t="s">
        <v>3780</v>
      </c>
      <c r="E71" s="550">
        <v>3.7</v>
      </c>
      <c r="F71" s="904" t="s">
        <v>3214</v>
      </c>
      <c r="G71" s="1038" t="s">
        <v>3971</v>
      </c>
      <c r="H71" s="1030"/>
      <c r="I71" s="548" t="s">
        <v>3193</v>
      </c>
      <c r="J71" s="843" t="s">
        <v>390</v>
      </c>
      <c r="K71" s="548" t="s">
        <v>3190</v>
      </c>
      <c r="L71" s="843" t="s">
        <v>3200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>
      <c r="B72" s="549">
        <v>46227</v>
      </c>
      <c r="C72" s="548" t="s">
        <v>3979</v>
      </c>
      <c r="D72" s="548" t="s">
        <v>3991</v>
      </c>
      <c r="E72" s="550">
        <v>3.1</v>
      </c>
      <c r="F72" s="904" t="s">
        <v>16</v>
      </c>
      <c r="G72" s="1038" t="s">
        <v>3971</v>
      </c>
      <c r="H72" s="1030"/>
      <c r="I72" s="548" t="s">
        <v>3193</v>
      </c>
      <c r="J72" s="843" t="s">
        <v>390</v>
      </c>
      <c r="K72" s="548" t="s">
        <v>3190</v>
      </c>
      <c r="L72" s="843" t="s">
        <v>3192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>
      <c r="B73" s="549">
        <v>46227</v>
      </c>
      <c r="C73" s="548" t="s">
        <v>3990</v>
      </c>
      <c r="D73" s="548" t="s">
        <v>3289</v>
      </c>
      <c r="E73" s="550">
        <v>4.8</v>
      </c>
      <c r="F73" s="904" t="s">
        <v>3583</v>
      </c>
      <c r="G73" s="1038" t="s">
        <v>3971</v>
      </c>
      <c r="H73" s="1030"/>
      <c r="I73" s="548" t="s">
        <v>3193</v>
      </c>
      <c r="J73" s="843" t="s">
        <v>390</v>
      </c>
      <c r="K73" s="548" t="s">
        <v>3189</v>
      </c>
      <c r="L73" s="843" t="s">
        <v>3200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>
      <c r="D2" s="489" t="s">
        <v>2996</v>
      </c>
      <c r="E2" s="492">
        <v>1500</v>
      </c>
      <c r="G2" s="489" t="s">
        <v>2998</v>
      </c>
      <c r="H2" s="396">
        <f>E2*E3</f>
        <v>22.5</v>
      </c>
      <c r="J2" s="489" t="s">
        <v>3003</v>
      </c>
      <c r="K2" s="394">
        <f>COUNTA(betflow[Data])</f>
        <v>241</v>
      </c>
    </row>
    <row r="3" spans="2:16" ht="19.95" customHeight="1">
      <c r="D3" s="489" t="s">
        <v>2997</v>
      </c>
      <c r="E3" s="490">
        <v>1.4999999999999999E-2</v>
      </c>
      <c r="G3" s="489" t="s">
        <v>2999</v>
      </c>
      <c r="H3" s="396">
        <f>H2*E5</f>
        <v>13.684329984249661</v>
      </c>
      <c r="J3" s="489" t="s">
        <v>3002</v>
      </c>
      <c r="K3" s="394">
        <f ca="1">_xlfn.DAYS(TODAY()-1,B8)</f>
        <v>130</v>
      </c>
    </row>
    <row r="4" spans="2:16" ht="19.95" customHeight="1">
      <c r="D4" s="489" t="s">
        <v>81</v>
      </c>
      <c r="E4" s="493">
        <v>0.01</v>
      </c>
      <c r="G4" s="489" t="s">
        <v>3001</v>
      </c>
      <c r="H4" s="396">
        <f>SUM(H2:H3)</f>
        <v>36.184329984249658</v>
      </c>
      <c r="J4" s="489" t="s">
        <v>3004</v>
      </c>
      <c r="K4" s="396">
        <f ca="1">K2/K3</f>
        <v>1.8538461538461539</v>
      </c>
    </row>
    <row r="5" spans="2:16" ht="19.95" customHeight="1">
      <c r="D5" s="489" t="s">
        <v>3000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3005</v>
      </c>
      <c r="K5" s="396">
        <f ca="1">K4*30*H5</f>
        <v>20.124054291240387</v>
      </c>
    </row>
    <row r="7" spans="2:16" ht="30" customHeight="1">
      <c r="B7" s="399" t="s">
        <v>0</v>
      </c>
      <c r="C7" s="399" t="s">
        <v>1</v>
      </c>
      <c r="D7" s="399" t="s">
        <v>1795</v>
      </c>
      <c r="E7" s="399" t="s">
        <v>1796</v>
      </c>
      <c r="F7" s="399" t="s">
        <v>79</v>
      </c>
      <c r="G7" s="399" t="s">
        <v>1793</v>
      </c>
      <c r="H7" s="399" t="s">
        <v>1798</v>
      </c>
      <c r="I7" s="399" t="s">
        <v>1794</v>
      </c>
      <c r="J7" s="399" t="s">
        <v>1799</v>
      </c>
      <c r="K7" s="399" t="s">
        <v>1800</v>
      </c>
      <c r="L7" s="399" t="s">
        <v>1801</v>
      </c>
      <c r="M7" s="399" t="s">
        <v>1803</v>
      </c>
      <c r="N7" s="399" t="s">
        <v>262</v>
      </c>
      <c r="O7" s="399" t="s">
        <v>81</v>
      </c>
      <c r="P7" s="399" t="s">
        <v>1802</v>
      </c>
    </row>
    <row r="8" spans="2:16" ht="19.95" customHeight="1">
      <c r="B8" s="395">
        <v>46140</v>
      </c>
      <c r="C8" s="394" t="s">
        <v>1791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1792</v>
      </c>
      <c r="I8" s="394" t="s">
        <v>1797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5">
        <v>46141</v>
      </c>
      <c r="C9" s="394" t="s">
        <v>1789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1790</v>
      </c>
      <c r="I9" s="394" t="s">
        <v>1797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5">
        <v>46142</v>
      </c>
      <c r="C10" s="394" t="s">
        <v>1821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1792</v>
      </c>
      <c r="I10" s="394" t="s">
        <v>1797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5">
        <v>46142</v>
      </c>
      <c r="C11" s="394" t="s">
        <v>1822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1792</v>
      </c>
      <c r="I11" s="394" t="s">
        <v>1797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5">
        <v>46142</v>
      </c>
      <c r="C12" s="394" t="s">
        <v>1823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1790</v>
      </c>
      <c r="I12" s="394" t="s">
        <v>1797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5">
        <v>46143</v>
      </c>
      <c r="C13" s="394" t="s">
        <v>1824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1792</v>
      </c>
      <c r="I13" s="394" t="s">
        <v>1797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5">
        <v>46143</v>
      </c>
      <c r="C14" s="394" t="s">
        <v>1825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1790</v>
      </c>
      <c r="I14" s="394" t="s">
        <v>1797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5">
        <v>46143</v>
      </c>
      <c r="C15" s="394" t="s">
        <v>1826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1792</v>
      </c>
      <c r="I15" s="394" t="s">
        <v>1797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5">
        <v>46143</v>
      </c>
      <c r="C16" s="394" t="s">
        <v>1825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1792</v>
      </c>
      <c r="I16" s="394" t="s">
        <v>1797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5">
        <v>46143</v>
      </c>
      <c r="C17" s="394" t="s">
        <v>1827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1792</v>
      </c>
      <c r="I17" s="394" t="s">
        <v>1797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5">
        <v>46143</v>
      </c>
      <c r="C18" s="394" t="s">
        <v>1828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1792</v>
      </c>
      <c r="I18" s="394" t="s">
        <v>1797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5">
        <v>46143</v>
      </c>
      <c r="C19" s="394" t="s">
        <v>1829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1790</v>
      </c>
      <c r="I19" s="394" t="s">
        <v>1797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5">
        <v>46144</v>
      </c>
      <c r="C20" s="394" t="s">
        <v>1830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1792</v>
      </c>
      <c r="I20" s="394" t="s">
        <v>1797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5">
        <v>46144</v>
      </c>
      <c r="C21" s="394" t="s">
        <v>1831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1792</v>
      </c>
      <c r="I21" s="394" t="s">
        <v>1797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5">
        <v>46144</v>
      </c>
      <c r="C22" s="394" t="s">
        <v>1832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1792</v>
      </c>
      <c r="I22" s="394" t="s">
        <v>1797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5">
        <v>46144</v>
      </c>
      <c r="C23" s="394" t="s">
        <v>1830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1792</v>
      </c>
      <c r="I23" s="394" t="s">
        <v>1797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5">
        <v>46144</v>
      </c>
      <c r="C24" s="394" t="s">
        <v>1833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1790</v>
      </c>
      <c r="I24" s="394" t="s">
        <v>1797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5">
        <v>46144</v>
      </c>
      <c r="C25" s="394" t="s">
        <v>1833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1792</v>
      </c>
      <c r="I25" s="394" t="s">
        <v>1797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5">
        <v>46144</v>
      </c>
      <c r="C26" s="394" t="s">
        <v>1834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1790</v>
      </c>
      <c r="I26" s="394" t="s">
        <v>1797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5">
        <v>46144</v>
      </c>
      <c r="C27" s="394" t="s">
        <v>1835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1792</v>
      </c>
      <c r="I27" s="394" t="s">
        <v>1797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5">
        <v>46144</v>
      </c>
      <c r="C28" s="394" t="s">
        <v>1836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1790</v>
      </c>
      <c r="I28" s="394" t="s">
        <v>1797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5">
        <v>46144</v>
      </c>
      <c r="C29" s="394" t="s">
        <v>1837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1790</v>
      </c>
      <c r="I29" s="394" t="s">
        <v>1797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5">
        <v>46144</v>
      </c>
      <c r="C30" s="394" t="s">
        <v>1836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1792</v>
      </c>
      <c r="I30" s="394" t="s">
        <v>1797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5">
        <v>46144</v>
      </c>
      <c r="C31" s="394" t="s">
        <v>1838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1790</v>
      </c>
      <c r="I31" s="394" t="s">
        <v>1797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5">
        <v>46144</v>
      </c>
      <c r="C32" s="394" t="s">
        <v>1839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1790</v>
      </c>
      <c r="I32" s="394" t="s">
        <v>1797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5">
        <v>46144</v>
      </c>
      <c r="C33" s="394" t="s">
        <v>1840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1790</v>
      </c>
      <c r="I33" s="394" t="s">
        <v>1797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5">
        <v>46145</v>
      </c>
      <c r="C34" s="394" t="s">
        <v>1841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1790</v>
      </c>
      <c r="I34" s="394" t="s">
        <v>1797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5">
        <v>46145</v>
      </c>
      <c r="C35" s="394" t="s">
        <v>1842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1792</v>
      </c>
      <c r="I35" s="394" t="s">
        <v>1797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5">
        <v>46145</v>
      </c>
      <c r="C36" s="394" t="s">
        <v>1843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1792</v>
      </c>
      <c r="I36" s="394" t="s">
        <v>1797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5">
        <v>46145</v>
      </c>
      <c r="C37" s="394" t="s">
        <v>1844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1790</v>
      </c>
      <c r="I37" s="394" t="s">
        <v>1797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5">
        <v>46145</v>
      </c>
      <c r="C38" s="394" t="s">
        <v>1845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1790</v>
      </c>
      <c r="I38" s="394" t="s">
        <v>1797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5">
        <v>46145</v>
      </c>
      <c r="C39" s="394" t="s">
        <v>1846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1790</v>
      </c>
      <c r="I39" s="394" t="s">
        <v>1797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5">
        <v>46145</v>
      </c>
      <c r="C40" s="394" t="s">
        <v>1847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1792</v>
      </c>
      <c r="I40" s="394" t="s">
        <v>1797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5">
        <v>46145</v>
      </c>
      <c r="C41" s="394" t="s">
        <v>1848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1792</v>
      </c>
      <c r="I41" s="394" t="s">
        <v>1797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5">
        <v>46146</v>
      </c>
      <c r="C42" s="394" t="s">
        <v>1849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1790</v>
      </c>
      <c r="I42" s="394" t="s">
        <v>1797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5">
        <v>46146</v>
      </c>
      <c r="C43" s="394" t="s">
        <v>1850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1792</v>
      </c>
      <c r="I43" s="394" t="s">
        <v>1797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5">
        <v>46146</v>
      </c>
      <c r="C44" s="394" t="s">
        <v>1905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1792</v>
      </c>
      <c r="I44" s="394" t="s">
        <v>1797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5">
        <v>46146</v>
      </c>
      <c r="C45" s="394" t="s">
        <v>1904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1790</v>
      </c>
      <c r="I45" s="394" t="s">
        <v>1797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5">
        <v>46146</v>
      </c>
      <c r="C46" s="394" t="s">
        <v>1903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1792</v>
      </c>
      <c r="I46" s="394" t="s">
        <v>1797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5">
        <v>46147</v>
      </c>
      <c r="C47" s="394" t="s">
        <v>1902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1790</v>
      </c>
      <c r="I47" s="394" t="s">
        <v>1797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5">
        <v>46147</v>
      </c>
      <c r="C48" s="394" t="s">
        <v>1901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1790</v>
      </c>
      <c r="I48" s="394" t="s">
        <v>1797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5">
        <v>46147</v>
      </c>
      <c r="C49" s="394" t="s">
        <v>1900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1790</v>
      </c>
      <c r="I49" s="394" t="s">
        <v>1797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5">
        <v>46147</v>
      </c>
      <c r="C50" s="394" t="s">
        <v>1899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1792</v>
      </c>
      <c r="I50" s="394" t="s">
        <v>1797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5">
        <v>46147</v>
      </c>
      <c r="C51" s="394" t="s">
        <v>1898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1792</v>
      </c>
      <c r="I51" s="394" t="s">
        <v>1797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5">
        <v>46147</v>
      </c>
      <c r="C52" s="394" t="s">
        <v>1897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1792</v>
      </c>
      <c r="I52" s="394" t="s">
        <v>1797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5">
        <v>46148</v>
      </c>
      <c r="C53" s="394" t="s">
        <v>1896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1790</v>
      </c>
      <c r="I53" s="394" t="s">
        <v>1797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5">
        <v>46148</v>
      </c>
      <c r="C54" s="394" t="s">
        <v>1895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1792</v>
      </c>
      <c r="I54" s="394" t="s">
        <v>1797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5">
        <v>46148</v>
      </c>
      <c r="C55" s="394" t="s">
        <v>1894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1792</v>
      </c>
      <c r="I55" s="394" t="s">
        <v>1797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5">
        <v>46148</v>
      </c>
      <c r="C56" s="394" t="s">
        <v>1893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1792</v>
      </c>
      <c r="I56" s="394" t="s">
        <v>1797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5">
        <v>46148</v>
      </c>
      <c r="C57" s="394" t="s">
        <v>1892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1792</v>
      </c>
      <c r="I57" s="394" t="s">
        <v>1797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5">
        <v>46148</v>
      </c>
      <c r="C58" s="394" t="s">
        <v>1891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1792</v>
      </c>
      <c r="I58" s="394" t="s">
        <v>1797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5">
        <v>46149</v>
      </c>
      <c r="C59" s="394" t="s">
        <v>1890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1792</v>
      </c>
      <c r="I59" s="394" t="s">
        <v>1797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5">
        <v>46149</v>
      </c>
      <c r="C60" s="394" t="s">
        <v>1889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1792</v>
      </c>
      <c r="I60" s="394" t="s">
        <v>1797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5">
        <v>46149</v>
      </c>
      <c r="C61" s="394" t="s">
        <v>1888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1792</v>
      </c>
      <c r="I61" s="394" t="s">
        <v>1797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5">
        <v>46149</v>
      </c>
      <c r="C62" s="394" t="s">
        <v>1887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1790</v>
      </c>
      <c r="I62" s="394" t="s">
        <v>1797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5">
        <v>46150</v>
      </c>
      <c r="C63" s="394" t="s">
        <v>1886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1790</v>
      </c>
      <c r="I63" s="394" t="s">
        <v>1797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5">
        <v>46150</v>
      </c>
      <c r="C64" s="394" t="s">
        <v>1885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1792</v>
      </c>
      <c r="I64" s="394" t="s">
        <v>1797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5">
        <v>46150</v>
      </c>
      <c r="C65" s="394" t="s">
        <v>1849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1790</v>
      </c>
      <c r="I65" s="394" t="s">
        <v>1797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5">
        <v>46150</v>
      </c>
      <c r="C66" s="394" t="s">
        <v>1884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1792</v>
      </c>
      <c r="I66" s="394" t="s">
        <v>1797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5">
        <v>46150</v>
      </c>
      <c r="C67" s="394" t="s">
        <v>1883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1792</v>
      </c>
      <c r="I67" s="394" t="s">
        <v>1797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5">
        <v>46150</v>
      </c>
      <c r="C68" s="394" t="s">
        <v>1882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1790</v>
      </c>
      <c r="I68" s="394" t="s">
        <v>1797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5">
        <v>46150</v>
      </c>
      <c r="C69" s="394" t="s">
        <v>1881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1792</v>
      </c>
      <c r="I69" s="394" t="s">
        <v>1797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5">
        <v>46150</v>
      </c>
      <c r="C70" s="394" t="s">
        <v>1880</v>
      </c>
      <c r="D70" s="397"/>
      <c r="E70" s="396"/>
      <c r="F70" s="396"/>
      <c r="H70" s="406"/>
      <c r="I70" s="394" t="s">
        <v>1797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5">
        <v>46150</v>
      </c>
      <c r="C71" s="394" t="s">
        <v>1879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1792</v>
      </c>
      <c r="I71" s="394" t="s">
        <v>1797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5">
        <v>46150</v>
      </c>
      <c r="C72" s="394" t="s">
        <v>1878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1792</v>
      </c>
      <c r="I72" s="394" t="s">
        <v>1797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5">
        <v>46150</v>
      </c>
      <c r="C73" s="394" t="s">
        <v>1877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1792</v>
      </c>
      <c r="I73" s="394" t="s">
        <v>1797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5">
        <v>46150</v>
      </c>
      <c r="C74" s="394" t="s">
        <v>1876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1790</v>
      </c>
      <c r="I74" s="394" t="s">
        <v>1797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5">
        <v>46150</v>
      </c>
      <c r="C75" s="394" t="s">
        <v>1875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1792</v>
      </c>
      <c r="I75" s="394" t="s">
        <v>1797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5">
        <v>46150</v>
      </c>
      <c r="C76" s="394" t="s">
        <v>1874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1792</v>
      </c>
      <c r="I76" s="394" t="s">
        <v>1797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5">
        <v>46150</v>
      </c>
      <c r="C77" s="394" t="s">
        <v>1873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1792</v>
      </c>
      <c r="I77" s="394" t="s">
        <v>1797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5">
        <v>46151</v>
      </c>
      <c r="C78" s="394" t="s">
        <v>1872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1790</v>
      </c>
      <c r="I78" s="394" t="s">
        <v>1797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5">
        <v>46151</v>
      </c>
      <c r="C79" s="394" t="s">
        <v>1871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1792</v>
      </c>
      <c r="I79" s="394" t="s">
        <v>1797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5">
        <v>46151</v>
      </c>
      <c r="C80" s="394" t="s">
        <v>1870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1792</v>
      </c>
      <c r="I80" s="394" t="s">
        <v>1797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5">
        <v>46151</v>
      </c>
      <c r="C81" s="394" t="s">
        <v>1869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1790</v>
      </c>
      <c r="I81" s="394" t="s">
        <v>1797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5">
        <v>46151</v>
      </c>
      <c r="C82" s="394" t="s">
        <v>1868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1792</v>
      </c>
      <c r="I82" s="394" t="s">
        <v>1797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5">
        <v>46152</v>
      </c>
      <c r="C83" s="394" t="s">
        <v>1867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1790</v>
      </c>
      <c r="I83" s="394" t="s">
        <v>1797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5">
        <v>46152</v>
      </c>
      <c r="C84" s="394" t="s">
        <v>1866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1790</v>
      </c>
      <c r="I84" s="394" t="s">
        <v>1797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5">
        <v>46152</v>
      </c>
      <c r="C85" s="394" t="s">
        <v>1865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1792</v>
      </c>
      <c r="I85" s="394" t="s">
        <v>1797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5">
        <v>46152</v>
      </c>
      <c r="C86" s="394" t="s">
        <v>1864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1790</v>
      </c>
      <c r="I86" s="394" t="s">
        <v>1797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5">
        <v>46152</v>
      </c>
      <c r="C87" s="394" t="s">
        <v>1863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1792</v>
      </c>
      <c r="I87" s="394" t="s">
        <v>1797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5">
        <v>46152</v>
      </c>
      <c r="C88" s="394" t="s">
        <v>1862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1790</v>
      </c>
      <c r="I88" s="394" t="s">
        <v>1797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5">
        <v>46152</v>
      </c>
      <c r="C89" s="394" t="s">
        <v>1861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1792</v>
      </c>
      <c r="I89" s="394" t="s">
        <v>1797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5">
        <v>46152</v>
      </c>
      <c r="C90" s="394" t="s">
        <v>1860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1792</v>
      </c>
      <c r="I90" s="394" t="s">
        <v>1797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5">
        <v>46152</v>
      </c>
      <c r="C91" s="394" t="s">
        <v>1859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1792</v>
      </c>
      <c r="I91" s="394" t="s">
        <v>1797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5">
        <v>46152</v>
      </c>
      <c r="C92" s="394" t="s">
        <v>1858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1792</v>
      </c>
      <c r="I92" s="394" t="s">
        <v>1797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5">
        <v>46152</v>
      </c>
      <c r="C93" s="394" t="s">
        <v>1857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1790</v>
      </c>
      <c r="I93" s="394" t="s">
        <v>1797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5">
        <v>46152</v>
      </c>
      <c r="C94" s="394" t="s">
        <v>1856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1790</v>
      </c>
      <c r="I94" s="394" t="s">
        <v>1797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5">
        <v>46152</v>
      </c>
      <c r="C95" s="394" t="s">
        <v>1855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1790</v>
      </c>
      <c r="I95" s="394" t="s">
        <v>1797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5">
        <v>46152</v>
      </c>
      <c r="C96" s="394" t="s">
        <v>1854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1790</v>
      </c>
      <c r="I96" s="394" t="s">
        <v>1797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5">
        <v>46152</v>
      </c>
      <c r="C97" s="394" t="s">
        <v>1853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1792</v>
      </c>
      <c r="I97" s="394" t="s">
        <v>1797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5">
        <v>46152</v>
      </c>
      <c r="C98" s="394" t="s">
        <v>1852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1790</v>
      </c>
      <c r="I98" s="394" t="s">
        <v>1797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5">
        <v>46152</v>
      </c>
      <c r="C99" s="394" t="s">
        <v>1851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1790</v>
      </c>
      <c r="I99" s="394" t="s">
        <v>1797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5">
        <v>46153</v>
      </c>
      <c r="C100" s="394" t="s">
        <v>2298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1792</v>
      </c>
      <c r="I100" s="394" t="s">
        <v>1797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5">
        <v>46153</v>
      </c>
      <c r="C101" s="394" t="s">
        <v>2281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1790</v>
      </c>
      <c r="I101" s="394" t="s">
        <v>1797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5">
        <v>46153</v>
      </c>
      <c r="C102" s="394" t="s">
        <v>2307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1790</v>
      </c>
      <c r="I102" s="394" t="s">
        <v>1797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5">
        <v>46153</v>
      </c>
      <c r="C103" s="394" t="s">
        <v>2306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1790</v>
      </c>
      <c r="I103" s="394" t="s">
        <v>1797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5">
        <v>46153</v>
      </c>
      <c r="C104" s="394" t="s">
        <v>2276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1790</v>
      </c>
      <c r="I104" s="394" t="s">
        <v>1797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5">
        <v>46153</v>
      </c>
      <c r="C105" s="394" t="s">
        <v>2305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1792</v>
      </c>
      <c r="I105" s="394" t="s">
        <v>1797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5">
        <v>46154</v>
      </c>
      <c r="C106" s="394" t="s">
        <v>2342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1792</v>
      </c>
      <c r="I106" s="394" t="s">
        <v>1797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5">
        <v>46154</v>
      </c>
      <c r="C107" s="394" t="s">
        <v>2333</v>
      </c>
      <c r="D107" s="397"/>
      <c r="E107" s="396"/>
      <c r="F107" s="396"/>
      <c r="G107" s="396"/>
      <c r="H107" s="412" t="s">
        <v>1792</v>
      </c>
      <c r="I107" s="394" t="s">
        <v>1797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5">
        <v>46154</v>
      </c>
      <c r="C108" s="394" t="s">
        <v>2341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1792</v>
      </c>
      <c r="I108" s="394" t="s">
        <v>1797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5">
        <v>46154</v>
      </c>
      <c r="C109" s="394" t="s">
        <v>2340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1790</v>
      </c>
      <c r="I109" s="394" t="s">
        <v>1797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5">
        <v>46154</v>
      </c>
      <c r="C110" s="394" t="s">
        <v>2339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1792</v>
      </c>
      <c r="I110" s="394" t="s">
        <v>1797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5">
        <v>46154</v>
      </c>
      <c r="C111" s="394" t="s">
        <v>2338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1790</v>
      </c>
      <c r="I111" s="394" t="s">
        <v>1797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5">
        <v>46154</v>
      </c>
      <c r="C112" s="394" t="s">
        <v>2337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1790</v>
      </c>
      <c r="I112" s="394" t="s">
        <v>1797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5">
        <v>46154</v>
      </c>
      <c r="C113" s="394" t="s">
        <v>2336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1790</v>
      </c>
      <c r="I113" s="394" t="s">
        <v>1797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5">
        <v>46155</v>
      </c>
      <c r="C114" s="394" t="s">
        <v>2405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1792</v>
      </c>
      <c r="I114" s="394" t="s">
        <v>1797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5">
        <v>46155</v>
      </c>
      <c r="C115" s="394" t="s">
        <v>2404</v>
      </c>
      <c r="D115" s="397"/>
      <c r="E115" s="396"/>
      <c r="F115" s="396"/>
      <c r="G115" s="396"/>
      <c r="H115" s="419" t="s">
        <v>1790</v>
      </c>
      <c r="I115" s="394" t="s">
        <v>1797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5">
        <v>46155</v>
      </c>
      <c r="C116" s="394" t="s">
        <v>2378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1790</v>
      </c>
      <c r="I116" s="394" t="s">
        <v>1797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5">
        <v>46155</v>
      </c>
      <c r="C117" s="394" t="s">
        <v>2403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1790</v>
      </c>
      <c r="I117" s="394" t="s">
        <v>1797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5">
        <v>46155</v>
      </c>
      <c r="C118" s="394" t="s">
        <v>2402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1790</v>
      </c>
      <c r="I118" s="394" t="s">
        <v>1797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5">
        <v>46155</v>
      </c>
      <c r="C119" s="394" t="s">
        <v>2401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1792</v>
      </c>
      <c r="I119" s="394" t="s">
        <v>1797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5">
        <v>46155</v>
      </c>
      <c r="C120" s="394" t="s">
        <v>2400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1790</v>
      </c>
      <c r="I120" s="394" t="s">
        <v>1797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5">
        <v>46155</v>
      </c>
      <c r="C121" s="394" t="s">
        <v>2399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1790</v>
      </c>
      <c r="I121" s="394" t="s">
        <v>1797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5">
        <v>46155</v>
      </c>
      <c r="C122" s="394" t="s">
        <v>2398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1792</v>
      </c>
      <c r="I122" s="394" t="s">
        <v>1797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5">
        <v>46156</v>
      </c>
      <c r="C123" s="394" t="s">
        <v>2425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1792</v>
      </c>
      <c r="I123" s="394" t="s">
        <v>1797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5">
        <v>46156</v>
      </c>
      <c r="C124" s="394" t="s">
        <v>2424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1790</v>
      </c>
      <c r="I124" s="394" t="s">
        <v>1797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5">
        <v>46156</v>
      </c>
      <c r="C125" s="394" t="s">
        <v>2423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1790</v>
      </c>
      <c r="I125" s="394" t="s">
        <v>1797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5">
        <v>46157</v>
      </c>
      <c r="C126" s="394" t="s">
        <v>2452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1792</v>
      </c>
      <c r="I126" s="394" t="s">
        <v>1797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5">
        <v>46157</v>
      </c>
      <c r="C127" s="394" t="s">
        <v>2451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1790</v>
      </c>
      <c r="I127" s="394" t="s">
        <v>1797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5">
        <v>46157</v>
      </c>
      <c r="C128" s="394" t="s">
        <v>2450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1790</v>
      </c>
      <c r="I128" s="394" t="s">
        <v>1797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5">
        <v>46157</v>
      </c>
      <c r="C129" s="394" t="s">
        <v>2449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1792</v>
      </c>
      <c r="I129" s="394" t="s">
        <v>1797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5">
        <v>46158</v>
      </c>
      <c r="C130" s="394" t="s">
        <v>2555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1790</v>
      </c>
      <c r="I130" s="394" t="s">
        <v>1797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5">
        <v>46158</v>
      </c>
      <c r="C131" s="394" t="s">
        <v>2554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1790</v>
      </c>
      <c r="I131" s="394" t="s">
        <v>1797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5">
        <v>46158</v>
      </c>
      <c r="C132" s="394" t="s">
        <v>2553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1790</v>
      </c>
      <c r="I132" s="394" t="s">
        <v>1797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5">
        <v>46158</v>
      </c>
      <c r="C133" s="394" t="s">
        <v>2511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1790</v>
      </c>
      <c r="I133" s="394" t="s">
        <v>1797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5">
        <v>46158</v>
      </c>
      <c r="C134" s="394" t="s">
        <v>2552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1790</v>
      </c>
      <c r="I134" s="394" t="s">
        <v>1797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5">
        <v>46158</v>
      </c>
      <c r="C135" s="394" t="s">
        <v>2551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1790</v>
      </c>
      <c r="I135" s="394" t="s">
        <v>1797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5">
        <v>46158</v>
      </c>
      <c r="C136" s="394" t="s">
        <v>2550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1792</v>
      </c>
      <c r="I136" s="394" t="s">
        <v>1797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5">
        <v>46158</v>
      </c>
      <c r="C137" s="394" t="s">
        <v>2549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1792</v>
      </c>
      <c r="I137" s="394" t="s">
        <v>1797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5">
        <v>46158</v>
      </c>
      <c r="C138" s="394" t="s">
        <v>2548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1792</v>
      </c>
      <c r="I138" s="394" t="s">
        <v>1797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5">
        <v>46158</v>
      </c>
      <c r="C139" s="394" t="s">
        <v>2547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1790</v>
      </c>
      <c r="I139" s="394" t="s">
        <v>1797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5">
        <v>46158</v>
      </c>
      <c r="C140" s="394" t="s">
        <v>2546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1790</v>
      </c>
      <c r="I140" s="394" t="s">
        <v>1797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5">
        <v>46158</v>
      </c>
      <c r="C141" s="394" t="s">
        <v>2545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1790</v>
      </c>
      <c r="I141" s="394" t="s">
        <v>1797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5">
        <v>46158</v>
      </c>
      <c r="C142" s="394" t="s">
        <v>2544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1792</v>
      </c>
      <c r="I142" s="394" t="s">
        <v>1797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5">
        <v>46158</v>
      </c>
      <c r="C143" s="394" t="s">
        <v>2543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1792</v>
      </c>
      <c r="I143" s="394" t="s">
        <v>1797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5">
        <v>46158</v>
      </c>
      <c r="C144" s="394" t="s">
        <v>2542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1792</v>
      </c>
      <c r="I144" s="394" t="s">
        <v>1797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5">
        <v>46158</v>
      </c>
      <c r="C145" s="394" t="s">
        <v>2541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1792</v>
      </c>
      <c r="I145" s="394" t="s">
        <v>1797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5">
        <v>46158</v>
      </c>
      <c r="C146" s="394" t="s">
        <v>2540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1790</v>
      </c>
      <c r="I146" s="394" t="s">
        <v>1797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5">
        <v>46158</v>
      </c>
      <c r="C147" s="394" t="s">
        <v>2539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1790</v>
      </c>
      <c r="I147" s="394" t="s">
        <v>1797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5">
        <v>46158</v>
      </c>
      <c r="C148" s="394" t="s">
        <v>2538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1792</v>
      </c>
      <c r="I148" s="394" t="s">
        <v>1797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5">
        <v>46158</v>
      </c>
      <c r="C149" s="394" t="s">
        <v>2537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1790</v>
      </c>
      <c r="I149" s="394" t="s">
        <v>1797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5">
        <v>46158</v>
      </c>
      <c r="C150" s="394" t="s">
        <v>2536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1790</v>
      </c>
      <c r="I150" s="394" t="s">
        <v>1797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5">
        <v>46158</v>
      </c>
      <c r="C151" s="394" t="s">
        <v>2475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1790</v>
      </c>
      <c r="I151" s="394" t="s">
        <v>1797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5">
        <v>46159</v>
      </c>
      <c r="C152" s="394" t="s">
        <v>2624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1792</v>
      </c>
      <c r="I152" s="394" t="s">
        <v>1797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5">
        <v>46159</v>
      </c>
      <c r="C153" s="394" t="s">
        <v>2623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1790</v>
      </c>
      <c r="I153" s="394" t="s">
        <v>1797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5">
        <v>46159</v>
      </c>
      <c r="C154" s="394" t="s">
        <v>2622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1792</v>
      </c>
      <c r="I154" s="394" t="s">
        <v>1797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5">
        <v>46161</v>
      </c>
      <c r="C155" s="394" t="s">
        <v>2698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1790</v>
      </c>
      <c r="I155" s="394" t="s">
        <v>1797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5">
        <v>46161</v>
      </c>
      <c r="C156" s="394" t="s">
        <v>2697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1790</v>
      </c>
      <c r="I156" s="394" t="s">
        <v>1797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5">
        <v>46161</v>
      </c>
      <c r="C157" s="394" t="s">
        <v>2696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1790</v>
      </c>
      <c r="I157" s="394" t="s">
        <v>1797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5">
        <v>46161</v>
      </c>
      <c r="C158" s="394" t="s">
        <v>2695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1792</v>
      </c>
      <c r="I158" s="394" t="s">
        <v>1797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5">
        <v>46161</v>
      </c>
      <c r="C159" s="394" t="s">
        <v>2694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1790</v>
      </c>
      <c r="I159" s="394" t="s">
        <v>1797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5">
        <v>46162</v>
      </c>
      <c r="C160" s="394" t="s">
        <v>2788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1790</v>
      </c>
      <c r="I160" s="394" t="s">
        <v>1797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5">
        <v>46164</v>
      </c>
      <c r="C161" s="394" t="s">
        <v>2856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1792</v>
      </c>
      <c r="I161" s="394" t="s">
        <v>1797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5">
        <v>46164</v>
      </c>
      <c r="C162" s="394" t="s">
        <v>2855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1792</v>
      </c>
      <c r="I162" s="394" t="s">
        <v>1797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5">
        <v>46164</v>
      </c>
      <c r="C163" s="394" t="s">
        <v>2854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1792</v>
      </c>
      <c r="I163" s="394" t="s">
        <v>1797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5">
        <v>46164</v>
      </c>
      <c r="C164" s="394" t="s">
        <v>2853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1792</v>
      </c>
      <c r="I164" s="394" t="s">
        <v>1797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5">
        <v>46164</v>
      </c>
      <c r="C165" s="394" t="s">
        <v>2852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1792</v>
      </c>
      <c r="I165" s="394" t="s">
        <v>1797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5">
        <v>46164</v>
      </c>
      <c r="C166" s="394" t="s">
        <v>2843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1792</v>
      </c>
      <c r="I166" s="394" t="s">
        <v>1797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5">
        <v>46165</v>
      </c>
      <c r="C167" s="394" t="s">
        <v>2929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1790</v>
      </c>
      <c r="I167" s="394" t="s">
        <v>1797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5">
        <v>46165</v>
      </c>
      <c r="C168" s="394" t="s">
        <v>2928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1790</v>
      </c>
      <c r="I168" s="394" t="s">
        <v>1797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5">
        <v>46165</v>
      </c>
      <c r="C169" s="394" t="s">
        <v>2927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1792</v>
      </c>
      <c r="I169" s="394" t="s">
        <v>1797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5">
        <v>46165</v>
      </c>
      <c r="C170" s="394" t="s">
        <v>2926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1790</v>
      </c>
      <c r="I170" s="394" t="s">
        <v>1797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5">
        <v>46165</v>
      </c>
      <c r="C171" s="394" t="s">
        <v>2900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1792</v>
      </c>
      <c r="I171" s="394" t="s">
        <v>1797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5">
        <v>46165</v>
      </c>
      <c r="C172" s="394" t="s">
        <v>2925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1792</v>
      </c>
      <c r="I172" s="394" t="s">
        <v>1797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5">
        <v>46165</v>
      </c>
      <c r="C173" s="394" t="s">
        <v>2924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1792</v>
      </c>
      <c r="I173" s="394" t="s">
        <v>1797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5">
        <v>46165</v>
      </c>
      <c r="C174" s="394" t="s">
        <v>2923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1792</v>
      </c>
      <c r="I174" s="394" t="s">
        <v>1797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5">
        <v>46165</v>
      </c>
      <c r="C175" s="394" t="s">
        <v>2922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1792</v>
      </c>
      <c r="I175" s="394" t="s">
        <v>1797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5">
        <v>46166</v>
      </c>
      <c r="C176" s="394" t="s">
        <v>2989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1792</v>
      </c>
      <c r="I176" s="394" t="s">
        <v>1797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5">
        <v>46166</v>
      </c>
      <c r="C177" s="394" t="s">
        <v>2988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1792</v>
      </c>
      <c r="I177" s="394" t="s">
        <v>1797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5">
        <v>46166</v>
      </c>
      <c r="C178" s="394" t="s">
        <v>2963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1792</v>
      </c>
      <c r="I178" s="394" t="s">
        <v>1797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5">
        <v>46166</v>
      </c>
      <c r="C179" s="394" t="s">
        <v>2987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1792</v>
      </c>
      <c r="I179" s="394" t="s">
        <v>1797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7">
        <v>46167</v>
      </c>
      <c r="C180" s="498" t="s">
        <v>3025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1792</v>
      </c>
      <c r="I180" s="394" t="s">
        <v>1797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7">
        <v>46167</v>
      </c>
      <c r="C181" s="498" t="s">
        <v>3024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1792</v>
      </c>
      <c r="I181" s="394" t="s">
        <v>1797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4">
        <v>46168</v>
      </c>
      <c r="C182" s="505" t="s">
        <v>3033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1792</v>
      </c>
      <c r="I182" s="394" t="s">
        <v>1797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4">
        <v>46168</v>
      </c>
      <c r="C183" s="505" t="s">
        <v>3032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1792</v>
      </c>
      <c r="I183" s="394" t="s">
        <v>1797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2">
        <v>46169</v>
      </c>
      <c r="C184" s="513" t="s">
        <v>3041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1792</v>
      </c>
      <c r="I184" s="394" t="s">
        <v>1797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2">
        <v>46169</v>
      </c>
      <c r="C185" s="513" t="s">
        <v>3040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1792</v>
      </c>
      <c r="I185" s="394" t="s">
        <v>1797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2">
        <v>46169</v>
      </c>
      <c r="C186" s="513" t="s">
        <v>3039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1792</v>
      </c>
      <c r="I186" s="394" t="s">
        <v>1797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2">
        <v>46170</v>
      </c>
      <c r="C187" s="513" t="s">
        <v>3038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1792</v>
      </c>
      <c r="I187" s="394" t="s">
        <v>1797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2">
        <v>46170</v>
      </c>
      <c r="C188" s="513" t="s">
        <v>3037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1790</v>
      </c>
      <c r="I188" s="394" t="s">
        <v>1797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2">
        <v>46170</v>
      </c>
      <c r="C189" s="513" t="s">
        <v>3036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1792</v>
      </c>
      <c r="I189" s="394" t="s">
        <v>1797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1">
        <v>46171</v>
      </c>
      <c r="C190" s="522" t="s">
        <v>3051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1790</v>
      </c>
      <c r="I190" s="394" t="s">
        <v>1797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1">
        <v>46171</v>
      </c>
      <c r="C191" s="522" t="s">
        <v>3046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1792</v>
      </c>
      <c r="I191" s="394" t="s">
        <v>1797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1">
        <v>46171</v>
      </c>
      <c r="C192" s="522" t="s">
        <v>3050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1792</v>
      </c>
      <c r="I192" s="394" t="s">
        <v>1797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1">
        <v>46172</v>
      </c>
      <c r="C193" s="522" t="s">
        <v>3092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1792</v>
      </c>
      <c r="I193" s="394" t="s">
        <v>1797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1">
        <v>46172</v>
      </c>
      <c r="C194" s="522" t="s">
        <v>3091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1792</v>
      </c>
      <c r="I194" s="394" t="s">
        <v>1797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1">
        <v>46172</v>
      </c>
      <c r="C195" s="522" t="s">
        <v>3090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1792</v>
      </c>
      <c r="I195" s="394" t="s">
        <v>1797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1">
        <v>46172</v>
      </c>
      <c r="C196" s="522" t="s">
        <v>3078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1792</v>
      </c>
      <c r="I196" s="394" t="s">
        <v>1797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1">
        <v>46172</v>
      </c>
      <c r="C197" s="522" t="s">
        <v>3089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1790</v>
      </c>
      <c r="I197" s="394" t="s">
        <v>1797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1">
        <v>46172</v>
      </c>
      <c r="C198" s="522" t="s">
        <v>3088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1792</v>
      </c>
      <c r="I198" s="394" t="s">
        <v>1797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1">
        <v>46173</v>
      </c>
      <c r="C199" s="522" t="s">
        <v>3137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1792</v>
      </c>
      <c r="I199" s="394" t="s">
        <v>1797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1">
        <v>46173</v>
      </c>
      <c r="C200" s="522" t="s">
        <v>3136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1792</v>
      </c>
      <c r="I200" s="394" t="s">
        <v>1797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1">
        <v>46173</v>
      </c>
      <c r="C201" s="522" t="s">
        <v>3135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1790</v>
      </c>
      <c r="I201" s="394" t="s">
        <v>1797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1">
        <v>46173</v>
      </c>
      <c r="C202" s="522" t="s">
        <v>3134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1792</v>
      </c>
      <c r="I202" s="394" t="s">
        <v>1797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1">
        <v>46173</v>
      </c>
      <c r="C203" s="522" t="s">
        <v>3133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1792</v>
      </c>
      <c r="I203" s="394" t="s">
        <v>1797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1">
        <v>46173</v>
      </c>
      <c r="C204" s="522" t="s">
        <v>3132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1792</v>
      </c>
      <c r="I204" s="394" t="s">
        <v>1797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1">
        <v>46173</v>
      </c>
      <c r="C205" s="522" t="s">
        <v>3131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1790</v>
      </c>
      <c r="I205" s="394" t="s">
        <v>1797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1">
        <v>46173</v>
      </c>
      <c r="C206" s="522" t="s">
        <v>3130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1792</v>
      </c>
      <c r="I206" s="394" t="s">
        <v>1797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29">
        <v>46174</v>
      </c>
      <c r="C207" s="530" t="s">
        <v>3144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1792</v>
      </c>
      <c r="I207" s="394" t="s">
        <v>1797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29">
        <v>46174</v>
      </c>
      <c r="C208" s="530" t="s">
        <v>3143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1790</v>
      </c>
      <c r="I208" s="394" t="s">
        <v>1797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29">
        <v>46174</v>
      </c>
      <c r="C209" s="530" t="s">
        <v>3142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1790</v>
      </c>
      <c r="I209" s="394" t="s">
        <v>1797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0">
        <v>46176</v>
      </c>
      <c r="C210" s="541" t="s">
        <v>3182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1790</v>
      </c>
      <c r="I210" s="394" t="s">
        <v>1797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0">
        <v>46178</v>
      </c>
      <c r="C211" s="541" t="s">
        <v>3181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1792</v>
      </c>
      <c r="I211" s="394" t="s">
        <v>1797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0">
        <v>46178</v>
      </c>
      <c r="C212" s="541" t="s">
        <v>3180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1792</v>
      </c>
      <c r="I212" s="394" t="s">
        <v>1797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0">
        <v>46179</v>
      </c>
      <c r="C213" s="541" t="s">
        <v>3179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1790</v>
      </c>
      <c r="I213" s="394" t="s">
        <v>1797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0">
        <v>46179</v>
      </c>
      <c r="C214" s="541" t="s">
        <v>3178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1790</v>
      </c>
      <c r="I214" s="394" t="s">
        <v>1797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0">
        <v>46179</v>
      </c>
      <c r="C215" s="541" t="s">
        <v>3177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1792</v>
      </c>
      <c r="I215" s="394" t="s">
        <v>1797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0">
        <v>46180</v>
      </c>
      <c r="C216" s="541" t="s">
        <v>3176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1792</v>
      </c>
      <c r="I216" s="394" t="s">
        <v>1797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0">
        <v>46180</v>
      </c>
      <c r="C217" s="541" t="s">
        <v>3175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1792</v>
      </c>
      <c r="I217" s="394" t="s">
        <v>1797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0">
        <v>46180</v>
      </c>
      <c r="C218" s="541" t="s">
        <v>3174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1792</v>
      </c>
      <c r="I218" s="394" t="s">
        <v>1797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0">
        <v>46180</v>
      </c>
      <c r="C219" s="541" t="s">
        <v>3173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1792</v>
      </c>
      <c r="I219" s="394" t="s">
        <v>1797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0">
        <v>46180</v>
      </c>
      <c r="C220" s="541" t="s">
        <v>3172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1792</v>
      </c>
      <c r="I220" s="394" t="s">
        <v>1797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0">
        <v>46182</v>
      </c>
      <c r="C221" s="541" t="s">
        <v>3215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1792</v>
      </c>
      <c r="I221" s="394" t="s">
        <v>1797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8">
        <v>46183</v>
      </c>
      <c r="C222" s="559" t="s">
        <v>3230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1790</v>
      </c>
      <c r="I222" s="394" t="s">
        <v>1797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8">
        <v>46183</v>
      </c>
      <c r="C223" s="559" t="s">
        <v>3227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1792</v>
      </c>
      <c r="I223" s="394" t="s">
        <v>1797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8">
        <v>46183</v>
      </c>
      <c r="C224" s="559" t="s">
        <v>3224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1792</v>
      </c>
      <c r="I224" s="394" t="s">
        <v>1797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8">
        <v>46183</v>
      </c>
      <c r="C225" s="559" t="s">
        <v>3229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1792</v>
      </c>
      <c r="I225" s="394" t="s">
        <v>1797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69">
        <v>46187</v>
      </c>
      <c r="C226" s="570" t="s">
        <v>3296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1792</v>
      </c>
      <c r="I226" s="394" t="s">
        <v>1797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69">
        <v>46187</v>
      </c>
      <c r="C227" s="570" t="s">
        <v>3295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1792</v>
      </c>
      <c r="I227" s="394" t="s">
        <v>1797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69">
        <v>46188</v>
      </c>
      <c r="C228" s="570" t="s">
        <v>3308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1792</v>
      </c>
      <c r="I228" s="394" t="s">
        <v>1797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1">
        <v>46191</v>
      </c>
      <c r="C229" s="592" t="s">
        <v>3366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1792</v>
      </c>
      <c r="I229" s="394" t="s">
        <v>1797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1">
        <v>46191</v>
      </c>
      <c r="C230" s="592" t="s">
        <v>3365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1792</v>
      </c>
      <c r="I230" s="394" t="s">
        <v>1797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1">
        <v>46191</v>
      </c>
      <c r="C231" s="592" t="s">
        <v>3356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1792</v>
      </c>
      <c r="I231" s="394" t="s">
        <v>1797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4">
        <v>46199</v>
      </c>
      <c r="C232" s="865" t="s">
        <v>3557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1792</v>
      </c>
      <c r="I232" s="394" t="s">
        <v>1797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6">
        <v>46212</v>
      </c>
      <c r="C233" s="925" t="s">
        <v>3690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1792</v>
      </c>
      <c r="I233" s="394" t="s">
        <v>1797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2">
        <v>46214</v>
      </c>
      <c r="C234" s="940" t="s">
        <v>3718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1792</v>
      </c>
      <c r="I234" s="394" t="s">
        <v>1797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0">
        <v>46215</v>
      </c>
      <c r="C235" s="951" t="s">
        <v>3726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1792</v>
      </c>
      <c r="I235" s="394" t="s">
        <v>1797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0">
        <v>46215</v>
      </c>
      <c r="C236" s="951" t="s">
        <v>3724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1790</v>
      </c>
      <c r="I236" s="394" t="s">
        <v>1797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0">
        <v>46215</v>
      </c>
      <c r="C237" s="951" t="s">
        <v>3725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1792</v>
      </c>
      <c r="I237" s="394" t="s">
        <v>1797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0">
        <v>46215</v>
      </c>
      <c r="C238" s="951" t="s">
        <v>3721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1792</v>
      </c>
      <c r="I238" s="394" t="s">
        <v>1797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5">
        <v>46217</v>
      </c>
      <c r="C239" s="966" t="s">
        <v>3765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1792</v>
      </c>
      <c r="I239" s="394" t="s">
        <v>1797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5">
        <v>46217</v>
      </c>
      <c r="C240" s="966" t="s">
        <v>3766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1792</v>
      </c>
      <c r="I240" s="394" t="s">
        <v>1797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5">
        <v>46217</v>
      </c>
      <c r="C241" s="966" t="s">
        <v>3764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1792</v>
      </c>
      <c r="I241" s="394" t="s">
        <v>1797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5">
        <v>46217</v>
      </c>
      <c r="C242" s="966" t="s">
        <v>3761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1792</v>
      </c>
      <c r="I242" s="394" t="s">
        <v>1797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5">
        <v>46217</v>
      </c>
      <c r="C243" s="966" t="s">
        <v>3763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1792</v>
      </c>
      <c r="I243" s="394" t="s">
        <v>1797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5">
        <v>46217</v>
      </c>
      <c r="C244" s="966" t="s">
        <v>3760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1792</v>
      </c>
      <c r="I244" s="394" t="s">
        <v>1797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5">
        <v>46217</v>
      </c>
      <c r="C245" s="966" t="s">
        <v>3759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1790</v>
      </c>
      <c r="I245" s="394" t="s">
        <v>1797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0">
        <v>46218</v>
      </c>
      <c r="C246" s="974" t="s">
        <v>3773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1792</v>
      </c>
      <c r="I246" s="394" t="s">
        <v>1797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0">
        <v>46218</v>
      </c>
      <c r="C247" s="974" t="s">
        <v>3772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1792</v>
      </c>
      <c r="I247" s="394" t="s">
        <v>1797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0">
        <v>46218</v>
      </c>
      <c r="C248" s="974" t="s">
        <v>3771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1792</v>
      </c>
      <c r="I248" s="394" t="s">
        <v>1797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>
      <c r="B2" s="600" t="s">
        <v>3375</v>
      </c>
      <c r="C2" s="601">
        <v>5000</v>
      </c>
      <c r="E2" s="622" t="s">
        <v>3414</v>
      </c>
      <c r="F2" s="603">
        <f>SUM(C21,F21,I21,L21,O21,C39,F39,I39,L39,O39)</f>
        <v>3134.9206349206352</v>
      </c>
    </row>
    <row r="3" spans="2:15">
      <c r="B3" s="600" t="s">
        <v>3390</v>
      </c>
      <c r="C3" s="602">
        <v>0.2</v>
      </c>
      <c r="E3" s="622" t="s">
        <v>3415</v>
      </c>
      <c r="F3" s="629">
        <f>F2/C2</f>
        <v>0.62698412698412709</v>
      </c>
    </row>
    <row r="4" spans="2:15">
      <c r="B4" s="631" t="s">
        <v>3424</v>
      </c>
      <c r="C4" s="609">
        <f>C3*C2</f>
        <v>1000</v>
      </c>
      <c r="E4" s="622"/>
      <c r="F4" s="629"/>
    </row>
    <row r="5" spans="2:15" ht="13.8" thickBot="1">
      <c r="B5" s="631"/>
      <c r="C5" s="609"/>
      <c r="E5" s="622"/>
      <c r="F5" s="629"/>
      <c r="K5" s="600" t="s">
        <v>3406</v>
      </c>
    </row>
    <row r="6" spans="2:15" ht="13.8" thickBot="1">
      <c r="B6" s="1472" t="s">
        <v>3606</v>
      </c>
      <c r="C6" s="1473"/>
      <c r="E6" s="1472" t="s">
        <v>3499</v>
      </c>
      <c r="F6" s="1473"/>
      <c r="H6" s="1472" t="s">
        <v>3405</v>
      </c>
      <c r="I6" s="1473"/>
      <c r="K6" s="1472" t="s">
        <v>3525</v>
      </c>
      <c r="L6" s="1473"/>
      <c r="N6" s="1472" t="s">
        <v>3526</v>
      </c>
      <c r="O6" s="1473"/>
    </row>
    <row r="7" spans="2:15">
      <c r="B7" s="600" t="s">
        <v>3387</v>
      </c>
      <c r="C7" s="608">
        <v>50</v>
      </c>
      <c r="E7" s="600" t="s">
        <v>3387</v>
      </c>
      <c r="F7" s="608">
        <v>120</v>
      </c>
      <c r="H7" s="600" t="s">
        <v>3387</v>
      </c>
      <c r="I7" s="608">
        <v>120</v>
      </c>
      <c r="K7" s="600" t="s">
        <v>3387</v>
      </c>
      <c r="L7" s="608">
        <v>120</v>
      </c>
      <c r="N7" s="600" t="s">
        <v>3387</v>
      </c>
      <c r="O7" s="608">
        <v>120</v>
      </c>
    </row>
    <row r="8" spans="2:15">
      <c r="B8" s="600" t="s">
        <v>3388</v>
      </c>
      <c r="C8" s="600">
        <f>C7*12</f>
        <v>600</v>
      </c>
      <c r="E8" s="600" t="s">
        <v>3388</v>
      </c>
      <c r="F8" s="600">
        <f>F7*12</f>
        <v>1440</v>
      </c>
      <c r="H8" s="600" t="s">
        <v>3388</v>
      </c>
      <c r="I8" s="600">
        <f>I7*12</f>
        <v>1440</v>
      </c>
      <c r="K8" s="847" t="s">
        <v>3388</v>
      </c>
      <c r="L8" s="600">
        <f>L7*12</f>
        <v>1440</v>
      </c>
      <c r="N8" s="600" t="s">
        <v>3388</v>
      </c>
      <c r="O8" s="600">
        <f>O7*12</f>
        <v>1440</v>
      </c>
    </row>
    <row r="9" spans="2:1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>
      <c r="B10" s="631" t="s">
        <v>3417</v>
      </c>
      <c r="C10" s="634">
        <v>7.0000000000000007E-2</v>
      </c>
      <c r="E10" s="631" t="s">
        <v>3417</v>
      </c>
      <c r="F10" s="634">
        <v>0.25</v>
      </c>
      <c r="H10" s="631" t="s">
        <v>3417</v>
      </c>
      <c r="I10" s="634">
        <v>1</v>
      </c>
      <c r="K10" s="631" t="s">
        <v>3417</v>
      </c>
      <c r="L10" s="634">
        <v>1</v>
      </c>
      <c r="N10" s="631" t="s">
        <v>3417</v>
      </c>
      <c r="O10" s="634">
        <v>1</v>
      </c>
    </row>
    <row r="11" spans="2:15">
      <c r="B11" s="631" t="s">
        <v>3418</v>
      </c>
      <c r="C11" s="634">
        <v>3.3000000000000002E-2</v>
      </c>
      <c r="E11" s="631" t="s">
        <v>3418</v>
      </c>
      <c r="F11" s="634">
        <v>0.1</v>
      </c>
      <c r="H11" s="631" t="s">
        <v>3418</v>
      </c>
      <c r="I11" s="634">
        <v>0.21</v>
      </c>
      <c r="K11" s="631" t="s">
        <v>3418</v>
      </c>
      <c r="L11" s="634">
        <f>1/19</f>
        <v>5.2631578947368418E-2</v>
      </c>
      <c r="N11" s="631" t="s">
        <v>3418</v>
      </c>
      <c r="O11" s="634">
        <f>1/25</f>
        <v>0.04</v>
      </c>
    </row>
    <row r="12" spans="2:15">
      <c r="B12" s="631" t="s">
        <v>3425</v>
      </c>
      <c r="C12" s="634">
        <v>0.5</v>
      </c>
      <c r="E12" s="631" t="s">
        <v>3425</v>
      </c>
      <c r="F12" s="634">
        <v>0.45</v>
      </c>
      <c r="H12" s="631" t="s">
        <v>3425</v>
      </c>
      <c r="I12" s="634">
        <v>1</v>
      </c>
      <c r="K12" s="631" t="s">
        <v>3425</v>
      </c>
      <c r="L12" s="634">
        <v>1</v>
      </c>
      <c r="N12" s="631" t="s">
        <v>3425</v>
      </c>
      <c r="O12" s="634">
        <v>1</v>
      </c>
    </row>
    <row r="13" spans="2:15">
      <c r="B13" s="600" t="s">
        <v>3383</v>
      </c>
      <c r="C13" s="607">
        <f>((C9*C11)-((1-C9)*C10))</f>
        <v>1.2400000000000005E-2</v>
      </c>
      <c r="E13" s="600" t="s">
        <v>3383</v>
      </c>
      <c r="F13" s="607">
        <f>((F9*F11)-((1-F9)*F10))</f>
        <v>1.2500000000000011E-2</v>
      </c>
      <c r="H13" s="600" t="s">
        <v>3383</v>
      </c>
      <c r="I13" s="607">
        <f>((I9*I11)-((1-I9)*I10))</f>
        <v>2.849999999999997E-2</v>
      </c>
      <c r="K13" s="600" t="s">
        <v>3383</v>
      </c>
      <c r="L13" s="607">
        <f>((L9*L11)-((1-L9)*L10))</f>
        <v>2.1052631578947337E-2</v>
      </c>
      <c r="N13" s="600" t="s">
        <v>3383</v>
      </c>
      <c r="O13" s="607">
        <f>((O9*O11)-((1-O9)*O10))</f>
        <v>8.7999999999999745E-3</v>
      </c>
    </row>
    <row r="14" spans="2:15">
      <c r="B14" s="600" t="s">
        <v>3404</v>
      </c>
      <c r="C14" s="608">
        <v>2</v>
      </c>
      <c r="E14" s="600" t="s">
        <v>3404</v>
      </c>
      <c r="F14" s="608">
        <v>2</v>
      </c>
      <c r="H14" s="600" t="s">
        <v>3404</v>
      </c>
      <c r="I14" s="608">
        <v>2</v>
      </c>
      <c r="K14" s="600" t="s">
        <v>3404</v>
      </c>
      <c r="L14" s="608">
        <v>0</v>
      </c>
      <c r="N14" s="600" t="s">
        <v>3404</v>
      </c>
      <c r="O14" s="608">
        <v>0</v>
      </c>
    </row>
    <row r="15" spans="2:15" ht="13.8" thickBot="1">
      <c r="B15" s="631" t="s">
        <v>3389</v>
      </c>
      <c r="C15" s="600">
        <f>ROUNDUP(LN(C8)/LN(1/(1-C9))+C14,0)</f>
        <v>6</v>
      </c>
      <c r="E15" s="631" t="s">
        <v>3389</v>
      </c>
      <c r="F15" s="600">
        <f>ROUNDUP(LN(F8)/LN(1/(1-F9))+F14,0)</f>
        <v>8</v>
      </c>
      <c r="H15" s="631" t="s">
        <v>3389</v>
      </c>
      <c r="I15" s="600">
        <f>ROUNDUP(LN(I8)/LN(1/(1-I9))+I14,0)</f>
        <v>6</v>
      </c>
      <c r="K15" s="631" t="s">
        <v>3389</v>
      </c>
      <c r="L15" s="600">
        <f>ROUNDUP(LN(L8)/LN(1/(1-L9))+L14,0)</f>
        <v>3</v>
      </c>
      <c r="N15" s="631" t="s">
        <v>3389</v>
      </c>
      <c r="O15" s="600">
        <f>ROUNDUP(LN(O8)/LN(1/(1-O9))+O14,0)</f>
        <v>3</v>
      </c>
    </row>
    <row r="16" spans="2:15" ht="13.8" thickBot="1">
      <c r="B16" s="615" t="s">
        <v>3391</v>
      </c>
      <c r="C16" s="616">
        <f>1-(1-(1-C9)^C15)^C8</f>
        <v>3.7673249836660649E-2</v>
      </c>
      <c r="E16" s="615" t="s">
        <v>3391</v>
      </c>
      <c r="F16" s="616">
        <f>1-(1-(1-F9)^F15)^F8</f>
        <v>2.1733179823088866E-2</v>
      </c>
      <c r="H16" s="615" t="s">
        <v>3391</v>
      </c>
      <c r="I16" s="616">
        <f>1-(1-(1-I9)^I15)^I8</f>
        <v>1.6268803382633146E-2</v>
      </c>
      <c r="K16" s="615" t="s">
        <v>3391</v>
      </c>
      <c r="L16" s="616">
        <f>1-(1-(1-L9)^L15)^L8</f>
        <v>3.8134378716907835E-2</v>
      </c>
      <c r="N16" s="615" t="s">
        <v>3391</v>
      </c>
      <c r="O16" s="616">
        <f>1-(1-(1-O9)^O15)^O8</f>
        <v>3.8134378716907835E-2</v>
      </c>
    </row>
    <row r="17" spans="2:15">
      <c r="B17" s="631" t="s">
        <v>3421</v>
      </c>
      <c r="C17" s="633">
        <f>$C$4/C15</f>
        <v>166.66666666666666</v>
      </c>
      <c r="E17" s="631" t="s">
        <v>3421</v>
      </c>
      <c r="F17" s="633">
        <f>$C$4/F15</f>
        <v>125</v>
      </c>
      <c r="H17" s="631" t="s">
        <v>3421</v>
      </c>
      <c r="I17" s="633">
        <f>$C$4/I15</f>
        <v>166.66666666666666</v>
      </c>
      <c r="K17" s="631" t="s">
        <v>3421</v>
      </c>
      <c r="L17" s="633">
        <f>$C$4/L15</f>
        <v>333.33333333333331</v>
      </c>
      <c r="N17" s="631" t="s">
        <v>3421</v>
      </c>
      <c r="O17" s="633">
        <f>$C$4/O15</f>
        <v>333.33333333333331</v>
      </c>
    </row>
    <row r="18" spans="2:15">
      <c r="B18" s="631" t="s">
        <v>3422</v>
      </c>
      <c r="C18" s="603">
        <f>C17/C10</f>
        <v>2380.9523809523807</v>
      </c>
      <c r="E18" s="631" t="s">
        <v>3422</v>
      </c>
      <c r="F18" s="603">
        <f>F17/F12</f>
        <v>277.77777777777777</v>
      </c>
      <c r="H18" s="631" t="s">
        <v>3422</v>
      </c>
      <c r="I18" s="603">
        <f>I17/I10</f>
        <v>166.66666666666666</v>
      </c>
      <c r="K18" s="631" t="s">
        <v>3422</v>
      </c>
      <c r="L18" s="603">
        <f>L17/L10</f>
        <v>333.33333333333331</v>
      </c>
      <c r="N18" s="631" t="s">
        <v>3422</v>
      </c>
      <c r="O18" s="603">
        <f>O17/O10</f>
        <v>333.33333333333331</v>
      </c>
    </row>
    <row r="19" spans="2:15" ht="13.8" thickBot="1">
      <c r="B19" s="631" t="s">
        <v>3423</v>
      </c>
      <c r="C19" s="629">
        <f>C18/$C$2</f>
        <v>0.47619047619047616</v>
      </c>
      <c r="E19" s="631" t="s">
        <v>3423</v>
      </c>
      <c r="F19" s="629">
        <f>F18/$C$2</f>
        <v>5.5555555555555552E-2</v>
      </c>
      <c r="H19" s="631" t="s">
        <v>3423</v>
      </c>
      <c r="I19" s="629">
        <f>I18/$C$2</f>
        <v>3.3333333333333333E-2</v>
      </c>
      <c r="K19" s="631" t="s">
        <v>3423</v>
      </c>
      <c r="L19" s="629">
        <f>L18/$C$2</f>
        <v>6.6666666666666666E-2</v>
      </c>
      <c r="N19" s="631" t="s">
        <v>3423</v>
      </c>
      <c r="O19" s="629">
        <f>O18/$C$2</f>
        <v>6.6666666666666666E-2</v>
      </c>
    </row>
    <row r="20" spans="2:15">
      <c r="B20" s="624" t="s">
        <v>3410</v>
      </c>
      <c r="C20" s="623">
        <v>0.5</v>
      </c>
      <c r="E20" s="624" t="s">
        <v>3410</v>
      </c>
      <c r="F20" s="623">
        <v>1</v>
      </c>
      <c r="H20" s="624" t="s">
        <v>3410</v>
      </c>
      <c r="I20" s="623">
        <v>1</v>
      </c>
      <c r="K20" s="624" t="s">
        <v>3410</v>
      </c>
      <c r="L20" s="623">
        <v>1</v>
      </c>
      <c r="N20" s="624" t="s">
        <v>3410</v>
      </c>
      <c r="O20" s="623">
        <v>1</v>
      </c>
    </row>
    <row r="21" spans="2:15" ht="13.8" thickBot="1">
      <c r="B21" s="625" t="s">
        <v>3411</v>
      </c>
      <c r="C21" s="628">
        <f>C20*C18</f>
        <v>1190.4761904761904</v>
      </c>
      <c r="E21" s="625" t="s">
        <v>3411</v>
      </c>
      <c r="F21" s="628">
        <f>F20*F18</f>
        <v>277.77777777777777</v>
      </c>
      <c r="H21" s="625" t="s">
        <v>3411</v>
      </c>
      <c r="I21" s="628">
        <f>I20*I18</f>
        <v>166.66666666666666</v>
      </c>
      <c r="K21" s="625" t="s">
        <v>3411</v>
      </c>
      <c r="L21" s="628">
        <f>IFERROR(L20*L18,0)</f>
        <v>333.33333333333331</v>
      </c>
      <c r="N21" s="625" t="s">
        <v>3411</v>
      </c>
      <c r="O21" s="628">
        <f>IFERROR(O20*O18,0)</f>
        <v>333.33333333333331</v>
      </c>
    </row>
    <row r="22" spans="2:1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/>
    <row r="24" spans="2:15" ht="14.4" customHeight="1" thickBot="1">
      <c r="B24" s="1472" t="s">
        <v>3413</v>
      </c>
      <c r="C24" s="1473"/>
      <c r="E24" s="1472" t="s">
        <v>3412</v>
      </c>
      <c r="F24" s="1473"/>
      <c r="H24" s="1472" t="s">
        <v>3402</v>
      </c>
      <c r="I24" s="1473"/>
      <c r="K24" s="1472" t="s">
        <v>3401</v>
      </c>
      <c r="L24" s="1473"/>
      <c r="N24" s="1472" t="s">
        <v>3527</v>
      </c>
      <c r="O24" s="1473"/>
    </row>
    <row r="25" spans="2:15">
      <c r="B25" s="600" t="s">
        <v>3387</v>
      </c>
      <c r="C25" s="608">
        <v>4</v>
      </c>
      <c r="E25" s="600" t="s">
        <v>3387</v>
      </c>
      <c r="F25" s="608">
        <v>4</v>
      </c>
      <c r="H25" s="600" t="s">
        <v>3387</v>
      </c>
      <c r="I25" s="608">
        <v>60</v>
      </c>
      <c r="K25" s="600" t="s">
        <v>3387</v>
      </c>
      <c r="L25" s="608"/>
      <c r="N25" s="600" t="s">
        <v>3387</v>
      </c>
      <c r="O25" s="608"/>
    </row>
    <row r="26" spans="2:15">
      <c r="B26" s="600" t="s">
        <v>3388</v>
      </c>
      <c r="C26" s="600">
        <f>C25*12</f>
        <v>48</v>
      </c>
      <c r="E26" s="600" t="s">
        <v>3388</v>
      </c>
      <c r="F26" s="600">
        <f>F25*12</f>
        <v>48</v>
      </c>
      <c r="H26" s="600" t="s">
        <v>3388</v>
      </c>
      <c r="I26" s="600">
        <f>I25*12</f>
        <v>720</v>
      </c>
      <c r="K26" s="600" t="s">
        <v>3388</v>
      </c>
      <c r="L26" s="600">
        <f>L25*12</f>
        <v>0</v>
      </c>
      <c r="N26" s="600" t="s">
        <v>3388</v>
      </c>
      <c r="O26" s="600">
        <f>O25*12</f>
        <v>0</v>
      </c>
    </row>
    <row r="27" spans="2:1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>
      <c r="B28" s="631" t="s">
        <v>3417</v>
      </c>
      <c r="C28" s="634">
        <v>1</v>
      </c>
      <c r="E28" s="631" t="s">
        <v>3417</v>
      </c>
      <c r="F28" s="634">
        <v>1</v>
      </c>
      <c r="H28" s="631" t="s">
        <v>3417</v>
      </c>
      <c r="I28" s="634">
        <v>1</v>
      </c>
      <c r="K28" s="631" t="s">
        <v>3417</v>
      </c>
      <c r="L28" s="634"/>
      <c r="N28" s="631" t="s">
        <v>3417</v>
      </c>
      <c r="O28" s="634"/>
    </row>
    <row r="29" spans="2:15">
      <c r="B29" s="631" t="s">
        <v>3418</v>
      </c>
      <c r="C29" s="602">
        <f>1/19</f>
        <v>5.2631578947368418E-2</v>
      </c>
      <c r="E29" s="631" t="s">
        <v>3418</v>
      </c>
      <c r="F29" s="602">
        <f>1/14</f>
        <v>7.1428571428571425E-2</v>
      </c>
      <c r="H29" s="631" t="s">
        <v>3418</v>
      </c>
      <c r="I29" s="602">
        <v>9.2999999999999999E-2</v>
      </c>
      <c r="K29" s="631" t="s">
        <v>3418</v>
      </c>
      <c r="L29" s="602"/>
      <c r="N29" s="631" t="s">
        <v>3418</v>
      </c>
      <c r="O29" s="634"/>
    </row>
    <row r="30" spans="2:15">
      <c r="B30" s="631" t="s">
        <v>3425</v>
      </c>
      <c r="C30" s="602">
        <v>1</v>
      </c>
      <c r="E30" s="631" t="s">
        <v>3425</v>
      </c>
      <c r="F30" s="602">
        <v>1</v>
      </c>
      <c r="H30" s="631" t="s">
        <v>3425</v>
      </c>
      <c r="I30" s="602">
        <v>1</v>
      </c>
      <c r="K30" s="631" t="s">
        <v>3425</v>
      </c>
      <c r="L30" s="602"/>
      <c r="N30" s="631" t="s">
        <v>3425</v>
      </c>
      <c r="O30" s="634"/>
    </row>
    <row r="31" spans="2:15">
      <c r="B31" s="600" t="s">
        <v>3383</v>
      </c>
      <c r="C31" s="607">
        <f>((C27*C29)-((1-C27)*C28))</f>
        <v>1.0526315789473641E-2</v>
      </c>
      <c r="E31" s="600" t="s">
        <v>3383</v>
      </c>
      <c r="F31" s="607">
        <f>((F27*F29)-((1-F27)*F28))</f>
        <v>3.9285714285714257E-2</v>
      </c>
      <c r="H31" s="600" t="s">
        <v>3383</v>
      </c>
      <c r="I31" s="607">
        <f>((I27*I29)-((1-I27)*I28))</f>
        <v>2.5233999999999937E-2</v>
      </c>
      <c r="K31" s="600" t="s">
        <v>3383</v>
      </c>
      <c r="L31" s="607">
        <f>((L27*L29)-((1-L27)*L28))</f>
        <v>0</v>
      </c>
      <c r="N31" s="600" t="s">
        <v>3383</v>
      </c>
      <c r="O31" s="607">
        <f>((O27*O29)-((1-O27)*O28))</f>
        <v>0</v>
      </c>
    </row>
    <row r="32" spans="2:15">
      <c r="B32" s="600" t="s">
        <v>3404</v>
      </c>
      <c r="C32" s="608">
        <v>1</v>
      </c>
      <c r="E32" s="600" t="s">
        <v>3404</v>
      </c>
      <c r="F32" s="608">
        <v>0</v>
      </c>
      <c r="H32" s="600" t="s">
        <v>3404</v>
      </c>
      <c r="I32" s="608">
        <v>1</v>
      </c>
      <c r="K32" s="600" t="s">
        <v>3404</v>
      </c>
      <c r="L32" s="608"/>
      <c r="N32" s="600" t="s">
        <v>3404</v>
      </c>
      <c r="O32" s="608"/>
    </row>
    <row r="33" spans="2:15" ht="13.8" thickBot="1">
      <c r="B33" s="631" t="s">
        <v>3389</v>
      </c>
      <c r="C33" s="600">
        <f>ROUNDUP(LN(C26)/LN(1/(1-C27))+C32,0)</f>
        <v>3</v>
      </c>
      <c r="E33" s="631" t="s">
        <v>3389</v>
      </c>
      <c r="F33" s="600">
        <f>ROUNDUP(LN(F26)/LN(1/(1-F27))+F32,0)</f>
        <v>2</v>
      </c>
      <c r="H33" s="631" t="s">
        <v>3389</v>
      </c>
      <c r="I33" s="600">
        <f>ROUNDUP(LN(I26)/LN(1/(1-I27))+I32,0)</f>
        <v>4</v>
      </c>
      <c r="K33" s="631" t="s">
        <v>3389</v>
      </c>
      <c r="L33" s="600" t="e">
        <f>ROUNDUP(LN(L26)/LN(1/(1-L27))+L32,0)</f>
        <v>#NUM!</v>
      </c>
      <c r="N33" s="631" t="s">
        <v>3389</v>
      </c>
      <c r="O33" s="600" t="e">
        <f>ROUNDUP(LN(O26)/LN(1/(1-O27))+O32,0)</f>
        <v>#NUM!</v>
      </c>
    </row>
    <row r="34" spans="2:15" ht="13.8" thickBot="1">
      <c r="B34" s="615" t="s">
        <v>3391</v>
      </c>
      <c r="C34" s="616">
        <f>1-(1-(1-C27)^C33)^C26</f>
        <v>3.0673842427780817E-3</v>
      </c>
      <c r="E34" s="615" t="s">
        <v>3391</v>
      </c>
      <c r="F34" s="616">
        <f>1-(1-(1-F27)^F33)^F26</f>
        <v>4.2298802124675072E-2</v>
      </c>
      <c r="H34" s="615" t="s">
        <v>3391</v>
      </c>
      <c r="I34" s="616">
        <f>1-(1-(1-I27)^I33)^I26</f>
        <v>1.0582646102934801E-2</v>
      </c>
      <c r="K34" s="615" t="s">
        <v>3391</v>
      </c>
      <c r="L34" s="616" t="e">
        <f>1-(1-(1-L27)^L33)^L26</f>
        <v>#NUM!</v>
      </c>
      <c r="N34" s="615" t="s">
        <v>3391</v>
      </c>
      <c r="O34" s="616" t="e">
        <f>1-(1-(1-O27)^O33)^O26</f>
        <v>#NUM!</v>
      </c>
    </row>
    <row r="35" spans="2:15">
      <c r="B35" s="631" t="s">
        <v>3421</v>
      </c>
      <c r="C35" s="633">
        <f>$C$4/C33</f>
        <v>333.33333333333331</v>
      </c>
      <c r="E35" s="631" t="s">
        <v>3421</v>
      </c>
      <c r="F35" s="633">
        <f>$C$4/F33</f>
        <v>500</v>
      </c>
      <c r="H35" s="631" t="s">
        <v>3421</v>
      </c>
      <c r="I35" s="633">
        <f>$C$4/I33</f>
        <v>250</v>
      </c>
      <c r="K35" s="631" t="s">
        <v>3421</v>
      </c>
      <c r="L35" s="633" t="e">
        <f>$C$4/L33</f>
        <v>#NUM!</v>
      </c>
      <c r="N35" s="631" t="s">
        <v>3421</v>
      </c>
      <c r="O35" s="633" t="e">
        <f>$C$4/O33</f>
        <v>#NUM!</v>
      </c>
    </row>
    <row r="36" spans="2:15">
      <c r="B36" s="631" t="s">
        <v>3422</v>
      </c>
      <c r="C36" s="603">
        <f>C35/C28</f>
        <v>333.33333333333331</v>
      </c>
      <c r="E36" s="631" t="s">
        <v>3422</v>
      </c>
      <c r="F36" s="603">
        <f>F35/F28</f>
        <v>500</v>
      </c>
      <c r="H36" s="631" t="s">
        <v>3422</v>
      </c>
      <c r="I36" s="603">
        <f>I35/I28</f>
        <v>250</v>
      </c>
      <c r="K36" s="631" t="s">
        <v>3422</v>
      </c>
      <c r="L36" s="603" t="e">
        <f>L35/L28</f>
        <v>#NUM!</v>
      </c>
      <c r="N36" s="631" t="s">
        <v>3422</v>
      </c>
      <c r="O36" s="603" t="e">
        <f>O35/O28</f>
        <v>#NUM!</v>
      </c>
    </row>
    <row r="37" spans="2:15" ht="13.8" thickBot="1">
      <c r="B37" s="631" t="s">
        <v>3423</v>
      </c>
      <c r="C37" s="629">
        <f>C36/$C$2</f>
        <v>6.6666666666666666E-2</v>
      </c>
      <c r="E37" s="631" t="s">
        <v>3423</v>
      </c>
      <c r="F37" s="629">
        <f>F36/$C$2</f>
        <v>0.1</v>
      </c>
      <c r="H37" s="631" t="s">
        <v>3423</v>
      </c>
      <c r="I37" s="629">
        <f>I36/$C$2</f>
        <v>0.05</v>
      </c>
      <c r="K37" s="631" t="s">
        <v>3423</v>
      </c>
      <c r="L37" s="629" t="e">
        <f>L36/$C$2</f>
        <v>#NUM!</v>
      </c>
      <c r="N37" s="631" t="s">
        <v>3423</v>
      </c>
      <c r="O37" s="629" t="e">
        <f>O36/$C$2</f>
        <v>#NUM!</v>
      </c>
    </row>
    <row r="38" spans="2:15">
      <c r="B38" s="624" t="s">
        <v>3410</v>
      </c>
      <c r="C38" s="623">
        <v>0.7</v>
      </c>
      <c r="E38" s="624" t="s">
        <v>3410</v>
      </c>
      <c r="F38" s="623">
        <v>0.7</v>
      </c>
      <c r="H38" s="624" t="s">
        <v>3410</v>
      </c>
      <c r="I38" s="623">
        <v>1</v>
      </c>
      <c r="K38" s="624" t="s">
        <v>3410</v>
      </c>
      <c r="L38" s="623"/>
      <c r="N38" s="624" t="s">
        <v>3410</v>
      </c>
      <c r="O38" s="623">
        <v>0</v>
      </c>
    </row>
    <row r="39" spans="2:15" ht="13.8" thickBot="1">
      <c r="B39" s="625" t="s">
        <v>3411</v>
      </c>
      <c r="C39" s="628">
        <f>C38*C36</f>
        <v>233.33333333333331</v>
      </c>
      <c r="E39" s="625" t="s">
        <v>3411</v>
      </c>
      <c r="F39" s="628">
        <f>F38*F36</f>
        <v>350</v>
      </c>
      <c r="H39" s="625" t="s">
        <v>3411</v>
      </c>
      <c r="I39" s="628">
        <f>I38*I36</f>
        <v>250</v>
      </c>
      <c r="K39" s="625" t="s">
        <v>3411</v>
      </c>
      <c r="L39" s="628">
        <f>IFERROR(L38*L36,0)</f>
        <v>0</v>
      </c>
      <c r="N39" s="625" t="s">
        <v>3411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>
      <c r="B2" s="600" t="s">
        <v>3375</v>
      </c>
      <c r="C2" s="601">
        <v>4200</v>
      </c>
      <c r="E2" s="622" t="s">
        <v>3414</v>
      </c>
      <c r="F2" s="603">
        <f>SUM(F38:X38)</f>
        <v>2900</v>
      </c>
    </row>
    <row r="3" spans="2:25">
      <c r="B3" s="600" t="s">
        <v>3390</v>
      </c>
      <c r="C3" s="602">
        <v>0.2</v>
      </c>
      <c r="E3" s="622" t="s">
        <v>3415</v>
      </c>
      <c r="F3" s="629">
        <f>F2/C2</f>
        <v>0.69047619047619047</v>
      </c>
    </row>
    <row r="4" spans="2:25" ht="13.8" thickBot="1"/>
    <row r="5" spans="2:25" ht="13.8" thickBot="1">
      <c r="B5" s="1472" t="s">
        <v>3403</v>
      </c>
      <c r="C5" s="1473"/>
      <c r="E5" s="1472" t="s">
        <v>3407</v>
      </c>
      <c r="F5" s="1473"/>
      <c r="H5" s="1472" t="s">
        <v>3405</v>
      </c>
      <c r="I5" s="1473"/>
      <c r="K5" s="1474" t="s">
        <v>3416</v>
      </c>
      <c r="L5" s="1475"/>
      <c r="N5" s="1472" t="s">
        <v>3412</v>
      </c>
      <c r="O5" s="1473"/>
      <c r="Q5" s="1472" t="s">
        <v>3413</v>
      </c>
      <c r="R5" s="1473"/>
      <c r="T5" s="1472" t="s">
        <v>3402</v>
      </c>
      <c r="U5" s="1473"/>
      <c r="W5" s="1472" t="s">
        <v>3401</v>
      </c>
      <c r="X5" s="1473"/>
    </row>
    <row r="6" spans="2:25">
      <c r="B6" s="600" t="s">
        <v>3375</v>
      </c>
      <c r="C6" s="609">
        <f>$C$2</f>
        <v>4200</v>
      </c>
      <c r="E6" s="600" t="s">
        <v>3375</v>
      </c>
      <c r="F6" s="609">
        <f>$C$2</f>
        <v>4200</v>
      </c>
      <c r="H6" s="600" t="s">
        <v>3375</v>
      </c>
      <c r="I6" s="609">
        <f>$C$2</f>
        <v>4200</v>
      </c>
      <c r="K6" s="600" t="s">
        <v>3375</v>
      </c>
      <c r="L6" s="609">
        <f>$C$2</f>
        <v>4200</v>
      </c>
      <c r="N6" s="600" t="s">
        <v>3375</v>
      </c>
      <c r="O6" s="609">
        <f>$C$2</f>
        <v>4200</v>
      </c>
      <c r="Q6" s="600" t="s">
        <v>3375</v>
      </c>
      <c r="R6" s="609">
        <f>$C$2</f>
        <v>4200</v>
      </c>
      <c r="T6" s="600" t="s">
        <v>3375</v>
      </c>
      <c r="U6" s="609">
        <f>$C$2</f>
        <v>4200</v>
      </c>
      <c r="W6" s="600" t="s">
        <v>3375</v>
      </c>
      <c r="X6" s="609">
        <f>$C$2</f>
        <v>4200</v>
      </c>
    </row>
    <row r="7" spans="2: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>
      <c r="B8" s="631" t="s">
        <v>3417</v>
      </c>
      <c r="C8" s="601">
        <v>100</v>
      </c>
      <c r="E8" s="631" t="s">
        <v>3417</v>
      </c>
      <c r="F8" s="601">
        <v>15</v>
      </c>
      <c r="H8" s="631" t="s">
        <v>3417</v>
      </c>
      <c r="I8" s="601">
        <v>100</v>
      </c>
      <c r="K8" s="631" t="s">
        <v>3417</v>
      </c>
      <c r="L8" s="601">
        <v>10</v>
      </c>
    </row>
    <row r="9" spans="2:25">
      <c r="B9" s="631" t="s">
        <v>3418</v>
      </c>
      <c r="C9" s="601">
        <v>33</v>
      </c>
      <c r="E9" s="631" t="s">
        <v>3418</v>
      </c>
      <c r="F9" s="601">
        <v>8.3000000000000007</v>
      </c>
      <c r="H9" s="631" t="s">
        <v>3418</v>
      </c>
      <c r="I9" s="601">
        <v>23</v>
      </c>
      <c r="K9" s="631" t="s">
        <v>3418</v>
      </c>
      <c r="L9" s="601">
        <v>4</v>
      </c>
    </row>
    <row r="10" spans="2:25">
      <c r="B10" s="600" t="s">
        <v>3376</v>
      </c>
      <c r="C10" s="603">
        <f>C9/C8+1</f>
        <v>1.33</v>
      </c>
      <c r="E10" s="600" t="s">
        <v>3376</v>
      </c>
      <c r="F10" s="603">
        <f>F9/F8+1</f>
        <v>1.5533333333333332</v>
      </c>
      <c r="H10" s="600" t="s">
        <v>3376</v>
      </c>
      <c r="I10" s="603">
        <f>I9/I8+1</f>
        <v>1.23</v>
      </c>
      <c r="K10" s="600" t="s">
        <v>3376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>
      <c r="B11" s="600" t="s">
        <v>3377</v>
      </c>
      <c r="C11" s="621">
        <v>2</v>
      </c>
      <c r="E11" s="600" t="s">
        <v>3377</v>
      </c>
      <c r="F11" s="621">
        <v>2</v>
      </c>
      <c r="H11" s="600" t="s">
        <v>3377</v>
      </c>
      <c r="I11" s="621">
        <v>2</v>
      </c>
      <c r="K11" s="600" t="s">
        <v>3377</v>
      </c>
      <c r="L11" s="621">
        <v>2.5</v>
      </c>
      <c r="N11" s="600" t="s">
        <v>3377</v>
      </c>
      <c r="O11" s="621">
        <v>1</v>
      </c>
      <c r="Q11" s="600" t="s">
        <v>3377</v>
      </c>
      <c r="R11" s="621">
        <v>1</v>
      </c>
      <c r="T11" s="600" t="s">
        <v>3377</v>
      </c>
      <c r="U11" s="621">
        <v>2.5</v>
      </c>
      <c r="W11" s="600" t="s">
        <v>3377</v>
      </c>
      <c r="X11" s="621">
        <v>5</v>
      </c>
    </row>
    <row r="12" spans="2:25">
      <c r="B12" s="600" t="s">
        <v>3378</v>
      </c>
      <c r="C12" s="603">
        <f>C10-1</f>
        <v>0.33000000000000007</v>
      </c>
      <c r="E12" s="600" t="s">
        <v>3378</v>
      </c>
      <c r="F12" s="603">
        <f>F10-1</f>
        <v>0.55333333333333323</v>
      </c>
      <c r="H12" s="600" t="s">
        <v>3378</v>
      </c>
      <c r="I12" s="603">
        <f>I10-1</f>
        <v>0.22999999999999998</v>
      </c>
      <c r="K12" s="600" t="s">
        <v>3378</v>
      </c>
      <c r="L12" s="603">
        <f>L10-1</f>
        <v>0.39999999999999991</v>
      </c>
      <c r="N12" s="600" t="s">
        <v>3378</v>
      </c>
      <c r="O12" s="603">
        <f>1/(O10-1)</f>
        <v>7.2992700729927015E-2</v>
      </c>
      <c r="Q12" s="600" t="s">
        <v>3378</v>
      </c>
      <c r="R12" s="603">
        <f>1/(R10-1)</f>
        <v>5.305039787798408E-2</v>
      </c>
      <c r="T12" s="600" t="s">
        <v>3378</v>
      </c>
      <c r="U12" s="603">
        <f>1/(U10-1)</f>
        <v>9.3370681605975711E-2</v>
      </c>
      <c r="W12" s="600" t="s">
        <v>3378</v>
      </c>
      <c r="X12" s="603">
        <f>X10-1</f>
        <v>0.28000000000000003</v>
      </c>
    </row>
    <row r="13" spans="2:25">
      <c r="B13" s="600" t="s">
        <v>3379</v>
      </c>
      <c r="C13" s="604">
        <f>1-C7</f>
        <v>0.17000000000000004</v>
      </c>
      <c r="E13" s="600" t="s">
        <v>3379</v>
      </c>
      <c r="F13" s="604">
        <f>1-F7</f>
        <v>0.19999999999999996</v>
      </c>
      <c r="H13" s="600" t="s">
        <v>3379</v>
      </c>
      <c r="I13" s="604">
        <f>1-I7</f>
        <v>0.15000000000000002</v>
      </c>
      <c r="K13" s="600" t="s">
        <v>3379</v>
      </c>
      <c r="L13" s="604">
        <f>1-L7</f>
        <v>0.25</v>
      </c>
      <c r="N13" s="600" t="s">
        <v>3379</v>
      </c>
      <c r="O13" s="605">
        <f>1-O7</f>
        <v>2.0000000000000018E-2</v>
      </c>
      <c r="Q13" s="600" t="s">
        <v>3379</v>
      </c>
      <c r="R13" s="605">
        <f>1-R7</f>
        <v>2.0000000000000018E-2</v>
      </c>
      <c r="T13" s="600" t="s">
        <v>3379</v>
      </c>
      <c r="U13" s="605">
        <f>1-U7</f>
        <v>6.2000000000000055E-2</v>
      </c>
      <c r="W13" s="600" t="s">
        <v>3379</v>
      </c>
      <c r="X13" s="604">
        <f>1-X7</f>
        <v>0.15000000000000002</v>
      </c>
    </row>
    <row r="14" spans="2:25" ht="13.8" thickBot="1">
      <c r="B14" s="600" t="s">
        <v>3380</v>
      </c>
      <c r="C14" s="603">
        <f>(C12*C7-C13)/C12</f>
        <v>0.31484848484848477</v>
      </c>
      <c r="E14" s="600" t="s">
        <v>3380</v>
      </c>
      <c r="F14" s="603">
        <f>(F12*F7-F13)/F12</f>
        <v>0.43855421686746993</v>
      </c>
      <c r="H14" s="600" t="s">
        <v>3380</v>
      </c>
      <c r="I14" s="603">
        <f>(I12*I7-I13)/I12</f>
        <v>0.19782608695652157</v>
      </c>
      <c r="K14" s="600" t="s">
        <v>3380</v>
      </c>
      <c r="L14" s="603">
        <f>(L12*L7-L13)/L12</f>
        <v>0.12499999999999986</v>
      </c>
      <c r="N14" s="600" t="s">
        <v>3380</v>
      </c>
      <c r="O14" s="603">
        <f>(O12*O7-O13)/O12</f>
        <v>0.70599999999999974</v>
      </c>
      <c r="Q14" s="600" t="s">
        <v>3380</v>
      </c>
      <c r="R14" s="603">
        <f>(R12*R7-R13)/R12</f>
        <v>0.60299999999999965</v>
      </c>
      <c r="T14" s="600" t="s">
        <v>3380</v>
      </c>
      <c r="U14" s="603">
        <f>(U12*U7-U13)/U12</f>
        <v>0.27397999999999922</v>
      </c>
      <c r="W14" s="600" t="s">
        <v>3380</v>
      </c>
      <c r="X14" s="603">
        <f>(X12*X7-X13)/X12</f>
        <v>0.31428571428571422</v>
      </c>
    </row>
    <row r="15" spans="2:25">
      <c r="B15" s="611" t="s">
        <v>3381</v>
      </c>
      <c r="C15" s="612">
        <f>C14/C11/(C8/100)</f>
        <v>0.15742424242424238</v>
      </c>
      <c r="E15" s="611" t="s">
        <v>3381</v>
      </c>
      <c r="F15" s="612">
        <f>F14/F11/(F8/100)</f>
        <v>1.4618473895582331</v>
      </c>
      <c r="H15" s="611" t="s">
        <v>3381</v>
      </c>
      <c r="I15" s="612">
        <f>I14/I11/(I8/100)</f>
        <v>9.8913043478260784E-2</v>
      </c>
      <c r="K15" s="611" t="s">
        <v>3381</v>
      </c>
      <c r="L15" s="612">
        <f>L14/L11/(L8/100)</f>
        <v>0.49999999999999944</v>
      </c>
      <c r="N15" s="611" t="s">
        <v>3381</v>
      </c>
      <c r="O15" s="612">
        <f>O14/O11</f>
        <v>0.70599999999999974</v>
      </c>
      <c r="Q15" s="611" t="s">
        <v>3381</v>
      </c>
      <c r="R15" s="612">
        <f>R14/R11</f>
        <v>0.60299999999999965</v>
      </c>
      <c r="T15" s="611" t="s">
        <v>3381</v>
      </c>
      <c r="U15" s="612">
        <f>U14/U11</f>
        <v>0.10959199999999969</v>
      </c>
      <c r="W15" s="611" t="s">
        <v>3381</v>
      </c>
      <c r="X15" s="612">
        <f>X14/X11</f>
        <v>6.2857142857142848E-2</v>
      </c>
      <c r="Y15" s="600" t="s">
        <v>3397</v>
      </c>
    </row>
    <row r="16" spans="2:25" ht="13.8" thickBot="1">
      <c r="B16" s="613" t="s">
        <v>3382</v>
      </c>
      <c r="C16" s="614">
        <f>C15*C6</f>
        <v>661.18181818181802</v>
      </c>
      <c r="E16" s="613" t="s">
        <v>3382</v>
      </c>
      <c r="F16" s="614">
        <f>F15*F6</f>
        <v>6139.7590361445791</v>
      </c>
      <c r="H16" s="613" t="s">
        <v>3382</v>
      </c>
      <c r="I16" s="614">
        <f>I15*I6</f>
        <v>415.43478260869529</v>
      </c>
      <c r="K16" s="613" t="s">
        <v>3382</v>
      </c>
      <c r="L16" s="614">
        <f>L15*L6</f>
        <v>2099.9999999999977</v>
      </c>
      <c r="N16" s="613" t="s">
        <v>3382</v>
      </c>
      <c r="O16" s="614">
        <f>O15*O6</f>
        <v>2965.1999999999989</v>
      </c>
      <c r="Q16" s="613" t="s">
        <v>3382</v>
      </c>
      <c r="R16" s="614">
        <f>R15*R6</f>
        <v>2532.5999999999985</v>
      </c>
      <c r="T16" s="613" t="s">
        <v>3382</v>
      </c>
      <c r="U16" s="614">
        <f>U15*U6</f>
        <v>460.28639999999871</v>
      </c>
      <c r="W16" s="613" t="s">
        <v>3382</v>
      </c>
      <c r="X16" s="614">
        <f>X15*X6</f>
        <v>263.99999999999994</v>
      </c>
      <c r="Y16" s="600" t="s">
        <v>3398</v>
      </c>
    </row>
    <row r="18" spans="2:25">
      <c r="B18" s="600" t="s">
        <v>3383</v>
      </c>
      <c r="C18" s="607">
        <f>((C7*C9)-(C13*C8))/C8</f>
        <v>0.10389999999999994</v>
      </c>
      <c r="E18" s="600" t="s">
        <v>3383</v>
      </c>
      <c r="F18" s="607">
        <f>((F7*F9)-(F13*F8))/F8</f>
        <v>0.24266666666666675</v>
      </c>
      <c r="H18" s="600" t="s">
        <v>3383</v>
      </c>
      <c r="I18" s="607">
        <f>((I7*I9)-(I13*I8))/I8</f>
        <v>4.5499999999999992E-2</v>
      </c>
      <c r="K18" s="600" t="s">
        <v>3383</v>
      </c>
      <c r="L18" s="607">
        <f>((L7*L9)-(L13*L8))/L8</f>
        <v>0.05</v>
      </c>
      <c r="N18" s="600" t="s">
        <v>3383</v>
      </c>
      <c r="O18" s="607">
        <f>(100/(O10-1)*O7-O13*100)/100</f>
        <v>5.1532846715328449E-2</v>
      </c>
      <c r="Q18" s="600" t="s">
        <v>3383</v>
      </c>
      <c r="R18" s="607">
        <f>(100/(R10-1)*R7-R13*100)/100</f>
        <v>3.1989389920424376E-2</v>
      </c>
      <c r="T18" s="600" t="s">
        <v>3383</v>
      </c>
      <c r="U18" s="607">
        <f>(100/(U10-1)*U7-U13*100)/100</f>
        <v>2.5581699346405164E-2</v>
      </c>
      <c r="W18" s="600" t="s">
        <v>3383</v>
      </c>
      <c r="X18" s="607">
        <f>(100*(X10-1)*X7-X13*100)/100</f>
        <v>8.7999999999999995E-2</v>
      </c>
    </row>
    <row r="19" spans="2:25" ht="13.8" thickBot="1">
      <c r="B19" s="600" t="s">
        <v>3384</v>
      </c>
      <c r="C19" s="606">
        <f>(C7*(C9/100-C18)^2)+(C13*(-C8/100-C18)^2)</f>
        <v>0.24959179000000004</v>
      </c>
      <c r="E19" s="600" t="s">
        <v>3384</v>
      </c>
      <c r="F19" s="606">
        <f>(F7*(F9/100-F18)^2)+(F13*(-F8/100-F18)^2)</f>
        <v>5.1232177777777804E-2</v>
      </c>
      <c r="H19" s="600" t="s">
        <v>3384</v>
      </c>
      <c r="I19" s="606">
        <f>(I7*(I9/100-I18)^2)+(I13*(-I8/100-I18)^2)</f>
        <v>0.19289475000000006</v>
      </c>
      <c r="K19" s="600" t="s">
        <v>3384</v>
      </c>
      <c r="L19" s="606">
        <f>(L7*(L9/100-L18)^2)+(L13*(-L8/100-L18)^2)</f>
        <v>5.7000000000000019E-3</v>
      </c>
      <c r="N19" s="600" t="s">
        <v>3384</v>
      </c>
      <c r="O19" s="606">
        <f>(O7*((100/O10-1)/100-O18)^2)+(O13*(-100/100-O18)^2)</f>
        <v>2.2155759785065589E-2</v>
      </c>
      <c r="Q19" s="600" t="s">
        <v>3384</v>
      </c>
      <c r="R19" s="606">
        <f>(R7*((100/R10-1)/100-R18)^2)+(R13*(-100/100-R18)^2)</f>
        <v>2.1369000688302688E-2</v>
      </c>
      <c r="T19" s="600" t="s">
        <v>3384</v>
      </c>
      <c r="U19" s="606">
        <f>(U7*((100/U10-1)/100-U18)^2)+(U13*(-100/100-U18)^2)</f>
        <v>6.7540421184373492E-2</v>
      </c>
      <c r="W19" s="600" t="s">
        <v>3385</v>
      </c>
      <c r="X19" s="606">
        <f>(X7*((100/X10-1)/100-X18)^2)+(X13*(-100/100-X18)^2)</f>
        <v>0.57436757812500006</v>
      </c>
    </row>
    <row r="20" spans="2:25" ht="13.8" thickBot="1">
      <c r="B20" s="615" t="s">
        <v>3386</v>
      </c>
      <c r="C20" s="616">
        <f>EXP(-2*C18/C19*1/C15)</f>
        <v>5.0486444595291965E-3</v>
      </c>
      <c r="E20" s="615" t="s">
        <v>3386</v>
      </c>
      <c r="F20" s="616">
        <f>EXP(-2*F18/F19*1/F15)</f>
        <v>1.5333470630893866E-3</v>
      </c>
      <c r="H20" s="615" t="s">
        <v>3386</v>
      </c>
      <c r="I20" s="616">
        <f>EXP(-2*I18/I19*1/I15)</f>
        <v>8.4851277069127456E-3</v>
      </c>
      <c r="K20" s="615" t="s">
        <v>3386</v>
      </c>
      <c r="L20" s="616">
        <f>EXP(-2*L18/L19*1/L15)</f>
        <v>5.7756002457180912E-16</v>
      </c>
      <c r="N20" s="615" t="s">
        <v>3386</v>
      </c>
      <c r="O20" s="616">
        <f>EXP(-2*O18/O19*1/O15)</f>
        <v>1.3753463906141096E-3</v>
      </c>
      <c r="Q20" s="615" t="s">
        <v>3386</v>
      </c>
      <c r="R20" s="616">
        <f>EXP(-2*R18/R19*1/R15)</f>
        <v>6.9767401994437518E-3</v>
      </c>
      <c r="T20" s="615" t="s">
        <v>3386</v>
      </c>
      <c r="U20" s="616">
        <f>EXP(-2*U18/U19*1/U15)</f>
        <v>9.9555764349703712E-4</v>
      </c>
      <c r="W20" s="615" t="s">
        <v>3386</v>
      </c>
      <c r="X20" s="616">
        <f>EXP(-2*X18/X19*1/X15)</f>
        <v>7.635651794193306E-3</v>
      </c>
      <c r="Y20" s="600" t="s">
        <v>3395</v>
      </c>
    </row>
    <row r="22" spans="2:25">
      <c r="B22" s="600" t="s">
        <v>3387</v>
      </c>
      <c r="C22" s="608">
        <v>300</v>
      </c>
      <c r="E22" s="600" t="s">
        <v>3387</v>
      </c>
      <c r="F22" s="608">
        <v>60</v>
      </c>
      <c r="H22" s="600" t="s">
        <v>3387</v>
      </c>
      <c r="I22" s="608">
        <v>60</v>
      </c>
      <c r="K22" s="600" t="s">
        <v>3387</v>
      </c>
      <c r="L22" s="608">
        <v>30</v>
      </c>
      <c r="N22" s="600" t="s">
        <v>3387</v>
      </c>
      <c r="O22" s="608">
        <v>30</v>
      </c>
      <c r="Q22" s="600" t="s">
        <v>3387</v>
      </c>
      <c r="R22" s="608">
        <v>30</v>
      </c>
      <c r="T22" s="600" t="s">
        <v>3387</v>
      </c>
      <c r="U22" s="608">
        <v>60</v>
      </c>
      <c r="W22" s="600" t="s">
        <v>3387</v>
      </c>
      <c r="X22" s="608">
        <v>30</v>
      </c>
    </row>
    <row r="23" spans="2:25">
      <c r="B23" s="600" t="s">
        <v>3388</v>
      </c>
      <c r="C23" s="600">
        <f>C22*12</f>
        <v>3600</v>
      </c>
      <c r="E23" s="600" t="s">
        <v>3388</v>
      </c>
      <c r="F23" s="600">
        <f>F22*12</f>
        <v>720</v>
      </c>
      <c r="H23" s="600" t="s">
        <v>3388</v>
      </c>
      <c r="I23" s="600">
        <f>I22*12</f>
        <v>720</v>
      </c>
      <c r="K23" s="600" t="s">
        <v>3388</v>
      </c>
      <c r="L23" s="600">
        <f>L22*12</f>
        <v>360</v>
      </c>
      <c r="N23" s="600" t="s">
        <v>3388</v>
      </c>
      <c r="O23" s="600">
        <f>O22*12</f>
        <v>360</v>
      </c>
      <c r="Q23" s="600" t="s">
        <v>3388</v>
      </c>
      <c r="R23" s="600">
        <f>R22*12</f>
        <v>360</v>
      </c>
      <c r="T23" s="600" t="s">
        <v>3388</v>
      </c>
      <c r="U23" s="600">
        <f>U22*12</f>
        <v>720</v>
      </c>
      <c r="W23" s="600" t="s">
        <v>3388</v>
      </c>
      <c r="X23" s="600">
        <f>X22*12</f>
        <v>360</v>
      </c>
    </row>
    <row r="24" spans="2:25">
      <c r="B24" s="600" t="s">
        <v>3404</v>
      </c>
      <c r="C24" s="608">
        <v>2</v>
      </c>
      <c r="E24" s="600" t="s">
        <v>3404</v>
      </c>
      <c r="F24" s="608">
        <v>1</v>
      </c>
      <c r="H24" s="600" t="s">
        <v>3404</v>
      </c>
      <c r="I24" s="608">
        <v>2</v>
      </c>
      <c r="K24" s="600" t="s">
        <v>3404</v>
      </c>
      <c r="L24" s="608">
        <v>2</v>
      </c>
      <c r="N24" s="600" t="s">
        <v>3404</v>
      </c>
      <c r="O24" s="608">
        <v>1</v>
      </c>
      <c r="Q24" s="600" t="s">
        <v>3404</v>
      </c>
      <c r="R24" s="608">
        <v>1</v>
      </c>
      <c r="T24" s="600" t="s">
        <v>3404</v>
      </c>
      <c r="U24" s="608">
        <v>1</v>
      </c>
      <c r="W24" s="600" t="s">
        <v>3404</v>
      </c>
      <c r="X24" s="608">
        <v>1</v>
      </c>
    </row>
    <row r="25" spans="2:25">
      <c r="B25" s="600" t="s">
        <v>3389</v>
      </c>
      <c r="C25" s="600">
        <f>ROUNDUP(LN(C23)/LN(1/C13)+C24,0)</f>
        <v>7</v>
      </c>
      <c r="E25" s="600" t="s">
        <v>3389</v>
      </c>
      <c r="F25" s="600">
        <f>ROUNDUP(LN(F23)/LN(1/F13)+F24,0)</f>
        <v>6</v>
      </c>
      <c r="H25" s="600" t="s">
        <v>3389</v>
      </c>
      <c r="I25" s="600">
        <f>ROUNDUP(LN(I23)/LN(1/I13)+I24,0)</f>
        <v>6</v>
      </c>
      <c r="K25" s="600" t="s">
        <v>3389</v>
      </c>
      <c r="L25" s="600">
        <f>ROUNDUP(LN(L23)/LN(1/L13)+L24,0)</f>
        <v>7</v>
      </c>
      <c r="N25" s="600" t="s">
        <v>3389</v>
      </c>
      <c r="O25" s="600">
        <f>ROUNDUP(LN(O23)/LN(1/O13)+O24,0)</f>
        <v>3</v>
      </c>
      <c r="Q25" s="600" t="s">
        <v>3389</v>
      </c>
      <c r="R25" s="600">
        <f>ROUNDUP(LN(R23)/LN(1/R13)+R24,0)</f>
        <v>3</v>
      </c>
      <c r="T25" s="600" t="s">
        <v>3389</v>
      </c>
      <c r="U25" s="600">
        <f>ROUNDUP(LN(U23)/LN(1/U13)+U24,0)</f>
        <v>4</v>
      </c>
      <c r="W25" s="600" t="s">
        <v>3389</v>
      </c>
      <c r="X25" s="600">
        <f>ROUNDUP(LN(X23)/LN(1/X13)+X24,0)</f>
        <v>5</v>
      </c>
      <c r="Y25" s="600" t="s">
        <v>3396</v>
      </c>
    </row>
    <row r="26" spans="2:25" ht="13.8" thickBot="1">
      <c r="B26" s="600" t="s">
        <v>3390</v>
      </c>
      <c r="C26" s="610">
        <f>$C$3</f>
        <v>0.2</v>
      </c>
      <c r="E26" s="600" t="s">
        <v>3390</v>
      </c>
      <c r="F26" s="610">
        <f>$C$3</f>
        <v>0.2</v>
      </c>
      <c r="H26" s="600" t="s">
        <v>3390</v>
      </c>
      <c r="I26" s="610">
        <f>$C$3</f>
        <v>0.2</v>
      </c>
      <c r="K26" s="600" t="s">
        <v>3390</v>
      </c>
      <c r="L26" s="610">
        <f>$C$3</f>
        <v>0.2</v>
      </c>
      <c r="N26" s="600" t="s">
        <v>3390</v>
      </c>
      <c r="O26" s="610">
        <f>$C$3</f>
        <v>0.2</v>
      </c>
      <c r="Q26" s="600" t="s">
        <v>3390</v>
      </c>
      <c r="R26" s="610">
        <f>$C$3</f>
        <v>0.2</v>
      </c>
      <c r="T26" s="600" t="s">
        <v>3390</v>
      </c>
      <c r="U26" s="610">
        <f>$C$3</f>
        <v>0.2</v>
      </c>
      <c r="W26" s="600" t="s">
        <v>3390</v>
      </c>
      <c r="X26" s="610">
        <f>$C$3</f>
        <v>0.2</v>
      </c>
    </row>
    <row r="27" spans="2:25" ht="13.8" thickBot="1">
      <c r="B27" s="615" t="s">
        <v>3391</v>
      </c>
      <c r="C27" s="616">
        <f>1-(1-C13^C25)^C23</f>
        <v>1.4663648540536367E-2</v>
      </c>
      <c r="E27" s="615" t="s">
        <v>3391</v>
      </c>
      <c r="F27" s="616">
        <f>1-(1-F13^F25)^F23</f>
        <v>4.5035846323246198E-2</v>
      </c>
      <c r="H27" s="615" t="s">
        <v>3391</v>
      </c>
      <c r="I27" s="616">
        <f>1-(1-I13^I25)^I23</f>
        <v>8.1677578252626892E-3</v>
      </c>
      <c r="K27" s="615" t="s">
        <v>3391</v>
      </c>
      <c r="L27" s="616">
        <f>1-(1-L13^L25)^L23</f>
        <v>2.1733671832260937E-2</v>
      </c>
      <c r="N27" s="615" t="s">
        <v>3391</v>
      </c>
      <c r="O27" s="616">
        <f>1-(1-O13^O25)^O23</f>
        <v>2.8758682653705625E-3</v>
      </c>
      <c r="Q27" s="615" t="s">
        <v>3391</v>
      </c>
      <c r="R27" s="616">
        <f>1-(1-R13^R25)^R23</f>
        <v>2.8758682653705625E-3</v>
      </c>
      <c r="T27" s="615" t="s">
        <v>3391</v>
      </c>
      <c r="U27" s="616">
        <f>1-(1-U13^U25)^U23</f>
        <v>1.0582646102934801E-2</v>
      </c>
      <c r="W27" s="615" t="s">
        <v>3391</v>
      </c>
      <c r="X27" s="616">
        <f>1-(1-X13^X25)^X23</f>
        <v>2.6968222495083682E-2</v>
      </c>
      <c r="Y27" s="600" t="s">
        <v>3406</v>
      </c>
    </row>
    <row r="28" spans="2:25">
      <c r="B28" s="611" t="s">
        <v>3392</v>
      </c>
      <c r="C28" s="612">
        <f>1-(1-C26)^(1/C25)</f>
        <v>3.1374914073002635E-2</v>
      </c>
      <c r="E28" s="611" t="s">
        <v>3392</v>
      </c>
      <c r="F28" s="612">
        <f>1-(1-F26)^(1/F25)</f>
        <v>3.6507516001003881E-2</v>
      </c>
      <c r="H28" s="611" t="s">
        <v>3392</v>
      </c>
      <c r="I28" s="612">
        <f>1-(1-I26)^(1/I25)</f>
        <v>3.6507516001003881E-2</v>
      </c>
      <c r="K28" s="611" t="s">
        <v>3392</v>
      </c>
      <c r="L28" s="612">
        <f>1-(1-L26)^(1/L25)</f>
        <v>3.1374914073002635E-2</v>
      </c>
      <c r="N28" s="611" t="s">
        <v>3392</v>
      </c>
      <c r="O28" s="612">
        <f>1-(1-O26)^(1/O25)</f>
        <v>7.1682233277444163E-2</v>
      </c>
      <c r="Q28" s="611" t="s">
        <v>3392</v>
      </c>
      <c r="R28" s="612">
        <f>1-(1-R26)^(1/R25)</f>
        <v>7.1682233277444163E-2</v>
      </c>
      <c r="T28" s="611" t="s">
        <v>3392</v>
      </c>
      <c r="U28" s="612">
        <f>1-(1-U26)^(1/U25)</f>
        <v>5.4258390996824168E-2</v>
      </c>
      <c r="W28" s="611" t="s">
        <v>3381</v>
      </c>
      <c r="X28" s="612">
        <f>1-(1-X26)^(1/X25)</f>
        <v>4.3647500209962997E-2</v>
      </c>
      <c r="Y28" s="600" t="s">
        <v>3399</v>
      </c>
    </row>
    <row r="29" spans="2:25" ht="13.8" thickBot="1">
      <c r="B29" s="613" t="s">
        <v>3382</v>
      </c>
      <c r="C29" s="614">
        <f>C28*C6</f>
        <v>131.77463910661106</v>
      </c>
      <c r="E29" s="613" t="s">
        <v>3382</v>
      </c>
      <c r="F29" s="614">
        <f>F28*F6</f>
        <v>153.3315672042163</v>
      </c>
      <c r="H29" s="613" t="s">
        <v>3382</v>
      </c>
      <c r="I29" s="614">
        <f>I28*I6</f>
        <v>153.3315672042163</v>
      </c>
      <c r="K29" s="613" t="s">
        <v>3382</v>
      </c>
      <c r="L29" s="614">
        <f>L28*L6</f>
        <v>131.77463910661106</v>
      </c>
      <c r="N29" s="613" t="s">
        <v>3382</v>
      </c>
      <c r="O29" s="614">
        <f>O28*O6</f>
        <v>301.0653797652655</v>
      </c>
      <c r="Q29" s="613" t="s">
        <v>3382</v>
      </c>
      <c r="R29" s="614">
        <f>R28*R6</f>
        <v>301.0653797652655</v>
      </c>
      <c r="T29" s="613" t="s">
        <v>3382</v>
      </c>
      <c r="U29" s="614">
        <f>U28*U6</f>
        <v>227.88524218666151</v>
      </c>
      <c r="W29" s="613" t="s">
        <v>3382</v>
      </c>
      <c r="X29" s="614">
        <f>X28*X6</f>
        <v>183.31950088184459</v>
      </c>
      <c r="Y29" s="600" t="s">
        <v>3400</v>
      </c>
    </row>
    <row r="30" spans="2:25" ht="13.8" thickBot="1">
      <c r="C30" s="603"/>
      <c r="F30" s="603"/>
      <c r="I30" s="603"/>
      <c r="L30" s="603"/>
      <c r="O30" s="603"/>
      <c r="R30" s="603"/>
      <c r="U30" s="603"/>
      <c r="X30" s="603"/>
    </row>
    <row r="31" spans="2:25">
      <c r="B31" s="617" t="s">
        <v>3393</v>
      </c>
      <c r="C31" s="618">
        <f>C15*C25</f>
        <v>1.1019696969696966</v>
      </c>
      <c r="E31" s="617" t="s">
        <v>3393</v>
      </c>
      <c r="F31" s="618">
        <f>F15*F25</f>
        <v>8.7710843373493983</v>
      </c>
      <c r="H31" s="617" t="s">
        <v>3393</v>
      </c>
      <c r="I31" s="618">
        <f>I15*I25</f>
        <v>0.59347826086956468</v>
      </c>
      <c r="K31" s="617" t="s">
        <v>3393</v>
      </c>
      <c r="L31" s="618">
        <f>L15*L25</f>
        <v>3.499999999999996</v>
      </c>
      <c r="N31" s="617" t="s">
        <v>3393</v>
      </c>
      <c r="O31" s="618">
        <f>O15*O25</f>
        <v>2.1179999999999994</v>
      </c>
      <c r="Q31" s="617" t="s">
        <v>3393</v>
      </c>
      <c r="R31" s="618">
        <f>R15*R25</f>
        <v>1.8089999999999988</v>
      </c>
      <c r="T31" s="617" t="s">
        <v>3393</v>
      </c>
      <c r="U31" s="618">
        <f>U15*U25</f>
        <v>0.43836799999999876</v>
      </c>
      <c r="W31" s="617" t="s">
        <v>3393</v>
      </c>
      <c r="X31" s="618">
        <f>X15*X25</f>
        <v>0.31428571428571422</v>
      </c>
    </row>
    <row r="32" spans="2:25" ht="13.8" thickBot="1">
      <c r="B32" s="619" t="s">
        <v>3394</v>
      </c>
      <c r="C32" s="620">
        <f>C28*C25</f>
        <v>0.21962439851101845</v>
      </c>
      <c r="E32" s="619" t="s">
        <v>3394</v>
      </c>
      <c r="F32" s="620">
        <f>F28*F25</f>
        <v>0.21904509600602329</v>
      </c>
      <c r="H32" s="619" t="s">
        <v>3394</v>
      </c>
      <c r="I32" s="620">
        <f>I28*I25</f>
        <v>0.21904509600602329</v>
      </c>
      <c r="K32" s="619" t="s">
        <v>3394</v>
      </c>
      <c r="L32" s="620">
        <f>L28*L25</f>
        <v>0.21962439851101845</v>
      </c>
      <c r="N32" s="619" t="s">
        <v>3394</v>
      </c>
      <c r="O32" s="620">
        <f>O28*O25</f>
        <v>0.21504669983233249</v>
      </c>
      <c r="Q32" s="619" t="s">
        <v>3394</v>
      </c>
      <c r="R32" s="620">
        <f>R28*R25</f>
        <v>0.21504669983233249</v>
      </c>
      <c r="T32" s="619" t="s">
        <v>3394</v>
      </c>
      <c r="U32" s="620">
        <f>U28*U25</f>
        <v>0.21703356398729667</v>
      </c>
      <c r="W32" s="619" t="s">
        <v>3394</v>
      </c>
      <c r="X32" s="620">
        <f>X28*X25</f>
        <v>0.21823750104981499</v>
      </c>
    </row>
    <row r="33" spans="2:27" ht="13.8" thickBot="1"/>
    <row r="34" spans="2:27">
      <c r="B34" s="624" t="s">
        <v>3408</v>
      </c>
      <c r="C34" s="627">
        <v>120</v>
      </c>
      <c r="E34" s="624" t="s">
        <v>3408</v>
      </c>
      <c r="F34" s="627">
        <v>800</v>
      </c>
      <c r="H34" s="624" t="s">
        <v>3408</v>
      </c>
      <c r="I34" s="627">
        <v>100</v>
      </c>
      <c r="K34" s="624" t="s">
        <v>3408</v>
      </c>
      <c r="L34" s="627">
        <v>100</v>
      </c>
      <c r="N34" s="624" t="s">
        <v>3408</v>
      </c>
      <c r="O34" s="627">
        <v>400</v>
      </c>
      <c r="Q34" s="624" t="s">
        <v>3408</v>
      </c>
      <c r="R34" s="627">
        <v>400</v>
      </c>
      <c r="T34" s="624" t="s">
        <v>3408</v>
      </c>
      <c r="U34" s="627">
        <v>400</v>
      </c>
      <c r="W34" s="624" t="s">
        <v>3408</v>
      </c>
      <c r="X34" s="627">
        <v>100</v>
      </c>
    </row>
    <row r="35" spans="2:27" ht="13.8" thickBot="1">
      <c r="B35" s="625" t="s">
        <v>3409</v>
      </c>
      <c r="C35" s="626">
        <f>C34/$C$2</f>
        <v>2.8571428571428571E-2</v>
      </c>
      <c r="E35" s="625" t="s">
        <v>3409</v>
      </c>
      <c r="F35" s="626">
        <f>F34/$C$2</f>
        <v>0.19047619047619047</v>
      </c>
      <c r="H35" s="625" t="s">
        <v>3409</v>
      </c>
      <c r="I35" s="626">
        <f>I34/$C$2</f>
        <v>2.3809523809523808E-2</v>
      </c>
      <c r="K35" s="625" t="s">
        <v>3409</v>
      </c>
      <c r="L35" s="626">
        <f>L34/$C$2</f>
        <v>2.3809523809523808E-2</v>
      </c>
      <c r="N35" s="625" t="s">
        <v>3409</v>
      </c>
      <c r="O35" s="626">
        <f>O34/$C$2</f>
        <v>9.5238095238095233E-2</v>
      </c>
      <c r="Q35" s="625" t="s">
        <v>3409</v>
      </c>
      <c r="R35" s="626">
        <f>R34/$C$2</f>
        <v>9.5238095238095233E-2</v>
      </c>
      <c r="T35" s="625" t="s">
        <v>3409</v>
      </c>
      <c r="U35" s="626">
        <f>U34/$C$2</f>
        <v>9.5238095238095233E-2</v>
      </c>
      <c r="W35" s="625" t="s">
        <v>3409</v>
      </c>
      <c r="X35" s="626">
        <f>X34/$C$2</f>
        <v>2.3809523809523808E-2</v>
      </c>
    </row>
    <row r="36" spans="2:27" ht="13.8" thickBot="1"/>
    <row r="37" spans="2:27">
      <c r="B37" s="624" t="s">
        <v>3410</v>
      </c>
      <c r="C37" s="623">
        <v>20</v>
      </c>
      <c r="E37" s="624" t="s">
        <v>3410</v>
      </c>
      <c r="F37" s="623">
        <v>2</v>
      </c>
      <c r="H37" s="624" t="s">
        <v>3410</v>
      </c>
      <c r="I37" s="623">
        <v>2</v>
      </c>
      <c r="K37" s="624" t="s">
        <v>3410</v>
      </c>
      <c r="L37" s="623">
        <v>2</v>
      </c>
      <c r="N37" s="624" t="s">
        <v>3410</v>
      </c>
      <c r="O37" s="623">
        <v>0.5</v>
      </c>
      <c r="Q37" s="624" t="s">
        <v>3410</v>
      </c>
      <c r="R37" s="623">
        <v>0.5</v>
      </c>
      <c r="T37" s="624" t="s">
        <v>3410</v>
      </c>
      <c r="U37" s="623">
        <v>1</v>
      </c>
      <c r="W37" s="624" t="s">
        <v>3410</v>
      </c>
      <c r="X37" s="623">
        <v>1</v>
      </c>
    </row>
    <row r="38" spans="2:27" ht="13.8" thickBot="1">
      <c r="B38" s="625" t="s">
        <v>3411</v>
      </c>
      <c r="C38" s="628">
        <f>C37*C34</f>
        <v>2400</v>
      </c>
      <c r="E38" s="625" t="s">
        <v>3411</v>
      </c>
      <c r="F38" s="628">
        <f>F37*F34</f>
        <v>1600</v>
      </c>
      <c r="H38" s="625" t="s">
        <v>3411</v>
      </c>
      <c r="I38" s="628">
        <f>I37*I34</f>
        <v>200</v>
      </c>
      <c r="K38" s="625" t="s">
        <v>3411</v>
      </c>
      <c r="L38" s="628">
        <f>L37*L34</f>
        <v>200</v>
      </c>
      <c r="N38" s="625" t="s">
        <v>3411</v>
      </c>
      <c r="O38" s="628">
        <f>O37*O34</f>
        <v>200</v>
      </c>
      <c r="Q38" s="625" t="s">
        <v>3411</v>
      </c>
      <c r="R38" s="628">
        <f>R37*R34</f>
        <v>200</v>
      </c>
      <c r="T38" s="625" t="s">
        <v>3411</v>
      </c>
      <c r="U38" s="628">
        <f>U37*U34</f>
        <v>400</v>
      </c>
      <c r="W38" s="625" t="s">
        <v>3411</v>
      </c>
      <c r="X38" s="628">
        <f>X37*X34</f>
        <v>100</v>
      </c>
      <c r="Z38" s="603"/>
      <c r="AA38" s="629"/>
    </row>
    <row r="40" spans="2:27">
      <c r="B40" s="631" t="s">
        <v>3392</v>
      </c>
      <c r="C40" s="629">
        <f>C8/100</f>
        <v>1</v>
      </c>
      <c r="E40" s="631" t="s">
        <v>3392</v>
      </c>
      <c r="F40" s="629">
        <v>0.25</v>
      </c>
      <c r="H40" s="631" t="s">
        <v>3392</v>
      </c>
      <c r="I40" s="629">
        <f>I8/100</f>
        <v>1</v>
      </c>
      <c r="K40" s="631" t="s">
        <v>3392</v>
      </c>
      <c r="L40" s="629">
        <v>0.3</v>
      </c>
      <c r="N40" s="631" t="s">
        <v>3392</v>
      </c>
      <c r="O40" s="629">
        <v>1</v>
      </c>
      <c r="Q40" s="631" t="s">
        <v>3392</v>
      </c>
      <c r="R40" s="629">
        <v>1</v>
      </c>
      <c r="T40" s="631" t="s">
        <v>3392</v>
      </c>
      <c r="U40" s="629">
        <v>1</v>
      </c>
      <c r="W40" s="631" t="s">
        <v>3392</v>
      </c>
      <c r="X40" s="629">
        <v>1</v>
      </c>
    </row>
    <row r="41" spans="2:27">
      <c r="B41" s="631" t="s">
        <v>3389</v>
      </c>
      <c r="C41" s="600">
        <f>C25</f>
        <v>7</v>
      </c>
      <c r="E41" s="631" t="s">
        <v>3389</v>
      </c>
      <c r="F41" s="600">
        <f>F25</f>
        <v>6</v>
      </c>
      <c r="H41" s="631" t="s">
        <v>3389</v>
      </c>
      <c r="I41" s="600">
        <f>I25</f>
        <v>6</v>
      </c>
      <c r="K41" s="631" t="s">
        <v>3389</v>
      </c>
      <c r="L41" s="600">
        <f>L25</f>
        <v>7</v>
      </c>
      <c r="N41" s="631" t="s">
        <v>3389</v>
      </c>
      <c r="O41" s="600">
        <f>O25</f>
        <v>3</v>
      </c>
      <c r="Q41" s="631" t="s">
        <v>3389</v>
      </c>
      <c r="R41" s="600">
        <f>R25</f>
        <v>3</v>
      </c>
      <c r="T41" s="631" t="s">
        <v>3389</v>
      </c>
      <c r="U41" s="600">
        <f>U25</f>
        <v>4</v>
      </c>
      <c r="W41" s="631" t="s">
        <v>3389</v>
      </c>
      <c r="X41" s="600">
        <f>X25</f>
        <v>5</v>
      </c>
    </row>
    <row r="42" spans="2:27">
      <c r="B42" s="631" t="s">
        <v>3419</v>
      </c>
      <c r="C42" s="605">
        <f>$C$3</f>
        <v>0.2</v>
      </c>
      <c r="E42" s="631" t="s">
        <v>3419</v>
      </c>
      <c r="F42" s="605">
        <f>$C$3</f>
        <v>0.2</v>
      </c>
      <c r="H42" s="631" t="s">
        <v>3419</v>
      </c>
      <c r="I42" s="605">
        <f>$C$3</f>
        <v>0.2</v>
      </c>
      <c r="K42" s="631" t="s">
        <v>3419</v>
      </c>
      <c r="L42" s="605">
        <f>$C$3</f>
        <v>0.2</v>
      </c>
      <c r="N42" s="631" t="s">
        <v>3419</v>
      </c>
      <c r="O42" s="605">
        <f>$C$3</f>
        <v>0.2</v>
      </c>
      <c r="Q42" s="631" t="s">
        <v>3419</v>
      </c>
      <c r="R42" s="605">
        <f>$C$3</f>
        <v>0.2</v>
      </c>
      <c r="T42" s="631" t="s">
        <v>3419</v>
      </c>
      <c r="U42" s="605">
        <f>$C$3</f>
        <v>0.2</v>
      </c>
      <c r="W42" s="631" t="s">
        <v>3419</v>
      </c>
      <c r="X42" s="605">
        <f>$C$3</f>
        <v>0.2</v>
      </c>
    </row>
    <row r="43" spans="2:27">
      <c r="B43" s="631" t="s">
        <v>3420</v>
      </c>
      <c r="C43" s="632">
        <f>C42*$C$2</f>
        <v>840</v>
      </c>
      <c r="E43" s="631" t="s">
        <v>3420</v>
      </c>
      <c r="F43" s="632">
        <f>F42*$C$2</f>
        <v>840</v>
      </c>
      <c r="H43" s="631" t="s">
        <v>3420</v>
      </c>
      <c r="I43" s="632">
        <f>I42*$C$2</f>
        <v>840</v>
      </c>
      <c r="K43" s="631" t="s">
        <v>3420</v>
      </c>
      <c r="L43" s="632">
        <f>L42*$C$2</f>
        <v>840</v>
      </c>
      <c r="N43" s="631" t="s">
        <v>3420</v>
      </c>
      <c r="O43" s="632">
        <f>O42*$C$2</f>
        <v>840</v>
      </c>
      <c r="Q43" s="631" t="s">
        <v>3420</v>
      </c>
      <c r="R43" s="632">
        <f>R42*$C$2</f>
        <v>840</v>
      </c>
      <c r="T43" s="631" t="s">
        <v>3420</v>
      </c>
      <c r="U43" s="632">
        <f>U42*$C$2</f>
        <v>840</v>
      </c>
      <c r="W43" s="631" t="s">
        <v>3420</v>
      </c>
      <c r="X43" s="632">
        <f>X42*$C$2</f>
        <v>840</v>
      </c>
    </row>
    <row r="44" spans="2:27">
      <c r="B44" s="631" t="s">
        <v>3421</v>
      </c>
      <c r="C44" s="633">
        <f>C43/C41</f>
        <v>120</v>
      </c>
      <c r="E44" s="631" t="s">
        <v>3421</v>
      </c>
      <c r="F44" s="633">
        <f>F43/F41</f>
        <v>140</v>
      </c>
      <c r="H44" s="631" t="s">
        <v>3421</v>
      </c>
      <c r="I44" s="633">
        <f>I43/I41</f>
        <v>140</v>
      </c>
      <c r="K44" s="631" t="s">
        <v>3421</v>
      </c>
      <c r="L44" s="633">
        <f>L43/L41</f>
        <v>120</v>
      </c>
      <c r="N44" s="631" t="s">
        <v>3421</v>
      </c>
      <c r="O44" s="633">
        <f>O43/O41</f>
        <v>280</v>
      </c>
      <c r="Q44" s="631" t="s">
        <v>3421</v>
      </c>
      <c r="R44" s="633">
        <f>R43/R41</f>
        <v>280</v>
      </c>
      <c r="T44" s="631" t="s">
        <v>3421</v>
      </c>
      <c r="U44" s="633">
        <f>U43/U41</f>
        <v>210</v>
      </c>
      <c r="W44" s="631" t="s">
        <v>3421</v>
      </c>
      <c r="X44" s="633">
        <f>X43/X41</f>
        <v>168</v>
      </c>
    </row>
    <row r="45" spans="2:27">
      <c r="B45" s="631" t="s">
        <v>3422</v>
      </c>
      <c r="C45" s="603">
        <f>C44/C40</f>
        <v>120</v>
      </c>
      <c r="E45" s="631" t="s">
        <v>3422</v>
      </c>
      <c r="F45" s="603">
        <f>F44/F40</f>
        <v>560</v>
      </c>
      <c r="H45" s="631" t="s">
        <v>3422</v>
      </c>
      <c r="I45" s="603">
        <f>I44/I40</f>
        <v>140</v>
      </c>
      <c r="K45" s="631" t="s">
        <v>3422</v>
      </c>
      <c r="L45" s="603">
        <f>L44/L40</f>
        <v>400</v>
      </c>
      <c r="N45" s="631" t="s">
        <v>3422</v>
      </c>
      <c r="O45" s="603">
        <f>O44/O40</f>
        <v>280</v>
      </c>
      <c r="Q45" s="631" t="s">
        <v>3422</v>
      </c>
      <c r="R45" s="603">
        <f>R44/R40</f>
        <v>280</v>
      </c>
      <c r="T45" s="631" t="s">
        <v>3422</v>
      </c>
      <c r="U45" s="603">
        <f>U44/U40</f>
        <v>210</v>
      </c>
      <c r="W45" s="631" t="s">
        <v>3422</v>
      </c>
      <c r="X45" s="603">
        <f>X44/X40</f>
        <v>168</v>
      </c>
    </row>
    <row r="46" spans="2:27">
      <c r="B46" s="631" t="s">
        <v>3423</v>
      </c>
      <c r="C46" s="629">
        <f>C45/$C$2</f>
        <v>2.8571428571428571E-2</v>
      </c>
      <c r="E46" s="631" t="s">
        <v>3423</v>
      </c>
      <c r="F46" s="629">
        <f>F45/$C$2</f>
        <v>0.13333333333333333</v>
      </c>
      <c r="H46" s="631" t="s">
        <v>3423</v>
      </c>
      <c r="I46" s="629">
        <f>I45/$C$2</f>
        <v>3.3333333333333333E-2</v>
      </c>
      <c r="K46" s="631" t="s">
        <v>3423</v>
      </c>
      <c r="L46" s="629">
        <f>L45/$C$2</f>
        <v>9.5238095238095233E-2</v>
      </c>
      <c r="N46" s="631" t="s">
        <v>3423</v>
      </c>
      <c r="O46" s="629">
        <f>O45/$C$2</f>
        <v>6.6666666666666666E-2</v>
      </c>
      <c r="Q46" s="631" t="s">
        <v>3423</v>
      </c>
      <c r="R46" s="629">
        <f>R45/$C$2</f>
        <v>6.6666666666666666E-2</v>
      </c>
      <c r="T46" s="631" t="s">
        <v>3423</v>
      </c>
      <c r="U46" s="629">
        <f>U45/$C$2</f>
        <v>0.05</v>
      </c>
      <c r="W46" s="631" t="s">
        <v>3423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>
      <c r="O1" s="473" t="s">
        <v>2802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>
      <c r="B2" s="4" t="s">
        <v>390</v>
      </c>
      <c r="C2" s="4" t="s">
        <v>2702</v>
      </c>
      <c r="D2" s="4" t="s">
        <v>2705</v>
      </c>
      <c r="E2" s="4" t="s">
        <v>2703</v>
      </c>
      <c r="F2" s="4" t="s">
        <v>2711</v>
      </c>
      <c r="G2" s="4" t="s">
        <v>2704</v>
      </c>
      <c r="H2" s="4" t="s">
        <v>2737</v>
      </c>
      <c r="I2" s="473" t="s">
        <v>2801</v>
      </c>
      <c r="O2" s="473" t="s">
        <v>2803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>
      <c r="B3" s="445" t="s">
        <v>2717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2806</v>
      </c>
      <c r="P3" s="431">
        <v>100</v>
      </c>
      <c r="Q3" s="431">
        <v>-100</v>
      </c>
      <c r="R3" s="431">
        <f t="shared" si="0"/>
        <v>0</v>
      </c>
    </row>
    <row r="4" spans="2:21" ht="15" customHeight="1">
      <c r="B4" s="432" t="s">
        <v>2671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2809</v>
      </c>
      <c r="P4" s="431">
        <v>50</v>
      </c>
      <c r="Q4" s="431">
        <v>-59</v>
      </c>
      <c r="R4" s="431">
        <f t="shared" si="0"/>
        <v>-9</v>
      </c>
    </row>
    <row r="5" spans="2:21" ht="15" customHeight="1">
      <c r="B5" s="432" t="s">
        <v>2669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2728</v>
      </c>
      <c r="L5" s="431">
        <v>3</v>
      </c>
      <c r="O5" s="480" t="s">
        <v>2810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>
      <c r="B6" s="461" t="s">
        <v>2738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2729</v>
      </c>
      <c r="L6" s="451">
        <f>L4*L3</f>
        <v>81.313466911749856</v>
      </c>
      <c r="O6" s="480" t="s">
        <v>2811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>
      <c r="B7" s="432" t="s">
        <v>2652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2730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>
      <c r="B8" s="432" t="s">
        <v>2672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2731</v>
      </c>
      <c r="L8" s="451">
        <f>L7*30</f>
        <v>7318.212022057487</v>
      </c>
      <c r="O8" s="480" t="s">
        <v>2812</v>
      </c>
      <c r="P8" s="431">
        <v>20</v>
      </c>
      <c r="Q8" s="431">
        <v>-20</v>
      </c>
      <c r="R8" s="431">
        <f t="shared" si="0"/>
        <v>0</v>
      </c>
    </row>
    <row r="9" spans="2:21" ht="15" customHeight="1">
      <c r="B9" s="445" t="s">
        <v>2716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2813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>
      <c r="B10" s="432" t="s">
        <v>2661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2814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>
      <c r="B13" s="23" t="s">
        <v>0</v>
      </c>
      <c r="C13" s="23" t="s">
        <v>2734</v>
      </c>
      <c r="D13" s="23" t="s">
        <v>2643</v>
      </c>
      <c r="E13" s="23" t="s">
        <v>2646</v>
      </c>
      <c r="F13" s="23" t="s">
        <v>2666</v>
      </c>
      <c r="G13" s="23" t="s">
        <v>2644</v>
      </c>
      <c r="H13" s="23" t="s">
        <v>2645</v>
      </c>
      <c r="I13" s="23" t="s">
        <v>2663</v>
      </c>
      <c r="J13" s="23" t="s">
        <v>2706</v>
      </c>
      <c r="K13" s="23" t="s">
        <v>2708</v>
      </c>
      <c r="L13" s="23" t="s">
        <v>2647</v>
      </c>
      <c r="M13" s="23" t="s">
        <v>2648</v>
      </c>
      <c r="N13" s="23" t="s">
        <v>2670</v>
      </c>
      <c r="O13" s="23" t="s">
        <v>2707</v>
      </c>
      <c r="P13" s="23" t="s">
        <v>2709</v>
      </c>
      <c r="Q13" s="23" t="s">
        <v>1781</v>
      </c>
      <c r="R13" s="23" t="s">
        <v>2742</v>
      </c>
      <c r="S13" s="457" t="s">
        <v>2733</v>
      </c>
      <c r="T13" s="23" t="s">
        <v>2710</v>
      </c>
      <c r="U13" s="23" t="s">
        <v>1784</v>
      </c>
    </row>
    <row r="14" spans="2:21" ht="15" hidden="1" customHeight="1">
      <c r="B14" s="433">
        <v>46161</v>
      </c>
      <c r="C14" s="433"/>
      <c r="D14" s="432" t="s">
        <v>2659</v>
      </c>
      <c r="E14" s="432" t="s">
        <v>2660</v>
      </c>
      <c r="F14" s="432" t="s">
        <v>2668</v>
      </c>
      <c r="G14" s="432" t="s">
        <v>2661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2672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2662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3">
        <v>46161</v>
      </c>
      <c r="C15" s="433"/>
      <c r="D15" s="432" t="s">
        <v>2664</v>
      </c>
      <c r="E15" s="432" t="s">
        <v>2665</v>
      </c>
      <c r="F15" s="432" t="s">
        <v>2667</v>
      </c>
      <c r="G15" s="432" t="s">
        <v>2661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2678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3">
        <v>46161</v>
      </c>
      <c r="C16" s="433"/>
      <c r="D16" s="432" t="s">
        <v>2673</v>
      </c>
      <c r="E16" s="432" t="s">
        <v>2674</v>
      </c>
      <c r="F16" s="432" t="s">
        <v>2668</v>
      </c>
      <c r="G16" s="432" t="s">
        <v>2652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2661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2675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3">
        <v>46162</v>
      </c>
      <c r="C17" s="459">
        <v>0.54166666666666663</v>
      </c>
      <c r="D17" s="432" t="s">
        <v>2657</v>
      </c>
      <c r="E17" s="432" t="s">
        <v>2658</v>
      </c>
      <c r="F17" s="432" t="s">
        <v>2668</v>
      </c>
      <c r="G17" s="432" t="s">
        <v>2652</v>
      </c>
      <c r="H17" s="434">
        <v>3.3</v>
      </c>
      <c r="I17" s="434">
        <v>142</v>
      </c>
      <c r="J17" s="448" t="s">
        <v>2727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2669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2656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3">
        <v>46162</v>
      </c>
      <c r="C18" s="459">
        <v>0.54166666666666663</v>
      </c>
      <c r="D18" s="432" t="s">
        <v>2676</v>
      </c>
      <c r="E18" s="432" t="s">
        <v>2677</v>
      </c>
      <c r="F18" s="432" t="s">
        <v>2667</v>
      </c>
      <c r="G18" s="432" t="s">
        <v>2669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2650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3">
        <v>46162</v>
      </c>
      <c r="C19" s="459">
        <v>0.57291666666666663</v>
      </c>
      <c r="D19" s="432" t="s">
        <v>1436</v>
      </c>
      <c r="E19" s="432" t="s">
        <v>2649</v>
      </c>
      <c r="F19" s="432" t="s">
        <v>2668</v>
      </c>
      <c r="G19" s="432" t="s">
        <v>2652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2669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2650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3">
        <v>46162</v>
      </c>
      <c r="C20" s="459">
        <v>0.57291666666666663</v>
      </c>
      <c r="D20" s="432" t="s">
        <v>1436</v>
      </c>
      <c r="E20" s="432" t="s">
        <v>2649</v>
      </c>
      <c r="F20" s="432" t="s">
        <v>2667</v>
      </c>
      <c r="G20" s="432" t="s">
        <v>2672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2656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4">
        <v>46162</v>
      </c>
      <c r="C21" s="458">
        <v>0.625</v>
      </c>
      <c r="D21" s="445" t="s">
        <v>2718</v>
      </c>
      <c r="E21" s="445" t="s">
        <v>2719</v>
      </c>
      <c r="F21" s="432" t="s">
        <v>2668</v>
      </c>
      <c r="G21" s="445" t="s">
        <v>2717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2669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2662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4">
        <v>46162</v>
      </c>
      <c r="C22" s="458">
        <v>0.79166666666666663</v>
      </c>
      <c r="D22" s="445" t="s">
        <v>2720</v>
      </c>
      <c r="E22" s="445" t="s">
        <v>2721</v>
      </c>
      <c r="F22" s="432" t="s">
        <v>2668</v>
      </c>
      <c r="G22" s="445" t="s">
        <v>2672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2717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2701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4">
        <v>46162</v>
      </c>
      <c r="C23" s="458">
        <v>0.79166666666666663</v>
      </c>
      <c r="D23" s="445" t="s">
        <v>2722</v>
      </c>
      <c r="E23" s="445" t="s">
        <v>2700</v>
      </c>
      <c r="F23" s="432" t="s">
        <v>2668</v>
      </c>
      <c r="G23" s="445" t="s">
        <v>2661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2669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2675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3">
        <v>46162</v>
      </c>
      <c r="C24" s="458">
        <v>0.79166666666666663</v>
      </c>
      <c r="D24" s="432" t="s">
        <v>2699</v>
      </c>
      <c r="E24" s="432" t="s">
        <v>2700</v>
      </c>
      <c r="F24" s="432" t="s">
        <v>2668</v>
      </c>
      <c r="G24" s="432" t="s">
        <v>2669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2661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2701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4">
        <v>46162</v>
      </c>
      <c r="C25" s="458">
        <v>0.875</v>
      </c>
      <c r="D25" s="445" t="s">
        <v>2713</v>
      </c>
      <c r="E25" s="445" t="s">
        <v>2714</v>
      </c>
      <c r="F25" s="445" t="s">
        <v>2667</v>
      </c>
      <c r="G25" s="445" t="s">
        <v>2669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2656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4">
        <v>46162</v>
      </c>
      <c r="C26" s="458">
        <v>0.89583333333333337</v>
      </c>
      <c r="D26" s="445" t="s">
        <v>2723</v>
      </c>
      <c r="E26" s="445" t="s">
        <v>2724</v>
      </c>
      <c r="F26" s="432" t="s">
        <v>2668</v>
      </c>
      <c r="G26" s="445" t="s">
        <v>2661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2671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2701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4">
        <v>46162</v>
      </c>
      <c r="C27" s="458">
        <v>0.95833333333333337</v>
      </c>
      <c r="D27" s="453" t="s">
        <v>2732</v>
      </c>
      <c r="E27" s="445" t="s">
        <v>2712</v>
      </c>
      <c r="F27" s="432" t="s">
        <v>2668</v>
      </c>
      <c r="G27" s="432" t="s">
        <v>2652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2661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2675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2">
        <v>46162</v>
      </c>
      <c r="C28" s="458">
        <v>0.95833333333333337</v>
      </c>
      <c r="D28" s="453" t="s">
        <v>2732</v>
      </c>
      <c r="E28" s="453" t="s">
        <v>2712</v>
      </c>
      <c r="F28" s="432" t="s">
        <v>2668</v>
      </c>
      <c r="G28" s="453" t="s">
        <v>2661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2652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2662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4">
        <v>46162</v>
      </c>
      <c r="C29" s="444"/>
      <c r="D29" s="445"/>
      <c r="E29" s="445"/>
      <c r="F29" s="445" t="s">
        <v>2667</v>
      </c>
      <c r="G29" s="432" t="s">
        <v>2652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2715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4">
        <v>46162</v>
      </c>
      <c r="C30" s="444"/>
      <c r="D30" s="445"/>
      <c r="E30" s="445"/>
      <c r="F30" s="445" t="s">
        <v>2667</v>
      </c>
      <c r="G30" s="432" t="s">
        <v>2661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2715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4">
        <v>46163</v>
      </c>
      <c r="C31" s="458">
        <v>0.5</v>
      </c>
      <c r="D31" s="445" t="s">
        <v>2725</v>
      </c>
      <c r="E31" s="445" t="s">
        <v>2726</v>
      </c>
      <c r="F31" s="432" t="s">
        <v>2668</v>
      </c>
      <c r="G31" s="445" t="s">
        <v>2661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2672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2650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2">
        <v>46163</v>
      </c>
      <c r="C32" s="462">
        <v>0.625</v>
      </c>
      <c r="D32" s="453" t="s">
        <v>2791</v>
      </c>
      <c r="E32" s="453" t="s">
        <v>2792</v>
      </c>
      <c r="F32" s="432" t="s">
        <v>2668</v>
      </c>
      <c r="G32" s="453" t="s">
        <v>2669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2661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2662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2">
        <v>46163</v>
      </c>
      <c r="C33" s="462">
        <v>0.625</v>
      </c>
      <c r="D33" s="453" t="s">
        <v>2795</v>
      </c>
      <c r="E33" s="453" t="s">
        <v>2796</v>
      </c>
      <c r="F33" s="432" t="s">
        <v>2668</v>
      </c>
      <c r="G33" s="453" t="s">
        <v>2669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2661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2662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4">
        <v>46163</v>
      </c>
      <c r="C34" s="467">
        <v>0.64583333333333337</v>
      </c>
      <c r="D34" s="461" t="s">
        <v>2739</v>
      </c>
      <c r="E34" s="461" t="s">
        <v>2740</v>
      </c>
      <c r="F34" s="432" t="s">
        <v>2668</v>
      </c>
      <c r="G34" s="461" t="s">
        <v>2738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2672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2741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2">
        <v>46163</v>
      </c>
      <c r="C35" s="462">
        <v>0.79166666666666663</v>
      </c>
      <c r="D35" s="453" t="s">
        <v>2735</v>
      </c>
      <c r="E35" s="453" t="s">
        <v>2736</v>
      </c>
      <c r="F35" s="432" t="s">
        <v>2668</v>
      </c>
      <c r="G35" s="453" t="s">
        <v>2672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2661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2701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2">
        <v>46163</v>
      </c>
      <c r="C36" s="462">
        <v>0.875</v>
      </c>
      <c r="D36" s="453" t="s">
        <v>2797</v>
      </c>
      <c r="E36" s="453" t="s">
        <v>2798</v>
      </c>
      <c r="F36" s="432" t="s">
        <v>2668</v>
      </c>
      <c r="G36" s="453" t="s">
        <v>2669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2671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2662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2">
        <v>46163</v>
      </c>
      <c r="C37" s="452"/>
      <c r="D37" s="453"/>
      <c r="E37" s="453"/>
      <c r="F37" s="453" t="s">
        <v>2667</v>
      </c>
      <c r="G37" s="453" t="s">
        <v>2669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2715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2">
        <v>46163</v>
      </c>
      <c r="C38" s="452"/>
      <c r="D38" s="453"/>
      <c r="E38" s="453"/>
      <c r="F38" s="453" t="s">
        <v>2667</v>
      </c>
      <c r="G38" s="453" t="s">
        <v>2661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2715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2">
        <v>46163</v>
      </c>
      <c r="C39" s="452"/>
      <c r="D39" s="453"/>
      <c r="E39" s="453"/>
      <c r="F39" s="453" t="s">
        <v>2667</v>
      </c>
      <c r="G39" s="453" t="s">
        <v>2672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2715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2">
        <v>46163</v>
      </c>
      <c r="C40" s="452"/>
      <c r="D40" s="453"/>
      <c r="E40" s="453"/>
      <c r="F40" s="453" t="s">
        <v>2667</v>
      </c>
      <c r="G40" s="453" t="s">
        <v>2661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2715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2">
        <v>46163</v>
      </c>
      <c r="C41" s="452"/>
      <c r="D41" s="453"/>
      <c r="E41" s="453"/>
      <c r="F41" s="453" t="s">
        <v>2667</v>
      </c>
      <c r="G41" s="453" t="s">
        <v>2669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2715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2">
        <v>46164</v>
      </c>
      <c r="C42" s="462">
        <v>0.52083333333333337</v>
      </c>
      <c r="D42" s="453" t="s">
        <v>2804</v>
      </c>
      <c r="E42" s="453" t="s">
        <v>2805</v>
      </c>
      <c r="F42" s="432" t="s">
        <v>2668</v>
      </c>
      <c r="G42" s="453" t="s">
        <v>2803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2802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2">
        <v>46164</v>
      </c>
      <c r="C43" s="462">
        <v>0.61458333333333337</v>
      </c>
      <c r="D43" s="453" t="s">
        <v>1228</v>
      </c>
      <c r="E43" s="453" t="s">
        <v>2793</v>
      </c>
      <c r="F43" s="432" t="s">
        <v>2668</v>
      </c>
      <c r="G43" s="453" t="s">
        <v>2672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2669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2741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2">
        <v>46164</v>
      </c>
      <c r="C44" s="452"/>
      <c r="D44" s="453"/>
      <c r="E44" s="453"/>
      <c r="F44" s="453" t="s">
        <v>2667</v>
      </c>
      <c r="G44" s="453" t="s">
        <v>2661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2715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2">
        <v>46164</v>
      </c>
      <c r="C45" s="452"/>
      <c r="D45" s="453"/>
      <c r="E45" s="453"/>
      <c r="F45" s="453" t="s">
        <v>2667</v>
      </c>
      <c r="G45" s="453" t="s">
        <v>2669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2715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2">
        <v>46164</v>
      </c>
      <c r="C46" s="452"/>
      <c r="D46" s="453"/>
      <c r="E46" s="453"/>
      <c r="F46" s="453" t="s">
        <v>2667</v>
      </c>
      <c r="G46" s="453" t="s">
        <v>2672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2715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2">
        <v>46164</v>
      </c>
      <c r="C47" s="452"/>
      <c r="D47" s="453"/>
      <c r="E47" s="453"/>
      <c r="F47" s="453" t="s">
        <v>2667</v>
      </c>
      <c r="G47" s="432" t="s">
        <v>2652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2715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2">
        <v>46164</v>
      </c>
      <c r="C48" s="452"/>
      <c r="D48" s="453"/>
      <c r="E48" s="453"/>
      <c r="F48" s="453" t="s">
        <v>2667</v>
      </c>
      <c r="G48" s="453" t="s">
        <v>2802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2802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2">
        <v>46165</v>
      </c>
      <c r="C49" s="462">
        <v>0.52083333333333337</v>
      </c>
      <c r="D49" s="453" t="s">
        <v>2205</v>
      </c>
      <c r="E49" s="453" t="s">
        <v>2790</v>
      </c>
      <c r="F49" s="432" t="s">
        <v>2668</v>
      </c>
      <c r="G49" s="453" t="s">
        <v>2661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2652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2650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2">
        <v>46165</v>
      </c>
      <c r="C50" s="462">
        <v>0.54166666666666663</v>
      </c>
      <c r="D50" s="453" t="s">
        <v>2794</v>
      </c>
      <c r="E50" s="453" t="s">
        <v>1556</v>
      </c>
      <c r="F50" s="432" t="s">
        <v>2668</v>
      </c>
      <c r="G50" s="453" t="s">
        <v>2716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2669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2741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3">
        <v>46165</v>
      </c>
      <c r="C51" s="459">
        <v>0.66666666666666663</v>
      </c>
      <c r="D51" s="432" t="s">
        <v>2654</v>
      </c>
      <c r="E51" s="432" t="s">
        <v>2655</v>
      </c>
      <c r="F51" s="432" t="s">
        <v>2668</v>
      </c>
      <c r="G51" s="432" t="s">
        <v>2652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2669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2650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2">
        <v>46165</v>
      </c>
      <c r="C52" s="462">
        <v>0.66666666666666663</v>
      </c>
      <c r="D52" s="453" t="s">
        <v>2799</v>
      </c>
      <c r="E52" s="453" t="s">
        <v>2800</v>
      </c>
      <c r="F52" s="432" t="s">
        <v>2668</v>
      </c>
      <c r="G52" s="432" t="s">
        <v>2652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2672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2650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3">
        <v>46166</v>
      </c>
      <c r="C53" s="459">
        <v>0.54166666666666663</v>
      </c>
      <c r="D53" s="432" t="s">
        <v>2651</v>
      </c>
      <c r="E53" s="432" t="s">
        <v>2653</v>
      </c>
      <c r="F53" s="432" t="s">
        <v>2668</v>
      </c>
      <c r="G53" s="432" t="s">
        <v>2652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2671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2650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4">
        <v>46164</v>
      </c>
      <c r="C54" s="474"/>
      <c r="D54" s="475" t="s">
        <v>1271</v>
      </c>
      <c r="E54" s="475" t="s">
        <v>2808</v>
      </c>
      <c r="F54" s="476" t="s">
        <v>2668</v>
      </c>
      <c r="G54" s="475" t="s">
        <v>2672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2669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2807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419" t="s">
        <v>266</v>
      </c>
      <c r="H19" s="1420" t="s">
        <v>265</v>
      </c>
      <c r="I19" s="1420" t="s">
        <v>284</v>
      </c>
      <c r="J19" s="1420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431" t="s">
        <v>268</v>
      </c>
      <c r="H20" s="1421">
        <v>-52.467278333620868</v>
      </c>
      <c r="I20" s="1429">
        <v>20</v>
      </c>
      <c r="J20" s="1429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431" t="s">
        <v>269</v>
      </c>
      <c r="H21" s="1421">
        <v>275.67452414820855</v>
      </c>
      <c r="I21" s="1429">
        <v>83</v>
      </c>
      <c r="J21" s="1429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419" t="s">
        <v>265</v>
      </c>
      <c r="O21" s="1419" t="s">
        <v>499</v>
      </c>
      <c r="P21" s="1420"/>
      <c r="Q21" s="1420"/>
      <c r="R21" s="1420"/>
      <c r="S21" s="1420"/>
      <c r="T21" s="1420"/>
      <c r="U21" s="1420"/>
      <c r="V21" s="1420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431" t="s">
        <v>270</v>
      </c>
      <c r="H22" s="1421">
        <v>-391.06425014057629</v>
      </c>
      <c r="I22" s="1429">
        <v>112</v>
      </c>
      <c r="J22" s="1429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419" t="s">
        <v>266</v>
      </c>
      <c r="O22" s="1432" t="s">
        <v>498</v>
      </c>
      <c r="P22" s="1432" t="s">
        <v>617</v>
      </c>
      <c r="Q22" s="1432" t="s">
        <v>500</v>
      </c>
      <c r="R22" s="1432" t="s">
        <v>501</v>
      </c>
      <c r="S22" s="1432" t="s">
        <v>502</v>
      </c>
      <c r="T22" s="1432" t="s">
        <v>503</v>
      </c>
      <c r="U22" s="1432" t="s">
        <v>451</v>
      </c>
      <c r="V22" s="1432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431" t="s">
        <v>271</v>
      </c>
      <c r="H23" s="1421">
        <v>51.842105263157933</v>
      </c>
      <c r="I23" s="1429">
        <v>37</v>
      </c>
      <c r="J23" s="1429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431" t="s">
        <v>268</v>
      </c>
      <c r="O23" s="1421"/>
      <c r="P23" s="1421">
        <v>-142.97237076648844</v>
      </c>
      <c r="Q23" s="1421">
        <v>43.435689616755795</v>
      </c>
      <c r="R23" s="1421">
        <v>45.2761485826002</v>
      </c>
      <c r="S23" s="1421">
        <v>-56.564310383244205</v>
      </c>
      <c r="T23" s="1421">
        <v>14.921875</v>
      </c>
      <c r="U23" s="1421">
        <v>43.435689616755795</v>
      </c>
      <c r="V23" s="1421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431" t="s">
        <v>272</v>
      </c>
      <c r="H24" s="1421">
        <v>50.261904761904809</v>
      </c>
      <c r="I24" s="1429">
        <v>64</v>
      </c>
      <c r="J24" s="1429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431" t="s">
        <v>269</v>
      </c>
      <c r="O24" s="1421">
        <v>-110.26575794996847</v>
      </c>
      <c r="P24" s="1421">
        <v>141.03511529169424</v>
      </c>
      <c r="Q24" s="1421">
        <v>68.432749406433629</v>
      </c>
      <c r="R24" s="1421">
        <v>-131.41680778522883</v>
      </c>
      <c r="S24" s="1421">
        <v>100.59743194611615</v>
      </c>
      <c r="T24" s="1421">
        <v>26.40824275692697</v>
      </c>
      <c r="U24" s="1421">
        <v>180.88355048223468</v>
      </c>
      <c r="V24" s="1421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431" t="s">
        <v>273</v>
      </c>
      <c r="H25" s="1421">
        <v>-340.99604743083029</v>
      </c>
      <c r="I25" s="1429">
        <v>62</v>
      </c>
      <c r="J25" s="1429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431" t="s">
        <v>270</v>
      </c>
      <c r="O25" s="1421">
        <v>-140.18740868698325</v>
      </c>
      <c r="P25" s="1421">
        <v>82.932214741205101</v>
      </c>
      <c r="Q25" s="1421">
        <v>151.0094950190668</v>
      </c>
      <c r="R25" s="1421">
        <v>62.907231653296606</v>
      </c>
      <c r="S25" s="1421">
        <v>12.50878231713455</v>
      </c>
      <c r="T25" s="1421">
        <v>-264.28714567480165</v>
      </c>
      <c r="U25" s="1421">
        <v>-295.94741950949413</v>
      </c>
      <c r="V25" s="1421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431" t="s">
        <v>274</v>
      </c>
      <c r="H26" s="1421">
        <v>97.279999999999987</v>
      </c>
      <c r="I26" s="1429">
        <v>54</v>
      </c>
      <c r="J26" s="1429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431" t="s">
        <v>271</v>
      </c>
      <c r="O26" s="1421">
        <v>31.274853801169591</v>
      </c>
      <c r="P26" s="1421">
        <v>-59.78947368421052</v>
      </c>
      <c r="Q26" s="1421">
        <v>93.266081871345037</v>
      </c>
      <c r="R26" s="1421">
        <v>62.549707602339183</v>
      </c>
      <c r="S26" s="1421">
        <v>31.274853801169591</v>
      </c>
      <c r="T26" s="1421">
        <v>-47.502923976608173</v>
      </c>
      <c r="U26" s="1421">
        <v>-59.230994152046776</v>
      </c>
      <c r="V26" s="1421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431" t="s">
        <v>275</v>
      </c>
      <c r="H27" s="1421">
        <v>-190.77065527065528</v>
      </c>
      <c r="I27" s="1429">
        <v>33</v>
      </c>
      <c r="J27" s="1429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431" t="s">
        <v>272</v>
      </c>
      <c r="O27" s="1421">
        <v>56.390476190476178</v>
      </c>
      <c r="P27" s="1421">
        <v>45.930952380952377</v>
      </c>
      <c r="Q27" s="1421">
        <v>12.326190476190467</v>
      </c>
      <c r="R27" s="1421">
        <v>-116.77857142857144</v>
      </c>
      <c r="S27" s="1421">
        <v>-135.42380952380952</v>
      </c>
      <c r="T27" s="1421">
        <v>103.68571428571427</v>
      </c>
      <c r="U27" s="1421">
        <v>84.13095238095238</v>
      </c>
      <c r="V27" s="1421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431" t="s">
        <v>276</v>
      </c>
      <c r="H28" s="1421">
        <v>-58.66256157635469</v>
      </c>
      <c r="I28" s="1429">
        <v>39</v>
      </c>
      <c r="J28" s="1429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431" t="s">
        <v>273</v>
      </c>
      <c r="O28" s="1421">
        <v>-40.359683794466413</v>
      </c>
      <c r="P28" s="1421">
        <v>-239.9822134387351</v>
      </c>
      <c r="Q28" s="1421">
        <v>-157.72332015810275</v>
      </c>
      <c r="R28" s="1421">
        <v>-23.373517786561266</v>
      </c>
      <c r="S28" s="1421">
        <v>76.249011857707501</v>
      </c>
      <c r="T28" s="1421">
        <v>76.249011857707501</v>
      </c>
      <c r="U28" s="1421">
        <v>-32.055335968379445</v>
      </c>
      <c r="V28" s="1421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431" t="s">
        <v>277</v>
      </c>
      <c r="H29" s="1421">
        <v>5.7688172043010475</v>
      </c>
      <c r="I29" s="1429">
        <v>18</v>
      </c>
      <c r="J29" s="1429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431" t="s">
        <v>274</v>
      </c>
      <c r="O29" s="1421">
        <v>38.518333333333331</v>
      </c>
      <c r="P29" s="1421">
        <v>100.91166666666666</v>
      </c>
      <c r="Q29" s="1421">
        <v>-21.371666666666655</v>
      </c>
      <c r="R29" s="1421">
        <v>-69.12166666666667</v>
      </c>
      <c r="S29" s="1421">
        <v>54.435000000000002</v>
      </c>
      <c r="T29" s="1421">
        <v>-45.24666666666667</v>
      </c>
      <c r="U29" s="1421">
        <v>39.155000000000001</v>
      </c>
      <c r="V29" s="1421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431" t="s">
        <v>278</v>
      </c>
      <c r="H30" s="1421">
        <v>-164.52746212121215</v>
      </c>
      <c r="I30" s="1429">
        <v>26</v>
      </c>
      <c r="J30" s="1429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431" t="s">
        <v>275</v>
      </c>
      <c r="O30" s="1421">
        <v>43.260683760683754</v>
      </c>
      <c r="P30" s="1421">
        <v>29.384615384615383</v>
      </c>
      <c r="Q30" s="1421">
        <v>-35.245014245014247</v>
      </c>
      <c r="R30" s="1421">
        <v>-192.92592592592592</v>
      </c>
      <c r="S30" s="1421">
        <v>28.840455840455839</v>
      </c>
      <c r="T30" s="1421">
        <v>-85.851851851851848</v>
      </c>
      <c r="U30" s="1421">
        <v>21.766381766381766</v>
      </c>
      <c r="V30" s="1421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431" t="s">
        <v>279</v>
      </c>
      <c r="H31" s="1421">
        <v>4.9697478991596569</v>
      </c>
      <c r="I31" s="1429">
        <v>20</v>
      </c>
      <c r="J31" s="1429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431" t="s">
        <v>276</v>
      </c>
      <c r="O31" s="1421">
        <v>33.166256157635466</v>
      </c>
      <c r="P31" s="1421">
        <v>-53.190886699507402</v>
      </c>
      <c r="Q31" s="1421">
        <v>46.809113300492605</v>
      </c>
      <c r="R31" s="1421">
        <v>60.687192118226591</v>
      </c>
      <c r="S31" s="1421">
        <v>13.407635467980295</v>
      </c>
      <c r="T31" s="1421">
        <v>-66.363300492610833</v>
      </c>
      <c r="U31" s="1421">
        <v>-93.178571428571431</v>
      </c>
      <c r="V31" s="1421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431" t="s">
        <v>280</v>
      </c>
      <c r="H32" s="1421">
        <v>57.500750750750754</v>
      </c>
      <c r="I32" s="1429">
        <v>11</v>
      </c>
      <c r="J32" s="1429">
        <v>11</v>
      </c>
      <c r="K32" s="75">
        <f t="shared" si="1"/>
        <v>1</v>
      </c>
      <c r="N32" s="1431" t="s">
        <v>277</v>
      </c>
      <c r="O32" s="1421">
        <v>18.483870967741932</v>
      </c>
      <c r="P32" s="1421"/>
      <c r="Q32" s="1421">
        <v>37.58387096774193</v>
      </c>
      <c r="R32" s="1421">
        <v>6.1612903225806441</v>
      </c>
      <c r="S32" s="1421">
        <v>12.322580645161288</v>
      </c>
      <c r="T32" s="1421">
        <v>-74.944086021505399</v>
      </c>
      <c r="U32" s="1421">
        <v>6.1612903225806441</v>
      </c>
      <c r="V32" s="1421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431" t="s">
        <v>281</v>
      </c>
      <c r="H33" s="1421">
        <v>-59.78947368421052</v>
      </c>
      <c r="I33" s="1429">
        <v>9</v>
      </c>
      <c r="J33" s="1429">
        <v>8</v>
      </c>
      <c r="K33" s="75">
        <f t="shared" si="1"/>
        <v>0.88888888888888884</v>
      </c>
      <c r="N33" s="1431" t="s">
        <v>278</v>
      </c>
      <c r="O33" s="1421">
        <v>35.269886363636367</v>
      </c>
      <c r="P33" s="1421">
        <v>-182.27462121212122</v>
      </c>
      <c r="Q33" s="1421">
        <v>11.575757575757574</v>
      </c>
      <c r="R33" s="1421">
        <v>-82.455492424242436</v>
      </c>
      <c r="S33" s="1421">
        <v>17.725378787878789</v>
      </c>
      <c r="T33" s="1421">
        <v>11.756628787878787</v>
      </c>
      <c r="U33" s="1421">
        <v>23.875</v>
      </c>
      <c r="V33" s="1421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431" t="s">
        <v>282</v>
      </c>
      <c r="H34" s="1421">
        <v>33.424999999999997</v>
      </c>
      <c r="I34" s="1429">
        <v>7</v>
      </c>
      <c r="J34" s="1429">
        <v>7</v>
      </c>
      <c r="K34" s="75">
        <f t="shared" si="1"/>
        <v>1</v>
      </c>
      <c r="N34" s="1431" t="s">
        <v>279</v>
      </c>
      <c r="O34" s="1421">
        <v>10.914285714285715</v>
      </c>
      <c r="P34" s="1421">
        <v>22.310084033613446</v>
      </c>
      <c r="Q34" s="1421">
        <v>21.989075630252103</v>
      </c>
      <c r="R34" s="1421">
        <v>11.074789915966388</v>
      </c>
      <c r="S34" s="1421">
        <v>16.692436974789917</v>
      </c>
      <c r="T34" s="1421">
        <v>5.4571428571428573</v>
      </c>
      <c r="U34" s="1421">
        <v>-83.468067226890753</v>
      </c>
      <c r="V34" s="1421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431" t="s">
        <v>283</v>
      </c>
      <c r="H35" s="1421">
        <v>72.348484848484873</v>
      </c>
      <c r="I35" s="1429">
        <v>16</v>
      </c>
      <c r="J35" s="1429">
        <v>16</v>
      </c>
      <c r="K35" s="75">
        <f t="shared" si="1"/>
        <v>1</v>
      </c>
      <c r="N35" s="1431" t="s">
        <v>280</v>
      </c>
      <c r="O35" s="1421">
        <v>5.1621621621621614</v>
      </c>
      <c r="P35" s="1421">
        <v>5.3055555555555554</v>
      </c>
      <c r="Q35" s="1421">
        <v>25.954204204204203</v>
      </c>
      <c r="R35" s="1421"/>
      <c r="S35" s="1421"/>
      <c r="T35" s="1421">
        <v>5.1621621621621614</v>
      </c>
      <c r="U35" s="1421">
        <v>15.916666666666666</v>
      </c>
      <c r="V35" s="1421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431" t="s">
        <v>286</v>
      </c>
      <c r="H36" s="1421">
        <v>41.275090045381155</v>
      </c>
      <c r="I36" s="1429">
        <v>41</v>
      </c>
      <c r="J36" s="1429">
        <v>40</v>
      </c>
      <c r="K36" s="75">
        <f t="shared" si="1"/>
        <v>0.97560975609756095</v>
      </c>
      <c r="N36" s="1431" t="s">
        <v>281</v>
      </c>
      <c r="O36" s="1421"/>
      <c r="P36" s="1421">
        <v>5.0263157894736841</v>
      </c>
      <c r="Q36" s="1421">
        <v>-100</v>
      </c>
      <c r="R36" s="1421">
        <v>5.0263157894736841</v>
      </c>
      <c r="S36" s="1421">
        <v>5.0263157894736841</v>
      </c>
      <c r="T36" s="1421">
        <v>10.052631578947368</v>
      </c>
      <c r="U36" s="1421">
        <v>15.078947368421051</v>
      </c>
      <c r="V36" s="1421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431" t="s">
        <v>267</v>
      </c>
      <c r="H37" s="1421">
        <v>-567.93130363611226</v>
      </c>
      <c r="I37" s="1429">
        <v>652</v>
      </c>
      <c r="J37" s="1429">
        <v>594</v>
      </c>
      <c r="K37" s="75"/>
      <c r="N37" s="1431" t="s">
        <v>282</v>
      </c>
      <c r="O37" s="1421">
        <v>4.7749999999999995</v>
      </c>
      <c r="P37" s="1421"/>
      <c r="Q37" s="1421">
        <v>9.5499999999999989</v>
      </c>
      <c r="R37" s="1421">
        <v>9.5499999999999989</v>
      </c>
      <c r="S37" s="1421"/>
      <c r="T37" s="1421">
        <v>4.7749999999999995</v>
      </c>
      <c r="U37" s="1421">
        <v>4.7749999999999995</v>
      </c>
      <c r="V37" s="1421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431" t="s">
        <v>283</v>
      </c>
      <c r="O38" s="1421"/>
      <c r="P38" s="1421">
        <v>13.436147186147185</v>
      </c>
      <c r="Q38" s="1421">
        <v>9.0952380952380949</v>
      </c>
      <c r="R38" s="1421">
        <v>8.8885281385281374</v>
      </c>
      <c r="S38" s="1421">
        <v>31.833333333333332</v>
      </c>
      <c r="T38" s="1421">
        <v>4.5476190476190474</v>
      </c>
      <c r="U38" s="1421">
        <v>4.5476190476190474</v>
      </c>
      <c r="V38" s="1421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431" t="s">
        <v>286</v>
      </c>
      <c r="O39" s="1421">
        <v>17.436706485024061</v>
      </c>
      <c r="P39" s="1421">
        <v>-66.928982867359451</v>
      </c>
      <c r="Q39" s="1421">
        <v>22.534490923730051</v>
      </c>
      <c r="R39" s="1421">
        <v>10.693106060606061</v>
      </c>
      <c r="S39" s="1421">
        <v>18.832085921325049</v>
      </c>
      <c r="T39" s="1421">
        <v>23.623081219595942</v>
      </c>
      <c r="U39" s="1421">
        <v>15.084602302459448</v>
      </c>
      <c r="V39" s="1421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431" t="s">
        <v>267</v>
      </c>
      <c r="O40" s="1421">
        <v>3.8396645047304396</v>
      </c>
      <c r="P40" s="1421">
        <v>-298.86588163849854</v>
      </c>
      <c r="Q40" s="1421">
        <v>239.22195601742462</v>
      </c>
      <c r="R40" s="1421">
        <v>-333.25767183357897</v>
      </c>
      <c r="S40" s="1421">
        <v>227.75718277547224</v>
      </c>
      <c r="T40" s="1421">
        <v>-297.55686513034971</v>
      </c>
      <c r="U40" s="1421">
        <v>-109.06968833131107</v>
      </c>
      <c r="V40" s="1421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476" t="s">
        <v>380</v>
      </c>
      <c r="F3" s="1477"/>
      <c r="G3" s="1477"/>
      <c r="H3" s="1478"/>
      <c r="I3" s="1476" t="s">
        <v>381</v>
      </c>
      <c r="J3" s="1477"/>
      <c r="K3" s="1477"/>
      <c r="L3" s="1478"/>
      <c r="M3" s="1476" t="s">
        <v>73</v>
      </c>
      <c r="N3" s="1477"/>
      <c r="O3" s="1477"/>
      <c r="P3" s="1478"/>
      <c r="Q3" s="1476" t="s">
        <v>179</v>
      </c>
      <c r="R3" s="1477"/>
      <c r="S3" s="1477"/>
      <c r="T3" s="1478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479" t="s">
        <v>626</v>
      </c>
      <c r="Y21" s="1480"/>
      <c r="Z21" s="1480"/>
      <c r="AA21" s="1480"/>
      <c r="AB21" s="1480"/>
      <c r="AC21" s="1481"/>
      <c r="AD21" s="1479" t="s">
        <v>627</v>
      </c>
      <c r="AE21" s="1480"/>
      <c r="AF21" s="1480"/>
      <c r="AG21" s="1481"/>
      <c r="AH21" s="1479" t="s">
        <v>628</v>
      </c>
      <c r="AI21" s="1482"/>
      <c r="AJ21" s="1482"/>
      <c r="AK21" s="1482"/>
      <c r="AL21" s="1482"/>
      <c r="AM21" s="1482"/>
      <c r="AN21" s="1483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D28EB955-CC23-4425-9787-EEC98CAF383E}">
  <ds:schemaRefs/>
</ds:datastoreItem>
</file>

<file path=customXml/itemProps3.xml><?xml version="1.0" encoding="utf-8"?>
<ds:datastoreItem xmlns:ds="http://schemas.openxmlformats.org/officeDocument/2006/customXml" ds:itemID="{1A9B4873-AFAD-44CE-B89A-8396ED0DDD47}">
  <ds:schemaRefs/>
</ds:datastoreItem>
</file>

<file path=customXml/itemProps4.xml><?xml version="1.0" encoding="utf-8"?>
<ds:datastoreItem xmlns:ds="http://schemas.openxmlformats.org/officeDocument/2006/customXml" ds:itemID="{C726001D-7FEF-4D60-904E-C515F2AE18B8}">
  <ds:schemaRefs/>
</ds:datastoreItem>
</file>

<file path=customXml/itemProps5.xml><?xml version="1.0" encoding="utf-8"?>
<ds:datastoreItem xmlns:ds="http://schemas.openxmlformats.org/officeDocument/2006/customXml" ds:itemID="{01053647-D1C0-408E-BDFF-47027BB864E6}">
  <ds:schemaRefs/>
</ds:datastoreItem>
</file>

<file path=customXml/itemProps6.xml><?xml version="1.0" encoding="utf-8"?>
<ds:datastoreItem xmlns:ds="http://schemas.openxmlformats.org/officeDocument/2006/customXml" ds:itemID="{5350A302-B8D9-4873-99B4-4DE3B5EAB877}">
  <ds:schemaRefs/>
</ds:datastoreItem>
</file>

<file path=customXml/itemProps7.xml><?xml version="1.0" encoding="utf-8"?>
<ds:datastoreItem xmlns:ds="http://schemas.openxmlformats.org/officeDocument/2006/customXml" ds:itemID="{E0AD9576-36B5-4C38-BEA5-F64E16FBD31D}">
  <ds:schemaRefs/>
</ds:datastoreItem>
</file>

<file path=customXml/itemProps8.xml><?xml version="1.0" encoding="utf-8"?>
<ds:datastoreItem xmlns:ds="http://schemas.openxmlformats.org/officeDocument/2006/customXml" ds:itemID="{3E2E56A8-1290-4D72-872F-7ED42363545B}">
  <ds:schemaRefs/>
</ds:datastoreItem>
</file>

<file path=customXml/itemProps9.xml><?xml version="1.0" encoding="utf-8"?>
<ds:datastoreItem xmlns:ds="http://schemas.openxmlformats.org/officeDocument/2006/customXml" ds:itemID="{1418D668-1050-4A24-AA46-1670C0328D19}">
  <ds:schemaRefs/>
</ds:datastoreItem>
</file>

<file path=customXml/itemProps10.xml><?xml version="1.0" encoding="utf-8"?>
<ds:datastoreItem xmlns:ds="http://schemas.openxmlformats.org/officeDocument/2006/customXml" ds:itemID="{903EB21E-C250-4F6A-B91B-A1775839E030}">
  <ds:schemaRefs/>
</ds:datastoreItem>
</file>

<file path=customXml/itemProps11.xml><?xml version="1.0" encoding="utf-8"?>
<ds:datastoreItem xmlns:ds="http://schemas.openxmlformats.org/officeDocument/2006/customXml" ds:itemID="{531B5D8A-9D0A-4E72-80E1-F14498B85837}">
  <ds:schemaRefs/>
</ds:datastoreItem>
</file>

<file path=customXml/itemProps12.xml><?xml version="1.0" encoding="utf-8"?>
<ds:datastoreItem xmlns:ds="http://schemas.openxmlformats.org/officeDocument/2006/customXml" ds:itemID="{F743BC9B-F626-443C-8944-CCA557256B30}">
  <ds:schemaRefs/>
</ds:datastoreItem>
</file>

<file path=customXml/itemProps13.xml><?xml version="1.0" encoding="utf-8"?>
<ds:datastoreItem xmlns:ds="http://schemas.openxmlformats.org/officeDocument/2006/customXml" ds:itemID="{5C390BFF-7F94-40C9-8244-56E47562B85E}">
  <ds:schemaRefs/>
</ds:datastoreItem>
</file>

<file path=customXml/itemProps14.xml><?xml version="1.0" encoding="utf-8"?>
<ds:datastoreItem xmlns:ds="http://schemas.openxmlformats.org/officeDocument/2006/customXml" ds:itemID="{EB958FF7-32B5-452C-8F11-8544CBB63F8F}">
  <ds:schemaRefs/>
</ds:datastoreItem>
</file>

<file path=customXml/itemProps15.xml><?xml version="1.0" encoding="utf-8"?>
<ds:datastoreItem xmlns:ds="http://schemas.openxmlformats.org/officeDocument/2006/customXml" ds:itemID="{3C2DB1DD-3D0B-439B-8CFE-28E9416D116E}">
  <ds:schemaRefs/>
</ds:datastoreItem>
</file>

<file path=customXml/itemProps16.xml><?xml version="1.0" encoding="utf-8"?>
<ds:datastoreItem xmlns:ds="http://schemas.openxmlformats.org/officeDocument/2006/customXml" ds:itemID="{FEF94E45-EB58-4B60-A8DA-12401E2B8391}">
  <ds:schemaRefs/>
</ds:datastoreItem>
</file>

<file path=customXml/itemProps17.xml><?xml version="1.0" encoding="utf-8"?>
<ds:datastoreItem xmlns:ds="http://schemas.openxmlformats.org/officeDocument/2006/customXml" ds:itemID="{A0934C01-3E48-41D6-9342-1AD591BDF257}">
  <ds:schemaRefs/>
</ds:datastoreItem>
</file>

<file path=customXml/itemProps18.xml><?xml version="1.0" encoding="utf-8"?>
<ds:datastoreItem xmlns:ds="http://schemas.openxmlformats.org/officeDocument/2006/customXml" ds:itemID="{F0FF6FAD-D028-4BB2-9872-29442C59B600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2026-09-06T13:52:18Z</dcterms:modified>
</cp:coreProperties>
</file>